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EstaPastaDeTrabalho"/>
  <mc:AlternateContent xmlns:mc="http://schemas.openxmlformats.org/markup-compatibility/2006">
    <mc:Choice Requires="x15">
      <x15ac:absPath xmlns:x15ac="http://schemas.microsoft.com/office/spreadsheetml/2010/11/ac" url="K:\RI\ER e Apresentações de Resultados (X)\2023\2T23\Material de Divulgação RI\Planilhas\Serie Historica\"/>
    </mc:Choice>
  </mc:AlternateContent>
  <xr:revisionPtr revIDLastSave="0" documentId="13_ncr:1_{5C5C3718-8D31-4510-A834-FE5691D3E927}" xr6:coauthVersionLast="47" xr6:coauthVersionMax="47" xr10:uidLastSave="{00000000-0000-0000-0000-000000000000}"/>
  <bookViews>
    <workbookView xWindow="-120" yWindow="-120" windowWidth="20730" windowHeight="11160" tabRatio="898" xr2:uid="{00000000-000D-0000-FFFF-FFFF00000000}"/>
  </bookViews>
  <sheets>
    <sheet name="Índice - Index" sheetId="22" r:id="rId1"/>
    <sheet name="Sumário - Summary" sheetId="28" r:id="rId2"/>
    <sheet name="Balanço - Balance Sheet" sheetId="9" r:id="rId3"/>
    <sheet name="DRE Contábil (Tri) - IS Quarter" sheetId="2" r:id="rId4"/>
    <sheet name="DRE Contábil (Anual) - IS Year" sheetId="16" r:id="rId5"/>
    <sheet name="DRE Ger. (Tri) - IS Mngmt Q" sheetId="19" r:id="rId6"/>
    <sheet name="DRE Ger. (Anual) - IS Mngmt Y" sheetId="24" r:id="rId7"/>
    <sheet name="Provisões - Provisions" sheetId="30" r:id="rId8"/>
    <sheet name="Carteira Expandida - Exp Port" sheetId="29" r:id="rId9"/>
    <sheet name="Nível de Risco - Loan Ratings" sheetId="32" r:id="rId10"/>
    <sheet name="Indicadores - Loan Indicators" sheetId="31" r:id="rId11"/>
    <sheet name="Captação - Funding" sheetId="20" r:id="rId12"/>
    <sheet name="Eficiência - Efficiency" sheetId="13" r:id="rId13"/>
    <sheet name="NIM" sheetId="21" r:id="rId14"/>
    <sheet name="Adequação de Capital - Capital" sheetId="14" r:id="rId15"/>
    <sheet name="Dividendos e JCP - Dividends" sheetId="15" r:id="rId16"/>
    <sheet name="Visões Antigas-Old Definitions" sheetId="33" r:id="rId17"/>
    <sheet name="Carteira Exp - Exp Port" sheetId="18" r:id="rId18"/>
    <sheet name="DRE Gerencial - Managerial IS" sheetId="23" r:id="rId19"/>
    <sheet name="Eficiência - Efficiency " sheetId="25" r:id="rId20"/>
    <sheet name="NIM " sheetId="26" r:id="rId21"/>
  </sheets>
  <definedNames>
    <definedName name="_xlnm._FilterDatabase" localSheetId="2" hidden="1">'Balanço - Balance Sheet'!$E$15:$BK$22</definedName>
    <definedName name="DocType">Word</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44112.8986805556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onthNames">{"Jan","Feb","Mar","Apr","May","Jun","Jul","Aug","Sep","Oct","Nov","Dec";"January","February","March","April","May","June","July","August","September","October","November","December"}</definedName>
    <definedName name="pbCoverTitle">#REF!</definedName>
    <definedName name="pbFileName">MID(CELL("filename"),FIND("[",CELL("FILENAME"))+1,(FIND("]",CELL("FILENAME"))) - (FIND("[",CELL("FILENAME"))+1))</definedName>
    <definedName name="pbPrinterFormat">"\\SBRSP050\SAP_IBD1 on Ne01:"</definedName>
    <definedName name="pbStartPageNumber">1</definedName>
    <definedName name="pbUpdatePageNumbering">TRUE</definedName>
    <definedName name="wrn.Summaries._.only." hidden="1">{#N/A,#N/A,FALSE,"Summary ECI";#N/A,#N/A,FALSE,"Summary BRS";#N/A,#N/A,FALSE,"Summary ALG";#N/A,#N/A,FALSE,"Summary IBA";#N/A,#N/A,FALSE,"Summary EGP";#N/A,#N/A,FALSE,"Summary JDN";#N/A,#N/A,FALSE,"Summary TNB";#N/A,#N/A,FALSE,"Summary ATL";#N/A,#N/A,FALSE,"Summary DAS";#N/A,#N/A,FALSE,"Summary NYK";#N/A,#N/A,FALSE,"Summary SNG";#N/A,#N/A,FALSE,"Summary MLN";#N/A,#N/A,FALSE,"Summary TNS";#N/A,#N/A,FALSE,"Summary IPL";#N/A,#N/A,FALSE,"Summary IPP"}</definedName>
    <definedName name="x" hidden="1">{#N/A,#N/A,FALSE,"Summary ECI";#N/A,#N/A,FALSE,"Summary BRS";#N/A,#N/A,FALSE,"Summary ALG";#N/A,#N/A,FALSE,"Summary IBA";#N/A,#N/A,FALSE,"Summary EGP";#N/A,#N/A,FALSE,"Summary JDN";#N/A,#N/A,FALSE,"Summary TNB";#N/A,#N/A,FALSE,"Summary ATL";#N/A,#N/A,FALSE,"Summary DAS";#N/A,#N/A,FALSE,"Summary NYK";#N/A,#N/A,FALSE,"Summary SNG";#N/A,#N/A,FALSE,"Summary MLN";#N/A,#N/A,FALSE,"Summary TNS";#N/A,#N/A,FALSE,"Summary IPL";#N/A,#N/A,FALSE,"Summary IPP"}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3" i="31" l="1"/>
  <c r="BO18" i="14" l="1"/>
  <c r="U15" i="21" l="1"/>
  <c r="BO13" i="14" l="1"/>
  <c r="W22" i="32" l="1"/>
  <c r="W99" i="29"/>
  <c r="W13" i="29"/>
  <c r="W23" i="19"/>
  <c r="AA12" i="13"/>
  <c r="AE23" i="20"/>
  <c r="AE25" i="20" s="1"/>
  <c r="O16" i="30"/>
  <c r="BO25" i="2"/>
  <c r="BO13" i="2"/>
  <c r="BN18" i="14"/>
  <c r="W124" i="29"/>
  <c r="W108" i="29"/>
  <c r="W18" i="29"/>
  <c r="W13" i="19"/>
  <c r="W18" i="19" s="1"/>
  <c r="W19" i="19"/>
  <c r="BO19" i="2"/>
  <c r="O22" i="28"/>
  <c r="O23" i="28"/>
  <c r="O25" i="28"/>
  <c r="O29" i="28"/>
  <c r="BA19" i="14"/>
  <c r="AY19" i="14"/>
  <c r="AX19" i="14"/>
  <c r="BL15" i="14"/>
  <c r="BL19" i="14" s="1"/>
  <c r="BK15" i="14"/>
  <c r="BK19" i="14" s="1"/>
  <c r="BJ15" i="14"/>
  <c r="BJ19" i="14" s="1"/>
  <c r="BI15" i="14"/>
  <c r="BI19" i="14" s="1"/>
  <c r="BH15" i="14"/>
  <c r="BH19" i="14" s="1"/>
  <c r="BG15" i="14"/>
  <c r="BG19" i="14" s="1"/>
  <c r="BF15" i="14"/>
  <c r="BF19" i="14" s="1"/>
  <c r="BE15" i="14"/>
  <c r="BE19" i="14" s="1"/>
  <c r="BD15" i="14"/>
  <c r="BD19" i="14" s="1"/>
  <c r="BC15" i="14"/>
  <c r="BC19" i="14" s="1"/>
  <c r="BB15" i="14"/>
  <c r="BB19" i="14" s="1"/>
  <c r="BA15" i="14"/>
  <c r="AZ15" i="14"/>
  <c r="AZ19" i="14" s="1"/>
  <c r="AY15" i="14"/>
  <c r="AX15" i="14"/>
  <c r="AW15" i="14"/>
  <c r="AW19" i="14" s="1"/>
  <c r="AV15" i="14"/>
  <c r="AV19" i="14" s="1"/>
  <c r="AU15" i="14"/>
  <c r="AU19" i="14" s="1"/>
  <c r="AT15" i="14"/>
  <c r="AT19" i="14" s="1"/>
  <c r="AS15" i="14"/>
  <c r="AR15" i="14"/>
  <c r="AQ15" i="14"/>
  <c r="AP15" i="14"/>
  <c r="AO15" i="14"/>
  <c r="AN15" i="14"/>
  <c r="AM15" i="14"/>
  <c r="AL15" i="14"/>
  <c r="AK15" i="14"/>
  <c r="AJ15" i="14"/>
  <c r="AI15" i="14"/>
  <c r="AH15" i="14"/>
  <c r="AG15" i="14"/>
  <c r="AF15" i="14"/>
  <c r="AE15" i="14"/>
  <c r="AD15" i="14"/>
  <c r="AD19" i="14" s="1"/>
  <c r="AC15" i="14"/>
  <c r="AB15" i="14"/>
  <c r="AA15" i="14"/>
  <c r="Z15" i="14"/>
  <c r="Y15" i="14"/>
  <c r="X15" i="14"/>
  <c r="W15" i="14"/>
  <c r="V15" i="14"/>
  <c r="U15" i="14"/>
  <c r="T15" i="14"/>
  <c r="S15" i="14"/>
  <c r="R15" i="14"/>
  <c r="Q15" i="14"/>
  <c r="P15" i="14"/>
  <c r="O15" i="14"/>
  <c r="N15" i="14"/>
  <c r="M15" i="14"/>
  <c r="L15" i="14"/>
  <c r="K15" i="14"/>
  <c r="J15" i="14"/>
  <c r="I15" i="14"/>
  <c r="H15" i="14"/>
  <c r="G15" i="14"/>
  <c r="F15" i="14"/>
  <c r="BM18" i="14"/>
  <c r="BM15" i="14"/>
  <c r="BM19" i="14" s="1"/>
  <c r="W29" i="19" l="1"/>
  <c r="W33" i="19" s="1"/>
  <c r="W35" i="19" s="1"/>
  <c r="BO24" i="2"/>
  <c r="BO31" i="2" s="1"/>
  <c r="BO33" i="2" s="1"/>
  <c r="BO37" i="2" s="1"/>
  <c r="W28" i="29"/>
  <c r="W23" i="29"/>
  <c r="O17" i="30"/>
  <c r="F13" i="14"/>
  <c r="G13"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AG13" i="14"/>
  <c r="AH13" i="14"/>
  <c r="AI13" i="14"/>
  <c r="AJ13" i="14"/>
  <c r="AK13" i="14"/>
  <c r="AL13" i="14"/>
  <c r="AM13" i="14"/>
  <c r="AN13" i="14"/>
  <c r="AO13" i="14"/>
  <c r="AP13" i="14"/>
  <c r="AQ13" i="14"/>
  <c r="AR13" i="14"/>
  <c r="AS13" i="14"/>
  <c r="AT13" i="14"/>
  <c r="AU13" i="14"/>
  <c r="AV13" i="14"/>
  <c r="AW13" i="14"/>
  <c r="AX13" i="14"/>
  <c r="AY13" i="14"/>
  <c r="AZ13" i="14"/>
  <c r="BA13" i="14"/>
  <c r="BB13" i="14"/>
  <c r="BC13" i="14"/>
  <c r="BD13" i="14"/>
  <c r="BE13" i="14"/>
  <c r="BF13" i="14"/>
  <c r="BG13" i="14"/>
  <c r="BH13" i="14"/>
  <c r="BI13" i="14"/>
  <c r="BJ13" i="14"/>
  <c r="BK13" i="14"/>
  <c r="BL13" i="14"/>
  <c r="BM13" i="14"/>
  <c r="F22" i="32" l="1"/>
  <c r="G22" i="32"/>
  <c r="H22" i="32"/>
  <c r="I22" i="32"/>
  <c r="J22" i="32"/>
  <c r="K22" i="32"/>
  <c r="L22" i="32"/>
  <c r="M22" i="32"/>
  <c r="N22" i="32"/>
  <c r="O22" i="32"/>
  <c r="P22" i="32"/>
  <c r="Q22" i="32"/>
  <c r="R22" i="32"/>
  <c r="S22" i="32"/>
  <c r="T22" i="32"/>
  <c r="U22" i="32"/>
  <c r="Z34" i="2" l="1"/>
  <c r="O22" i="30" l="1"/>
  <c r="O27" i="30" s="1"/>
  <c r="O28" i="30" s="1"/>
  <c r="T36" i="16"/>
  <c r="S36" i="16"/>
  <c r="R36" i="16"/>
  <c r="Q36" i="16"/>
  <c r="P36" i="16"/>
  <c r="O36" i="16"/>
  <c r="N36" i="16"/>
  <c r="M36" i="16"/>
  <c r="L36" i="16"/>
  <c r="K36" i="16"/>
  <c r="J36" i="16"/>
  <c r="I36" i="16"/>
  <c r="H36" i="16"/>
  <c r="G36" i="16"/>
  <c r="F36" i="16"/>
  <c r="T35" i="16"/>
  <c r="S35" i="16"/>
  <c r="R35" i="16"/>
  <c r="Q35" i="16"/>
  <c r="P35" i="16"/>
  <c r="O35" i="16"/>
  <c r="N35" i="16"/>
  <c r="M35" i="16"/>
  <c r="L35" i="16"/>
  <c r="K35" i="16"/>
  <c r="J35" i="16"/>
  <c r="I35" i="16"/>
  <c r="H35" i="16"/>
  <c r="G35" i="16"/>
  <c r="F35" i="16"/>
  <c r="T34" i="16"/>
  <c r="S34" i="16"/>
  <c r="R34" i="16"/>
  <c r="Q34" i="16"/>
  <c r="P34" i="16"/>
  <c r="O34" i="16"/>
  <c r="N34" i="16"/>
  <c r="M34" i="16"/>
  <c r="L34" i="16"/>
  <c r="K34" i="16"/>
  <c r="J34" i="16"/>
  <c r="I34" i="16"/>
  <c r="H34" i="16"/>
  <c r="G34" i="16"/>
  <c r="F34" i="16"/>
  <c r="T32" i="16"/>
  <c r="S32" i="16"/>
  <c r="R32" i="16"/>
  <c r="Q32" i="16"/>
  <c r="P32" i="16"/>
  <c r="O32" i="16"/>
  <c r="N32" i="16"/>
  <c r="M32" i="16"/>
  <c r="L32" i="16"/>
  <c r="K32" i="16"/>
  <c r="J32" i="16"/>
  <c r="I32" i="16"/>
  <c r="H32" i="16"/>
  <c r="G32" i="16"/>
  <c r="F32" i="16"/>
  <c r="T30" i="16"/>
  <c r="S30" i="16"/>
  <c r="R30" i="16"/>
  <c r="Q30" i="16"/>
  <c r="P30" i="16"/>
  <c r="O30" i="16"/>
  <c r="N30" i="16"/>
  <c r="M30" i="16"/>
  <c r="L30" i="16"/>
  <c r="K30" i="16"/>
  <c r="J30" i="16"/>
  <c r="I30" i="16"/>
  <c r="H30" i="16"/>
  <c r="G30" i="16"/>
  <c r="F30" i="16"/>
  <c r="T29" i="16"/>
  <c r="S29" i="16"/>
  <c r="R29" i="16"/>
  <c r="Q29" i="16"/>
  <c r="P29" i="16"/>
  <c r="O29" i="16"/>
  <c r="N29" i="16"/>
  <c r="M29" i="16"/>
  <c r="L29" i="16"/>
  <c r="K29" i="16"/>
  <c r="J29" i="16"/>
  <c r="I29" i="16"/>
  <c r="H29" i="16"/>
  <c r="G29" i="16"/>
  <c r="F29" i="16"/>
  <c r="T28" i="16"/>
  <c r="S28" i="16"/>
  <c r="R28" i="16"/>
  <c r="Q28" i="16"/>
  <c r="P28" i="16"/>
  <c r="O28" i="16"/>
  <c r="N28" i="16"/>
  <c r="M28" i="16"/>
  <c r="L28" i="16"/>
  <c r="K28" i="16"/>
  <c r="J28" i="16"/>
  <c r="I28" i="16"/>
  <c r="H28" i="16"/>
  <c r="G28" i="16"/>
  <c r="F28" i="16"/>
  <c r="T27" i="16"/>
  <c r="S27" i="16"/>
  <c r="R27" i="16"/>
  <c r="Q27" i="16"/>
  <c r="P27" i="16"/>
  <c r="O27" i="16"/>
  <c r="N27" i="16"/>
  <c r="M27" i="16"/>
  <c r="L27" i="16"/>
  <c r="K27" i="16"/>
  <c r="J27" i="16"/>
  <c r="I27" i="16"/>
  <c r="H27" i="16"/>
  <c r="G27" i="16"/>
  <c r="F27" i="16"/>
  <c r="T26" i="16"/>
  <c r="S26" i="16"/>
  <c r="R26" i="16"/>
  <c r="Q26" i="16"/>
  <c r="P26" i="16"/>
  <c r="P25" i="16" s="1"/>
  <c r="O26" i="16"/>
  <c r="N26" i="16"/>
  <c r="M26" i="16"/>
  <c r="L26" i="16"/>
  <c r="K26" i="16"/>
  <c r="J26" i="16"/>
  <c r="I26" i="16"/>
  <c r="H26" i="16"/>
  <c r="G26" i="16"/>
  <c r="F26" i="16"/>
  <c r="T23" i="16"/>
  <c r="S23" i="16"/>
  <c r="R23" i="16"/>
  <c r="Q23" i="16"/>
  <c r="P23" i="16"/>
  <c r="O23" i="16"/>
  <c r="N23" i="16"/>
  <c r="M23" i="16"/>
  <c r="L23" i="16"/>
  <c r="K23" i="16"/>
  <c r="J23" i="16"/>
  <c r="I23" i="16"/>
  <c r="H23" i="16"/>
  <c r="G23" i="16"/>
  <c r="F23" i="16"/>
  <c r="T22" i="16"/>
  <c r="S22" i="16"/>
  <c r="R22" i="16"/>
  <c r="Q22" i="16"/>
  <c r="P22" i="16"/>
  <c r="O22" i="16"/>
  <c r="N22" i="16"/>
  <c r="N19" i="16" s="1"/>
  <c r="M22" i="16"/>
  <c r="L22" i="16"/>
  <c r="K22" i="16"/>
  <c r="J22" i="16"/>
  <c r="I22" i="16"/>
  <c r="H22" i="16"/>
  <c r="G22" i="16"/>
  <c r="F22" i="16"/>
  <c r="T21" i="16"/>
  <c r="S21" i="16"/>
  <c r="R21" i="16"/>
  <c r="Q21" i="16"/>
  <c r="P21" i="16"/>
  <c r="O21" i="16"/>
  <c r="N21" i="16"/>
  <c r="M21" i="16"/>
  <c r="L21" i="16"/>
  <c r="K21" i="16"/>
  <c r="J21" i="16"/>
  <c r="I21" i="16"/>
  <c r="H21" i="16"/>
  <c r="G21" i="16"/>
  <c r="F21" i="16"/>
  <c r="T20" i="16"/>
  <c r="S20" i="16"/>
  <c r="R20" i="16"/>
  <c r="Q20" i="16"/>
  <c r="P20" i="16"/>
  <c r="O20" i="16"/>
  <c r="O19" i="16" s="1"/>
  <c r="N20" i="16"/>
  <c r="M20" i="16"/>
  <c r="L20" i="16"/>
  <c r="K20" i="16"/>
  <c r="J20" i="16"/>
  <c r="I20" i="16"/>
  <c r="H20" i="16"/>
  <c r="G20" i="16"/>
  <c r="F20" i="16"/>
  <c r="F15" i="16"/>
  <c r="G15" i="16"/>
  <c r="H15" i="16"/>
  <c r="I15" i="16"/>
  <c r="J15" i="16"/>
  <c r="K15" i="16"/>
  <c r="L15" i="16"/>
  <c r="M15" i="16"/>
  <c r="N15" i="16"/>
  <c r="O15" i="16"/>
  <c r="P15" i="16"/>
  <c r="Q15" i="16"/>
  <c r="R15" i="16"/>
  <c r="S15" i="16"/>
  <c r="T15" i="16"/>
  <c r="F16" i="16"/>
  <c r="G16" i="16"/>
  <c r="H16" i="16"/>
  <c r="I16" i="16"/>
  <c r="J16" i="16"/>
  <c r="K16" i="16"/>
  <c r="L16" i="16"/>
  <c r="M16" i="16"/>
  <c r="N16" i="16"/>
  <c r="O16" i="16"/>
  <c r="P16" i="16"/>
  <c r="Q16" i="16"/>
  <c r="R16" i="16"/>
  <c r="S16" i="16"/>
  <c r="T16" i="16"/>
  <c r="F17" i="16"/>
  <c r="G17" i="16"/>
  <c r="H17" i="16"/>
  <c r="I17" i="16"/>
  <c r="J17" i="16"/>
  <c r="K17" i="16"/>
  <c r="L17" i="16"/>
  <c r="M17" i="16"/>
  <c r="N17" i="16"/>
  <c r="O17" i="16"/>
  <c r="P17" i="16"/>
  <c r="Q17" i="16"/>
  <c r="R17" i="16"/>
  <c r="S17" i="16"/>
  <c r="T17" i="16"/>
  <c r="F18" i="16"/>
  <c r="G18" i="16"/>
  <c r="H18" i="16"/>
  <c r="I18" i="16"/>
  <c r="J18" i="16"/>
  <c r="K18" i="16"/>
  <c r="L18" i="16"/>
  <c r="M18" i="16"/>
  <c r="N18" i="16"/>
  <c r="O18" i="16"/>
  <c r="P18" i="16"/>
  <c r="Q18" i="16"/>
  <c r="R18" i="16"/>
  <c r="R13" i="16" s="1"/>
  <c r="S18" i="16"/>
  <c r="T18" i="16"/>
  <c r="G14" i="16"/>
  <c r="H14" i="16"/>
  <c r="I14" i="16"/>
  <c r="J14" i="16"/>
  <c r="K14" i="16"/>
  <c r="L14" i="16"/>
  <c r="L13" i="16" s="1"/>
  <c r="M14" i="16"/>
  <c r="N14" i="16"/>
  <c r="O14" i="16"/>
  <c r="P14" i="16"/>
  <c r="Q14" i="16"/>
  <c r="R14" i="16"/>
  <c r="S14" i="16"/>
  <c r="S13" i="16" s="1"/>
  <c r="T14" i="16"/>
  <c r="F14" i="16"/>
  <c r="AC22" i="2"/>
  <c r="L19" i="16" l="1"/>
  <c r="O25" i="16"/>
  <c r="Q25" i="16"/>
  <c r="R25" i="16"/>
  <c r="N25" i="16"/>
  <c r="R19" i="16"/>
  <c r="R24" i="16" s="1"/>
  <c r="S19" i="16"/>
  <c r="S24" i="16" s="1"/>
  <c r="M19" i="16"/>
  <c r="L24" i="16"/>
  <c r="P19" i="16"/>
  <c r="Q19" i="16"/>
  <c r="Q13" i="16"/>
  <c r="O13" i="16"/>
  <c r="S25" i="16"/>
  <c r="L25" i="16"/>
  <c r="M25" i="16"/>
  <c r="L31" i="16"/>
  <c r="L33" i="16" s="1"/>
  <c r="L37" i="16" s="1"/>
  <c r="Q24" i="16"/>
  <c r="Q31" i="16" s="1"/>
  <c r="Q33" i="16" s="1"/>
  <c r="Q37" i="16" s="1"/>
  <c r="O24" i="16"/>
  <c r="O31" i="16" s="1"/>
  <c r="O33" i="16" s="1"/>
  <c r="O37" i="16" s="1"/>
  <c r="P13" i="16"/>
  <c r="M13" i="16"/>
  <c r="N13" i="16"/>
  <c r="N24" i="16" s="1"/>
  <c r="N31" i="16" s="1"/>
  <c r="N33" i="16" s="1"/>
  <c r="N37" i="16" s="1"/>
  <c r="AA16" i="13" l="1"/>
  <c r="AA11" i="13" s="1"/>
  <c r="S31" i="16"/>
  <c r="S33" i="16" s="1"/>
  <c r="S37" i="16" s="1"/>
  <c r="R31" i="16"/>
  <c r="R33" i="16" s="1"/>
  <c r="R37" i="16" s="1"/>
  <c r="M24" i="16"/>
  <c r="P24" i="16"/>
  <c r="P31" i="16" s="1"/>
  <c r="P33" i="16" s="1"/>
  <c r="P37" i="16" s="1"/>
  <c r="M31" i="16"/>
  <c r="M33" i="16" s="1"/>
  <c r="M37" i="16" s="1"/>
  <c r="BK37" i="2" l="1"/>
  <c r="BJ37" i="2"/>
  <c r="BI37" i="2"/>
  <c r="BH37" i="2"/>
  <c r="BG37" i="2"/>
  <c r="BF37" i="2"/>
  <c r="BE37" i="2"/>
  <c r="BD37" i="2"/>
  <c r="BC37" i="2"/>
  <c r="BB37" i="2"/>
  <c r="BA37" i="2"/>
  <c r="AZ37" i="2"/>
  <c r="AY37" i="2"/>
  <c r="AX37" i="2"/>
  <c r="AW37" i="2"/>
  <c r="AU37" i="2"/>
  <c r="AT37" i="2"/>
  <c r="AS37" i="2"/>
  <c r="AR37" i="2"/>
  <c r="AQ37" i="2"/>
  <c r="AP37" i="2"/>
  <c r="AO37" i="2"/>
  <c r="AN37" i="2"/>
  <c r="AM37" i="2"/>
  <c r="AK37" i="2"/>
  <c r="AJ37" i="2"/>
  <c r="AI37" i="2"/>
  <c r="AG37" i="2"/>
  <c r="AF37" i="2"/>
  <c r="AE37" i="2"/>
  <c r="Y37" i="2"/>
  <c r="X37" i="2"/>
  <c r="W37" i="2"/>
  <c r="V37" i="2"/>
  <c r="U37" i="2"/>
  <c r="T37" i="2"/>
  <c r="S37" i="2"/>
  <c r="R37" i="2"/>
  <c r="Q37" i="2"/>
  <c r="P37" i="2"/>
  <c r="O37" i="2"/>
  <c r="N37" i="2"/>
  <c r="M37" i="2"/>
  <c r="L37" i="2"/>
  <c r="BK33" i="2"/>
  <c r="BJ33" i="2"/>
  <c r="BI33" i="2"/>
  <c r="BH33" i="2"/>
  <c r="BG33" i="2"/>
  <c r="BF33" i="2"/>
  <c r="BE33" i="2"/>
  <c r="BD33" i="2"/>
  <c r="BC33" i="2"/>
  <c r="BB33" i="2"/>
  <c r="BA33" i="2"/>
  <c r="AZ33" i="2"/>
  <c r="AY33" i="2"/>
  <c r="AX33" i="2"/>
  <c r="AW33" i="2"/>
  <c r="AU33" i="2"/>
  <c r="AT33" i="2"/>
  <c r="AS33" i="2"/>
  <c r="AR33" i="2"/>
  <c r="AQ33" i="2"/>
  <c r="AP33" i="2"/>
  <c r="AO33" i="2"/>
  <c r="AN33" i="2"/>
  <c r="AM33" i="2"/>
  <c r="AK33" i="2"/>
  <c r="AJ33" i="2"/>
  <c r="AI33" i="2"/>
  <c r="AG33" i="2"/>
  <c r="AF33" i="2"/>
  <c r="AE33" i="2"/>
  <c r="Y33" i="2"/>
  <c r="X33" i="2"/>
  <c r="W33" i="2"/>
  <c r="V33" i="2"/>
  <c r="U33" i="2"/>
  <c r="T33" i="2"/>
  <c r="S33" i="2"/>
  <c r="R33" i="2"/>
  <c r="Q33" i="2"/>
  <c r="P33" i="2"/>
  <c r="O33" i="2"/>
  <c r="N33" i="2"/>
  <c r="M33" i="2"/>
  <c r="L33" i="2"/>
  <c r="BK31" i="2"/>
  <c r="BJ31" i="2"/>
  <c r="BI31" i="2"/>
  <c r="BH31" i="2"/>
  <c r="BG31" i="2"/>
  <c r="BF31" i="2"/>
  <c r="BE31" i="2"/>
  <c r="BD31" i="2"/>
  <c r="BC31" i="2"/>
  <c r="BB31" i="2"/>
  <c r="BA31" i="2"/>
  <c r="AZ31" i="2"/>
  <c r="AY31" i="2"/>
  <c r="AX31" i="2"/>
  <c r="AW31" i="2"/>
  <c r="AU31" i="2"/>
  <c r="AT31" i="2"/>
  <c r="AS31" i="2"/>
  <c r="AR31" i="2"/>
  <c r="AQ31" i="2"/>
  <c r="AP31" i="2"/>
  <c r="AO31" i="2"/>
  <c r="AN31" i="2"/>
  <c r="AM31" i="2"/>
  <c r="AK31" i="2"/>
  <c r="AJ31" i="2"/>
  <c r="AI31" i="2"/>
  <c r="AG31" i="2"/>
  <c r="AF31" i="2"/>
  <c r="AE31" i="2"/>
  <c r="AD31" i="2"/>
  <c r="AD33" i="2" s="1"/>
  <c r="AD37" i="2" s="1"/>
  <c r="Y31" i="2"/>
  <c r="X31" i="2"/>
  <c r="W31" i="2"/>
  <c r="V31" i="2"/>
  <c r="U31" i="2"/>
  <c r="T31" i="2"/>
  <c r="S31" i="2"/>
  <c r="R31" i="2"/>
  <c r="Q31" i="2"/>
  <c r="P31" i="2"/>
  <c r="O31" i="2"/>
  <c r="N31" i="2"/>
  <c r="M31" i="2"/>
  <c r="L31" i="2"/>
  <c r="BA25" i="2"/>
  <c r="AZ25" i="2"/>
  <c r="AY25" i="2"/>
  <c r="AX25" i="2"/>
  <c r="AW25" i="2"/>
  <c r="AV25" i="2"/>
  <c r="AV31" i="2" s="1"/>
  <c r="AV33" i="2" s="1"/>
  <c r="AV37" i="2" s="1"/>
  <c r="AU25" i="2"/>
  <c r="AT25" i="2"/>
  <c r="AS25" i="2"/>
  <c r="AR25" i="2"/>
  <c r="AQ25" i="2"/>
  <c r="AP25" i="2"/>
  <c r="AO25" i="2"/>
  <c r="AN25" i="2"/>
  <c r="AM25" i="2"/>
  <c r="AL25" i="2"/>
  <c r="AK25" i="2"/>
  <c r="AJ25" i="2"/>
  <c r="AI25" i="2"/>
  <c r="AH25" i="2"/>
  <c r="AG25" i="2"/>
  <c r="AF25" i="2"/>
  <c r="AE25" i="2"/>
  <c r="AD25" i="2"/>
  <c r="AC25" i="2"/>
  <c r="AB25" i="2"/>
  <c r="AB31" i="2" s="1"/>
  <c r="AB33" i="2" s="1"/>
  <c r="AB37" i="2" s="1"/>
  <c r="AA25" i="2"/>
  <c r="AA31" i="2" s="1"/>
  <c r="AA33" i="2" s="1"/>
  <c r="AA37" i="2" s="1"/>
  <c r="Z25" i="2"/>
  <c r="Y25" i="2"/>
  <c r="X25" i="2"/>
  <c r="W25" i="2"/>
  <c r="V25" i="2"/>
  <c r="U25" i="2"/>
  <c r="T25" i="2"/>
  <c r="S25" i="2"/>
  <c r="R25" i="2"/>
  <c r="Q25" i="2"/>
  <c r="P25" i="2"/>
  <c r="O25" i="2"/>
  <c r="N25" i="2"/>
  <c r="M25" i="2"/>
  <c r="L25" i="2"/>
  <c r="K25" i="2"/>
  <c r="K31" i="2" s="1"/>
  <c r="K33" i="2" s="1"/>
  <c r="K37" i="2" s="1"/>
  <c r="J25" i="2"/>
  <c r="I25" i="2"/>
  <c r="H25" i="2"/>
  <c r="G25" i="2"/>
  <c r="G31" i="2" s="1"/>
  <c r="G33" i="2" s="1"/>
  <c r="G37" i="2" s="1"/>
  <c r="F25" i="2"/>
  <c r="G24" i="2"/>
  <c r="K24" i="2"/>
  <c r="L24" i="2"/>
  <c r="M24" i="2"/>
  <c r="N24" i="2"/>
  <c r="O24" i="2"/>
  <c r="P24" i="2"/>
  <c r="Q24" i="2"/>
  <c r="R24" i="2"/>
  <c r="S24" i="2"/>
  <c r="T24" i="2"/>
  <c r="U24" i="2"/>
  <c r="V24" i="2"/>
  <c r="W24" i="2"/>
  <c r="X24" i="2"/>
  <c r="Y24" i="2"/>
  <c r="AA24" i="2"/>
  <c r="AB24" i="2"/>
  <c r="AC24" i="2"/>
  <c r="AD24" i="2"/>
  <c r="AE24" i="2"/>
  <c r="AF24" i="2"/>
  <c r="AG24" i="2"/>
  <c r="AI24" i="2"/>
  <c r="AJ24" i="2"/>
  <c r="AK24" i="2"/>
  <c r="AM24" i="2"/>
  <c r="AN24" i="2"/>
  <c r="AO24" i="2"/>
  <c r="AP24" i="2"/>
  <c r="AQ24" i="2"/>
  <c r="AR24" i="2"/>
  <c r="AS24" i="2"/>
  <c r="AT24" i="2"/>
  <c r="AU24" i="2"/>
  <c r="AV24" i="2"/>
  <c r="AW24" i="2"/>
  <c r="AX24" i="2"/>
  <c r="AY24" i="2"/>
  <c r="AZ24" i="2"/>
  <c r="BA24" i="2"/>
  <c r="BB24" i="2"/>
  <c r="BC24" i="2"/>
  <c r="BD24" i="2"/>
  <c r="BE24" i="2"/>
  <c r="BF24" i="2"/>
  <c r="BG24" i="2"/>
  <c r="BH24" i="2"/>
  <c r="BI24" i="2"/>
  <c r="BJ24" i="2"/>
  <c r="BK24" i="2"/>
  <c r="F19" i="2"/>
  <c r="G19" i="2"/>
  <c r="H19" i="2"/>
  <c r="I19" i="2"/>
  <c r="J19" i="2"/>
  <c r="J24" i="2" s="1"/>
  <c r="K19" i="2"/>
  <c r="L19" i="2"/>
  <c r="M19" i="2"/>
  <c r="N19" i="2"/>
  <c r="O19" i="2"/>
  <c r="P19" i="2"/>
  <c r="Q19" i="2"/>
  <c r="R19" i="2"/>
  <c r="S19" i="2"/>
  <c r="T19" i="2"/>
  <c r="U19" i="2"/>
  <c r="V19" i="2"/>
  <c r="W19" i="2"/>
  <c r="X19" i="2"/>
  <c r="Y19" i="2"/>
  <c r="Z19" i="2"/>
  <c r="Z24" i="2" s="1"/>
  <c r="AA19" i="2"/>
  <c r="AB19" i="2"/>
  <c r="AC19" i="2"/>
  <c r="AD19" i="2"/>
  <c r="AE19" i="2"/>
  <c r="AF19" i="2"/>
  <c r="AG19" i="2"/>
  <c r="AH19" i="2"/>
  <c r="AI19" i="2"/>
  <c r="AJ19" i="2"/>
  <c r="AK19" i="2"/>
  <c r="AL19" i="2"/>
  <c r="AL24" i="2" s="1"/>
  <c r="AM19" i="2"/>
  <c r="AN19" i="2"/>
  <c r="AO19" i="2"/>
  <c r="AP19" i="2"/>
  <c r="AQ19" i="2"/>
  <c r="AR19" i="2"/>
  <c r="AS19" i="2"/>
  <c r="AT19" i="2"/>
  <c r="AU19" i="2"/>
  <c r="AV19" i="2"/>
  <c r="AW19" i="2"/>
  <c r="AX19" i="2"/>
  <c r="AY19" i="2"/>
  <c r="AZ19" i="2"/>
  <c r="BA19" i="2"/>
  <c r="BB19" i="2"/>
  <c r="BC19" i="2"/>
  <c r="BD19" i="2"/>
  <c r="BE19" i="2"/>
  <c r="BF19" i="2"/>
  <c r="BG19" i="2"/>
  <c r="BH19" i="2"/>
  <c r="BI19" i="2"/>
  <c r="BJ19" i="2"/>
  <c r="BK19" i="2"/>
  <c r="BL19" i="2"/>
  <c r="BL24" i="2" s="1"/>
  <c r="BL31" i="2" s="1"/>
  <c r="BL33" i="2" s="1"/>
  <c r="BL37" i="2" s="1"/>
  <c r="BM19" i="2"/>
  <c r="F13" i="2"/>
  <c r="G13" i="2"/>
  <c r="H13" i="2"/>
  <c r="H24" i="2" s="1"/>
  <c r="I13" i="2"/>
  <c r="J13" i="2"/>
  <c r="K13" i="2"/>
  <c r="L13" i="2"/>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AO13" i="2"/>
  <c r="AP13" i="2"/>
  <c r="AQ13" i="2"/>
  <c r="AR13" i="2"/>
  <c r="AS13" i="2"/>
  <c r="AT13" i="2"/>
  <c r="AU13" i="2"/>
  <c r="AV13" i="2"/>
  <c r="AW13" i="2"/>
  <c r="AX13" i="2"/>
  <c r="AC31" i="2" l="1"/>
  <c r="AC33" i="2" s="1"/>
  <c r="AC37" i="2" s="1"/>
  <c r="Z31" i="2"/>
  <c r="Z33" i="2" s="1"/>
  <c r="Z37" i="2" s="1"/>
  <c r="F24" i="2"/>
  <c r="F31" i="2"/>
  <c r="F33" i="2" s="1"/>
  <c r="F37" i="2" s="1"/>
  <c r="H31" i="2"/>
  <c r="H33" i="2" s="1"/>
  <c r="H37" i="2" s="1"/>
  <c r="I24" i="2"/>
  <c r="I31" i="2"/>
  <c r="I33" i="2" s="1"/>
  <c r="I37" i="2" s="1"/>
  <c r="J31" i="2"/>
  <c r="J33" i="2" s="1"/>
  <c r="J37" i="2" s="1"/>
  <c r="AH24" i="2"/>
  <c r="AH31" i="2" s="1"/>
  <c r="AH33" i="2" s="1"/>
  <c r="AH37" i="2" s="1"/>
  <c r="AL31" i="2"/>
  <c r="AL33" i="2" s="1"/>
  <c r="AL37" i="2" s="1"/>
  <c r="F34" i="20"/>
  <c r="G34" i="20"/>
  <c r="H34" i="20"/>
  <c r="I34" i="20"/>
  <c r="J34" i="20"/>
  <c r="K34" i="20"/>
  <c r="L34" i="20"/>
  <c r="M34" i="20"/>
  <c r="N34" i="20"/>
  <c r="O34" i="20"/>
  <c r="P34" i="20"/>
  <c r="Q34" i="20"/>
  <c r="R34" i="20"/>
  <c r="S34" i="20"/>
  <c r="T34" i="20"/>
  <c r="U34" i="20"/>
  <c r="V34" i="20"/>
  <c r="W34" i="20"/>
  <c r="X34" i="20"/>
  <c r="Y34" i="20"/>
  <c r="Z34" i="20"/>
  <c r="AA34" i="20"/>
  <c r="AB34" i="20"/>
  <c r="AC34" i="20"/>
  <c r="F28" i="29"/>
  <c r="G28" i="29"/>
  <c r="H28" i="29"/>
  <c r="I28" i="29"/>
  <c r="J28" i="29"/>
  <c r="K28" i="29"/>
  <c r="L28" i="29"/>
  <c r="M28" i="29"/>
  <c r="N28" i="29"/>
  <c r="O28" i="29"/>
  <c r="P28" i="29"/>
  <c r="Q28" i="29"/>
  <c r="R28" i="29"/>
  <c r="S28" i="29"/>
  <c r="F29" i="29"/>
  <c r="G29" i="29"/>
  <c r="H29" i="29"/>
  <c r="I29" i="29"/>
  <c r="J29" i="29"/>
  <c r="K29" i="29"/>
  <c r="L29" i="29"/>
  <c r="M29" i="29"/>
  <c r="N29" i="29"/>
  <c r="O29" i="29"/>
  <c r="P29" i="29"/>
  <c r="Q29" i="29"/>
  <c r="R29" i="29"/>
  <c r="S29" i="29"/>
  <c r="T29" i="29"/>
  <c r="U29" i="29"/>
  <c r="F30" i="29"/>
  <c r="G30" i="29"/>
  <c r="H30" i="29"/>
  <c r="I30" i="29"/>
  <c r="J30" i="29"/>
  <c r="K30" i="29"/>
  <c r="L30" i="29"/>
  <c r="M30" i="29"/>
  <c r="N30" i="29"/>
  <c r="O30" i="29"/>
  <c r="P30" i="29"/>
  <c r="Q30" i="29"/>
  <c r="R30" i="29"/>
  <c r="S30" i="29"/>
  <c r="T30" i="29"/>
  <c r="U30" i="29"/>
  <c r="F31" i="29"/>
  <c r="G31" i="29"/>
  <c r="H31" i="29"/>
  <c r="I31" i="29"/>
  <c r="J31" i="29"/>
  <c r="K31" i="29"/>
  <c r="L31" i="29"/>
  <c r="M31" i="29"/>
  <c r="N31" i="29"/>
  <c r="O31" i="29"/>
  <c r="P31" i="29"/>
  <c r="Q31" i="29"/>
  <c r="R31" i="29"/>
  <c r="S31" i="29"/>
  <c r="T31" i="29"/>
  <c r="U31" i="29"/>
  <c r="BN48" i="9" l="1"/>
  <c r="BJ48" i="9"/>
  <c r="BF48" i="9"/>
  <c r="BB48" i="9"/>
  <c r="AX48" i="9"/>
  <c r="AT48" i="9"/>
  <c r="AY35" i="9"/>
  <c r="BN35" i="9"/>
  <c r="BJ35" i="9"/>
  <c r="BG35" i="9"/>
  <c r="BF35" i="9"/>
  <c r="AX35" i="9"/>
  <c r="AT35" i="9"/>
  <c r="AQ35" i="9"/>
  <c r="BM35" i="9"/>
  <c r="BL35" i="9"/>
  <c r="BE35" i="9"/>
  <c r="BD35" i="9"/>
  <c r="AW35" i="9"/>
  <c r="AV35" i="9"/>
  <c r="BI35" i="9"/>
  <c r="BA35" i="9"/>
  <c r="BH35" i="9"/>
  <c r="AZ35" i="9"/>
  <c r="BC35" i="9"/>
  <c r="BK35" i="9"/>
  <c r="AU35" i="9"/>
  <c r="BN24" i="9"/>
  <c r="BM24" i="9"/>
  <c r="BF24" i="9"/>
  <c r="BE24" i="9"/>
  <c r="AX24" i="9"/>
  <c r="AW24" i="9"/>
  <c r="BN15" i="9"/>
  <c r="BM15" i="9"/>
  <c r="BG15" i="9"/>
  <c r="BE15" i="9"/>
  <c r="BB15" i="9"/>
  <c r="BA15" i="9"/>
  <c r="AY15" i="9"/>
  <c r="AQ15" i="9"/>
  <c r="AP15" i="9"/>
  <c r="BI15" i="9"/>
  <c r="BI30" i="9" s="1"/>
  <c r="BH15" i="9"/>
  <c r="AZ15" i="9"/>
  <c r="AT15" i="9"/>
  <c r="AS15" i="9"/>
  <c r="AR15" i="9"/>
  <c r="BL15" i="9"/>
  <c r="BF15" i="9"/>
  <c r="BD15" i="9"/>
  <c r="AX15" i="9"/>
  <c r="AW15" i="9"/>
  <c r="AV15" i="9"/>
  <c r="BJ15" i="9"/>
  <c r="AO56" i="9"/>
  <c r="AN56" i="9"/>
  <c r="AM56" i="9"/>
  <c r="AL56" i="9"/>
  <c r="AK56" i="9"/>
  <c r="AJ56" i="9"/>
  <c r="AI56" i="9"/>
  <c r="AH56" i="9"/>
  <c r="AG56" i="9"/>
  <c r="AF56" i="9"/>
  <c r="AE56" i="9"/>
  <c r="AD56" i="9"/>
  <c r="AC56" i="9"/>
  <c r="AB56" i="9"/>
  <c r="AA56" i="9"/>
  <c r="Z56" i="9"/>
  <c r="Y56" i="9"/>
  <c r="X56" i="9"/>
  <c r="W56" i="9"/>
  <c r="V56" i="9"/>
  <c r="U56" i="9"/>
  <c r="T56" i="9"/>
  <c r="S56" i="9"/>
  <c r="R56" i="9"/>
  <c r="Q56" i="9"/>
  <c r="P56" i="9"/>
  <c r="O56" i="9"/>
  <c r="N56" i="9"/>
  <c r="M56" i="9"/>
  <c r="L56" i="9"/>
  <c r="K56" i="9"/>
  <c r="J56" i="9"/>
  <c r="I56" i="9"/>
  <c r="H56" i="9"/>
  <c r="G56" i="9"/>
  <c r="BO48" i="9"/>
  <c r="BM48" i="9"/>
  <c r="BL48" i="9"/>
  <c r="BK48" i="9"/>
  <c r="BI48" i="9"/>
  <c r="BH48" i="9"/>
  <c r="BG48" i="9"/>
  <c r="BE48" i="9"/>
  <c r="BD48" i="9"/>
  <c r="BC48" i="9"/>
  <c r="BA48" i="9"/>
  <c r="AZ48" i="9"/>
  <c r="AY48" i="9"/>
  <c r="AW48" i="9"/>
  <c r="AV48" i="9"/>
  <c r="AU48" i="9"/>
  <c r="AS48" i="9"/>
  <c r="AR48" i="9"/>
  <c r="AQ48" i="9"/>
  <c r="AO48" i="9"/>
  <c r="AN48" i="9"/>
  <c r="AM48" i="9"/>
  <c r="AL48" i="9"/>
  <c r="AK48" i="9"/>
  <c r="AJ48" i="9"/>
  <c r="AI48" i="9"/>
  <c r="AH48" i="9"/>
  <c r="AG48" i="9"/>
  <c r="AF48" i="9"/>
  <c r="AE48" i="9"/>
  <c r="AD48" i="9"/>
  <c r="AC48" i="9"/>
  <c r="AB48" i="9"/>
  <c r="AA48" i="9"/>
  <c r="Z48" i="9"/>
  <c r="Y48" i="9"/>
  <c r="X48" i="9"/>
  <c r="W48" i="9"/>
  <c r="V48" i="9"/>
  <c r="U48" i="9"/>
  <c r="T48" i="9"/>
  <c r="S48" i="9"/>
  <c r="R48" i="9"/>
  <c r="Q48" i="9"/>
  <c r="P48" i="9"/>
  <c r="O48" i="9"/>
  <c r="N48" i="9"/>
  <c r="M48" i="9"/>
  <c r="L48" i="9"/>
  <c r="K48" i="9"/>
  <c r="J48" i="9"/>
  <c r="I48" i="9"/>
  <c r="H48" i="9"/>
  <c r="G48" i="9"/>
  <c r="BO35" i="9"/>
  <c r="BB35" i="9"/>
  <c r="AS35" i="9"/>
  <c r="AR35" i="9"/>
  <c r="AR56" i="9" s="1"/>
  <c r="AO35" i="9"/>
  <c r="AN35" i="9"/>
  <c r="AM35" i="9"/>
  <c r="AL35" i="9"/>
  <c r="AK35" i="9"/>
  <c r="AJ35" i="9"/>
  <c r="AI35" i="9"/>
  <c r="AH35" i="9"/>
  <c r="AG35" i="9"/>
  <c r="AF35" i="9"/>
  <c r="AE35" i="9"/>
  <c r="AD35" i="9"/>
  <c r="AC35" i="9"/>
  <c r="AB35" i="9"/>
  <c r="AA35" i="9"/>
  <c r="Z35" i="9"/>
  <c r="Y35" i="9"/>
  <c r="X35" i="9"/>
  <c r="W35" i="9"/>
  <c r="V35" i="9"/>
  <c r="U35" i="9"/>
  <c r="T35" i="9"/>
  <c r="S35" i="9"/>
  <c r="R35" i="9"/>
  <c r="Q35" i="9"/>
  <c r="P35" i="9"/>
  <c r="O35" i="9"/>
  <c r="N35" i="9"/>
  <c r="M35" i="9"/>
  <c r="L35" i="9"/>
  <c r="K35" i="9"/>
  <c r="J35" i="9"/>
  <c r="I35" i="9"/>
  <c r="H35" i="9"/>
  <c r="G35" i="9"/>
  <c r="AO30" i="9"/>
  <c r="AN30" i="9"/>
  <c r="AM30" i="9"/>
  <c r="AL30" i="9"/>
  <c r="AK30" i="9"/>
  <c r="AJ30" i="9"/>
  <c r="AI30" i="9"/>
  <c r="AH30" i="9"/>
  <c r="AG30" i="9"/>
  <c r="AF30" i="9"/>
  <c r="AE30" i="9"/>
  <c r="AD30" i="9"/>
  <c r="O30" i="9"/>
  <c r="BO24" i="9"/>
  <c r="BL24" i="9"/>
  <c r="BK24" i="9"/>
  <c r="BJ24" i="9"/>
  <c r="BI24" i="9"/>
  <c r="BH24" i="9"/>
  <c r="BG24" i="9"/>
  <c r="BD24" i="9"/>
  <c r="BC24" i="9"/>
  <c r="BB24" i="9"/>
  <c r="BA24" i="9"/>
  <c r="AZ24" i="9"/>
  <c r="AY24" i="9"/>
  <c r="AV24" i="9"/>
  <c r="AU24" i="9"/>
  <c r="AT24" i="9"/>
  <c r="AS24" i="9"/>
  <c r="AR24" i="9"/>
  <c r="AQ24" i="9"/>
  <c r="AO24" i="9"/>
  <c r="AN24" i="9"/>
  <c r="AM24" i="9"/>
  <c r="AL24" i="9"/>
  <c r="AK24" i="9"/>
  <c r="AJ24" i="9"/>
  <c r="AI24" i="9"/>
  <c r="AH24" i="9"/>
  <c r="AG24" i="9"/>
  <c r="AF24" i="9"/>
  <c r="AE24" i="9"/>
  <c r="AD24" i="9"/>
  <c r="AC24" i="9"/>
  <c r="AC30" i="9" s="1"/>
  <c r="AB24" i="9"/>
  <c r="AB30" i="9" s="1"/>
  <c r="AA24" i="9"/>
  <c r="AA30" i="9" s="1"/>
  <c r="Z24" i="9"/>
  <c r="Z30" i="9" s="1"/>
  <c r="Y24" i="9"/>
  <c r="Y30" i="9" s="1"/>
  <c r="X24" i="9"/>
  <c r="X30" i="9" s="1"/>
  <c r="W24" i="9"/>
  <c r="W30" i="9" s="1"/>
  <c r="V24" i="9"/>
  <c r="V30" i="9" s="1"/>
  <c r="U24" i="9"/>
  <c r="U30" i="9" s="1"/>
  <c r="T24" i="9"/>
  <c r="T30" i="9" s="1"/>
  <c r="S24" i="9"/>
  <c r="S30" i="9" s="1"/>
  <c r="R24" i="9"/>
  <c r="R30" i="9" s="1"/>
  <c r="Q24" i="9"/>
  <c r="Q30" i="9" s="1"/>
  <c r="P24" i="9"/>
  <c r="P30" i="9" s="1"/>
  <c r="O24" i="9"/>
  <c r="N24" i="9"/>
  <c r="N30" i="9" s="1"/>
  <c r="M24" i="9"/>
  <c r="M30" i="9" s="1"/>
  <c r="L24" i="9"/>
  <c r="L30" i="9" s="1"/>
  <c r="K24" i="9"/>
  <c r="K30" i="9" s="1"/>
  <c r="J24" i="9"/>
  <c r="J30" i="9" s="1"/>
  <c r="I24" i="9"/>
  <c r="I30" i="9" s="1"/>
  <c r="H24" i="9"/>
  <c r="H30" i="9" s="1"/>
  <c r="G24" i="9"/>
  <c r="G30" i="9" s="1"/>
  <c r="BO15" i="9"/>
  <c r="BK15" i="9"/>
  <c r="BK30" i="9" s="1"/>
  <c r="BC15" i="9"/>
  <c r="BC30" i="9" s="1"/>
  <c r="AU15" i="9"/>
  <c r="AO15" i="9"/>
  <c r="AN15" i="9"/>
  <c r="AM15" i="9"/>
  <c r="AL15" i="9"/>
  <c r="AK15"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56" i="9"/>
  <c r="BO56" i="9" l="1"/>
  <c r="BO30" i="9"/>
  <c r="BK56" i="9"/>
  <c r="BB56" i="9"/>
  <c r="AP48" i="9"/>
  <c r="AV56" i="9"/>
  <c r="BD56" i="9"/>
  <c r="AU56" i="9"/>
  <c r="AW56" i="9"/>
  <c r="BC56" i="9"/>
  <c r="BE56" i="9"/>
  <c r="BJ56" i="9"/>
  <c r="AS56" i="9"/>
  <c r="BL56" i="9"/>
  <c r="BM56" i="9"/>
  <c r="AY56" i="9"/>
  <c r="BG56" i="9"/>
  <c r="BA56" i="9"/>
  <c r="AQ56" i="9"/>
  <c r="BI56" i="9"/>
  <c r="AT56" i="9"/>
  <c r="BF56" i="9"/>
  <c r="AX56" i="9"/>
  <c r="AZ56" i="9"/>
  <c r="BN56" i="9"/>
  <c r="BH56" i="9"/>
  <c r="AP35" i="9"/>
  <c r="AY30" i="9"/>
  <c r="AR30" i="9"/>
  <c r="AV30" i="9"/>
  <c r="AT30" i="9"/>
  <c r="BB30" i="9"/>
  <c r="AW30" i="9"/>
  <c r="AZ30" i="9"/>
  <c r="BE30" i="9"/>
  <c r="AX30" i="9"/>
  <c r="BH30" i="9"/>
  <c r="BG30" i="9"/>
  <c r="BD30" i="9"/>
  <c r="BM30" i="9"/>
  <c r="AU30" i="9"/>
  <c r="BF30" i="9"/>
  <c r="BN30" i="9"/>
  <c r="BL30" i="9"/>
  <c r="AQ30" i="9"/>
  <c r="BJ30" i="9"/>
  <c r="AS30" i="9"/>
  <c r="BA30" i="9"/>
  <c r="AP24" i="9"/>
  <c r="AP30" i="9" s="1"/>
  <c r="AP56" i="9" l="1"/>
  <c r="W15" i="21" l="1"/>
  <c r="W11" i="21" s="1"/>
  <c r="AE34" i="20"/>
  <c r="O81" i="31"/>
  <c r="O64" i="31"/>
  <c r="O71" i="31" s="1"/>
  <c r="O65" i="31"/>
  <c r="O72" i="31" s="1"/>
  <c r="O42" i="31"/>
  <c r="O43" i="31"/>
  <c r="O44" i="31"/>
  <c r="O38" i="31"/>
  <c r="O45" i="31" s="1"/>
  <c r="O25" i="31"/>
  <c r="O26" i="31"/>
  <c r="O27" i="31"/>
  <c r="O18" i="31"/>
  <c r="O28" i="31" s="1"/>
  <c r="W47" i="32"/>
  <c r="W27" i="32"/>
  <c r="W32" i="32" s="1"/>
  <c r="W26" i="32"/>
  <c r="W31" i="32" s="1"/>
  <c r="O66" i="31" l="1"/>
  <c r="O73" i="31" s="1"/>
  <c r="O58" i="31"/>
  <c r="O70" i="31"/>
  <c r="M22" i="28"/>
  <c r="M23" i="28"/>
  <c r="L23" i="28"/>
  <c r="L22" i="28"/>
  <c r="N22" i="28" l="1"/>
  <c r="N23" i="28"/>
  <c r="BN13" i="14" l="1"/>
  <c r="BN15" i="14"/>
  <c r="V15" i="21"/>
  <c r="V11" i="21" s="1"/>
  <c r="Z16" i="13"/>
  <c r="Z12" i="13"/>
  <c r="AD23" i="20"/>
  <c r="AD25" i="20" s="1"/>
  <c r="AD34" i="20"/>
  <c r="N25" i="31"/>
  <c r="N26" i="31"/>
  <c r="N27" i="31"/>
  <c r="N18" i="31"/>
  <c r="N42" i="31"/>
  <c r="N43" i="31"/>
  <c r="N44" i="31"/>
  <c r="N38" i="31"/>
  <c r="N63" i="31"/>
  <c r="N64" i="31"/>
  <c r="N71" i="31" s="1"/>
  <c r="N65" i="31"/>
  <c r="N72" i="31" s="1"/>
  <c r="V22" i="32"/>
  <c r="V27" i="32"/>
  <c r="V32" i="32" s="1"/>
  <c r="V26" i="32"/>
  <c r="V47" i="32"/>
  <c r="V13" i="29"/>
  <c r="V18" i="29"/>
  <c r="V23" i="29"/>
  <c r="V29" i="29"/>
  <c r="V30" i="29"/>
  <c r="V31" i="29"/>
  <c r="V99" i="29"/>
  <c r="V108" i="29"/>
  <c r="V124" i="29"/>
  <c r="N16" i="30"/>
  <c r="M29" i="28"/>
  <c r="V13" i="19"/>
  <c r="V18" i="19" s="1"/>
  <c r="V19" i="19"/>
  <c r="V23" i="19"/>
  <c r="BN13" i="2"/>
  <c r="BN19" i="2"/>
  <c r="BN25" i="2"/>
  <c r="N25" i="28"/>
  <c r="N29" i="28"/>
  <c r="BN24" i="2" l="1"/>
  <c r="BN31" i="2" s="1"/>
  <c r="BN33" i="2" s="1"/>
  <c r="BN37" i="2" s="1"/>
  <c r="Z11" i="13"/>
  <c r="V31" i="32"/>
  <c r="V28" i="29"/>
  <c r="N45" i="31"/>
  <c r="N28" i="31"/>
  <c r="N66" i="31"/>
  <c r="N73" i="31" s="1"/>
  <c r="N70" i="31"/>
  <c r="N81" i="31"/>
  <c r="N17" i="30"/>
  <c r="N22" i="30"/>
  <c r="N27" i="30" s="1"/>
  <c r="M25" i="28"/>
  <c r="V29" i="19"/>
  <c r="V33" i="19" s="1"/>
  <c r="V35" i="19" s="1"/>
  <c r="Y21" i="13"/>
  <c r="Y20" i="13"/>
  <c r="Y19" i="13"/>
  <c r="Y18" i="13"/>
  <c r="Y17" i="13"/>
  <c r="Y15" i="13"/>
  <c r="Y14" i="13"/>
  <c r="Y13" i="13"/>
  <c r="N58" i="31" l="1"/>
  <c r="N28" i="30"/>
  <c r="Y16" i="13"/>
  <c r="Y12" i="13"/>
  <c r="R32" i="24"/>
  <c r="R31" i="24"/>
  <c r="R30" i="24"/>
  <c r="R28" i="24"/>
  <c r="R27" i="24"/>
  <c r="R26" i="24"/>
  <c r="R25" i="24"/>
  <c r="R23" i="24" s="1"/>
  <c r="R24" i="24"/>
  <c r="R22" i="24"/>
  <c r="R21" i="24"/>
  <c r="R20" i="24"/>
  <c r="R17" i="24"/>
  <c r="R15" i="24"/>
  <c r="R16" i="24"/>
  <c r="R14" i="24"/>
  <c r="Y11" i="13" l="1"/>
  <c r="R19" i="24"/>
  <c r="R13" i="24"/>
  <c r="R18" i="24" s="1"/>
  <c r="BM25" i="2"/>
  <c r="X16" i="13"/>
  <c r="AC23" i="20"/>
  <c r="AC25" i="20" s="1"/>
  <c r="M65" i="31"/>
  <c r="M43" i="31"/>
  <c r="M18" i="31"/>
  <c r="U47" i="32"/>
  <c r="U27" i="32"/>
  <c r="U108" i="29"/>
  <c r="U18" i="29"/>
  <c r="U23" i="19"/>
  <c r="U19" i="19"/>
  <c r="U13" i="19"/>
  <c r="BM13" i="2"/>
  <c r="L25" i="28"/>
  <c r="L29" i="28"/>
  <c r="BL13" i="2"/>
  <c r="BL25" i="2"/>
  <c r="X12" i="13"/>
  <c r="M26" i="31"/>
  <c r="M27" i="31"/>
  <c r="M63" i="31"/>
  <c r="U13" i="29"/>
  <c r="U99" i="29"/>
  <c r="U124" i="29"/>
  <c r="M16" i="30"/>
  <c r="M72" i="31" l="1"/>
  <c r="R29" i="24"/>
  <c r="R33" i="24" s="1"/>
  <c r="U11" i="21"/>
  <c r="U28" i="29"/>
  <c r="T25" i="16"/>
  <c r="T19" i="16"/>
  <c r="T13" i="16"/>
  <c r="X11" i="13"/>
  <c r="M38" i="31"/>
  <c r="M45" i="31" s="1"/>
  <c r="M64" i="31"/>
  <c r="M44" i="31"/>
  <c r="U32" i="32"/>
  <c r="M28" i="31"/>
  <c r="BM24" i="2"/>
  <c r="BM31" i="2" s="1"/>
  <c r="BM33" i="2" s="1"/>
  <c r="BM37" i="2" s="1"/>
  <c r="M70" i="31"/>
  <c r="M81" i="31"/>
  <c r="M42" i="31"/>
  <c r="M25" i="31"/>
  <c r="U26" i="32"/>
  <c r="U23" i="29"/>
  <c r="M17" i="30"/>
  <c r="M22" i="30"/>
  <c r="M27" i="30" s="1"/>
  <c r="U18" i="19"/>
  <c r="U29" i="19" s="1"/>
  <c r="U33" i="19" s="1"/>
  <c r="U35" i="19" s="1"/>
  <c r="BM12" i="15"/>
  <c r="M71" i="31" l="1"/>
  <c r="U31" i="32"/>
  <c r="M66" i="31"/>
  <c r="M58" i="31"/>
  <c r="M28" i="30"/>
  <c r="T24" i="16"/>
  <c r="T31" i="16" s="1"/>
  <c r="T33" i="16" s="1"/>
  <c r="T37" i="16" s="1"/>
  <c r="M73" i="31" l="1"/>
  <c r="O15" i="21"/>
  <c r="P15" i="21"/>
  <c r="Q15" i="21"/>
  <c r="R15" i="21"/>
  <c r="S15" i="21"/>
  <c r="T15" i="21"/>
  <c r="T108" i="29" l="1"/>
  <c r="T99" i="29"/>
  <c r="T124" i="29"/>
  <c r="BL12" i="15" l="1"/>
  <c r="T11" i="21" l="1"/>
  <c r="W16" i="13"/>
  <c r="W12" i="13"/>
  <c r="AB23" i="20"/>
  <c r="AB25" i="20" s="1"/>
  <c r="L81" i="31"/>
  <c r="L65" i="31"/>
  <c r="L72" i="31" s="1"/>
  <c r="L64" i="31"/>
  <c r="L71" i="31" s="1"/>
  <c r="L63" i="31"/>
  <c r="L44" i="31"/>
  <c r="L43" i="31"/>
  <c r="L42" i="31"/>
  <c r="L38" i="31"/>
  <c r="L27" i="31"/>
  <c r="L26" i="31"/>
  <c r="L25" i="31"/>
  <c r="L18" i="31"/>
  <c r="T47" i="32"/>
  <c r="T27" i="32"/>
  <c r="T26" i="32"/>
  <c r="T32" i="32"/>
  <c r="T28" i="29"/>
  <c r="T23" i="29"/>
  <c r="T18" i="29"/>
  <c r="T13" i="29"/>
  <c r="L16" i="30"/>
  <c r="L22" i="30" s="1"/>
  <c r="L27" i="30" s="1"/>
  <c r="T23" i="19"/>
  <c r="T19" i="19"/>
  <c r="T13" i="19"/>
  <c r="T18" i="19" s="1"/>
  <c r="J16" i="30"/>
  <c r="I16" i="30"/>
  <c r="H16" i="30"/>
  <c r="G16" i="30"/>
  <c r="F16" i="30"/>
  <c r="K16" i="30"/>
  <c r="T31" i="32" l="1"/>
  <c r="L28" i="30"/>
  <c r="L17" i="30"/>
  <c r="L66" i="31"/>
  <c r="L73" i="31" s="1"/>
  <c r="L70" i="31"/>
  <c r="L28" i="31"/>
  <c r="L45" i="31"/>
  <c r="T29" i="19"/>
  <c r="T33" i="19" s="1"/>
  <c r="T35" i="19" s="1"/>
  <c r="W11" i="13"/>
  <c r="K65" i="31"/>
  <c r="K64" i="31"/>
  <c r="K63" i="31"/>
  <c r="K70" i="31" s="1"/>
  <c r="K44" i="31"/>
  <c r="K43" i="31"/>
  <c r="K42" i="31"/>
  <c r="K38" i="31"/>
  <c r="K25" i="31"/>
  <c r="K18" i="31"/>
  <c r="K28" i="31" s="1"/>
  <c r="L58" i="31" l="1"/>
  <c r="K66" i="31"/>
  <c r="K73" i="31" s="1"/>
  <c r="S47" i="32"/>
  <c r="S108" i="29"/>
  <c r="S99" i="29"/>
  <c r="S13" i="29"/>
  <c r="S23" i="29"/>
  <c r="BK25" i="2" l="1"/>
  <c r="R47" i="32" l="1"/>
  <c r="Q47" i="32"/>
  <c r="P47" i="32"/>
  <c r="O47" i="32"/>
  <c r="N47" i="32"/>
  <c r="S27" i="32"/>
  <c r="S26" i="32"/>
  <c r="S124" i="29" l="1"/>
  <c r="S33" i="19" l="1"/>
  <c r="S19" i="19"/>
  <c r="R19" i="19"/>
  <c r="S18" i="19"/>
  <c r="S13" i="19"/>
  <c r="S29" i="19" l="1"/>
  <c r="S11" i="21" l="1"/>
  <c r="V16" i="13"/>
  <c r="V12" i="13"/>
  <c r="AA23" i="20"/>
  <c r="AA25" i="20" s="1"/>
  <c r="K81" i="31"/>
  <c r="K72" i="31"/>
  <c r="K71" i="31"/>
  <c r="K27" i="31"/>
  <c r="K26" i="31"/>
  <c r="S32" i="32"/>
  <c r="S31" i="32"/>
  <c r="S18" i="29"/>
  <c r="K17" i="30"/>
  <c r="K22" i="30"/>
  <c r="K27" i="30" s="1"/>
  <c r="S23" i="19"/>
  <c r="BK13" i="2"/>
  <c r="J63" i="31"/>
  <c r="J64" i="31"/>
  <c r="K28" i="30" l="1"/>
  <c r="K45" i="31"/>
  <c r="K58" i="31" s="1"/>
  <c r="V11" i="13"/>
  <c r="S35" i="19"/>
  <c r="R11" i="21" l="1"/>
  <c r="U16" i="13"/>
  <c r="U12" i="13"/>
  <c r="Z23" i="20"/>
  <c r="Z25" i="20" s="1"/>
  <c r="J18" i="31"/>
  <c r="J25" i="31"/>
  <c r="J26" i="31"/>
  <c r="J27" i="31"/>
  <c r="J38" i="31"/>
  <c r="J42" i="31"/>
  <c r="J43" i="31"/>
  <c r="J44" i="31"/>
  <c r="J70" i="31"/>
  <c r="J71" i="31"/>
  <c r="J65" i="31"/>
  <c r="J72" i="31" s="1"/>
  <c r="J81" i="31"/>
  <c r="R26" i="32"/>
  <c r="R27" i="32"/>
  <c r="R13" i="29"/>
  <c r="J17" i="30" s="1"/>
  <c r="R18" i="29"/>
  <c r="R23" i="29"/>
  <c r="R99" i="29"/>
  <c r="R108" i="29"/>
  <c r="R124" i="29"/>
  <c r="J22" i="30"/>
  <c r="J27" i="30" s="1"/>
  <c r="R13" i="19"/>
  <c r="R18" i="19" s="1"/>
  <c r="R23" i="19"/>
  <c r="BJ13" i="2"/>
  <c r="BJ25" i="2"/>
  <c r="F19" i="19"/>
  <c r="G19" i="19"/>
  <c r="H19" i="19"/>
  <c r="I19" i="19"/>
  <c r="F13" i="19"/>
  <c r="G13" i="19"/>
  <c r="H13" i="19"/>
  <c r="I13" i="19"/>
  <c r="J21" i="13"/>
  <c r="J20" i="13"/>
  <c r="J19" i="13"/>
  <c r="J18" i="13"/>
  <c r="J17" i="13"/>
  <c r="J15" i="13"/>
  <c r="J14" i="13"/>
  <c r="J13" i="13"/>
  <c r="U11" i="13" l="1"/>
  <c r="R32" i="32"/>
  <c r="J12" i="13"/>
  <c r="J28" i="31"/>
  <c r="J16" i="13"/>
  <c r="J11" i="13" s="1"/>
  <c r="R31" i="32"/>
  <c r="J28" i="30"/>
  <c r="J45" i="31"/>
  <c r="J66" i="31"/>
  <c r="J73" i="31" s="1"/>
  <c r="R29" i="19"/>
  <c r="R33" i="19" s="1"/>
  <c r="R35" i="19" s="1"/>
  <c r="H12" i="13"/>
  <c r="J58" i="31" l="1"/>
  <c r="I12" i="13"/>
  <c r="G18" i="19" l="1"/>
  <c r="G23" i="19"/>
  <c r="G29" i="19" l="1"/>
  <c r="G33" i="19" s="1"/>
  <c r="G35" i="19" s="1"/>
  <c r="F70" i="31"/>
  <c r="F72" i="31"/>
  <c r="F71" i="31"/>
  <c r="G25" i="31"/>
  <c r="H25" i="31"/>
  <c r="I25" i="31"/>
  <c r="G26" i="31"/>
  <c r="H26" i="31"/>
  <c r="I26" i="31"/>
  <c r="F26" i="31"/>
  <c r="F25" i="31"/>
  <c r="G44" i="31"/>
  <c r="H44" i="31"/>
  <c r="I44" i="31"/>
  <c r="F44" i="31"/>
  <c r="G43" i="31"/>
  <c r="H43" i="31"/>
  <c r="I43" i="31"/>
  <c r="F43" i="31"/>
  <c r="G42" i="31"/>
  <c r="H42" i="31"/>
  <c r="I42" i="31"/>
  <c r="F42" i="31"/>
  <c r="Q27" i="32"/>
  <c r="P27" i="32"/>
  <c r="O27" i="32"/>
  <c r="N27" i="32"/>
  <c r="M27" i="32"/>
  <c r="L27" i="32"/>
  <c r="K27" i="32"/>
  <c r="J27" i="32"/>
  <c r="I27" i="32"/>
  <c r="H27" i="32"/>
  <c r="G27" i="32"/>
  <c r="F27" i="32"/>
  <c r="F32" i="32" s="1"/>
  <c r="Q26" i="32"/>
  <c r="P26" i="32"/>
  <c r="O26" i="32"/>
  <c r="N26" i="32"/>
  <c r="M26" i="32"/>
  <c r="L26" i="32"/>
  <c r="K26" i="32"/>
  <c r="J26" i="32"/>
  <c r="I26" i="32"/>
  <c r="H26" i="32"/>
  <c r="G26" i="32"/>
  <c r="F26" i="32"/>
  <c r="F31" i="32" s="1"/>
  <c r="F66" i="31"/>
  <c r="I65" i="31"/>
  <c r="I72" i="31" s="1"/>
  <c r="H65" i="31"/>
  <c r="H72" i="31" s="1"/>
  <c r="G65" i="31"/>
  <c r="G72" i="31" s="1"/>
  <c r="I64" i="31"/>
  <c r="I71" i="31" s="1"/>
  <c r="H64" i="31"/>
  <c r="H71" i="31" s="1"/>
  <c r="G64" i="31"/>
  <c r="G71" i="31" s="1"/>
  <c r="I63" i="31"/>
  <c r="I70" i="31" s="1"/>
  <c r="H63" i="31"/>
  <c r="H70" i="31" s="1"/>
  <c r="G63" i="31"/>
  <c r="G70" i="31" s="1"/>
  <c r="I81" i="31"/>
  <c r="H81" i="31"/>
  <c r="G81" i="31"/>
  <c r="F81" i="31"/>
  <c r="I27" i="31"/>
  <c r="H17" i="31"/>
  <c r="H18" i="31" s="1"/>
  <c r="G17" i="31"/>
  <c r="G27" i="31" s="1"/>
  <c r="F17" i="31"/>
  <c r="F27" i="31" s="1"/>
  <c r="I38" i="31"/>
  <c r="H38" i="31"/>
  <c r="G38" i="31"/>
  <c r="F38" i="31"/>
  <c r="I22" i="30"/>
  <c r="I27" i="30" s="1"/>
  <c r="H22" i="30"/>
  <c r="H27" i="30" s="1"/>
  <c r="G22" i="30"/>
  <c r="G27" i="30" s="1"/>
  <c r="F22" i="30"/>
  <c r="F27" i="30" s="1"/>
  <c r="H27" i="31" l="1"/>
  <c r="I66" i="31"/>
  <c r="F18" i="31"/>
  <c r="H31" i="32"/>
  <c r="P31" i="32"/>
  <c r="K31" i="32"/>
  <c r="O32" i="32"/>
  <c r="M31" i="32"/>
  <c r="I31" i="32"/>
  <c r="Q31" i="32"/>
  <c r="L31" i="32"/>
  <c r="H32" i="32"/>
  <c r="P32" i="32"/>
  <c r="G32" i="32"/>
  <c r="I32" i="32"/>
  <c r="Q32" i="32"/>
  <c r="N31" i="32"/>
  <c r="J32" i="32"/>
  <c r="G31" i="32"/>
  <c r="O31" i="32"/>
  <c r="K32" i="32"/>
  <c r="L32" i="32"/>
  <c r="M32" i="32"/>
  <c r="J31" i="32"/>
  <c r="N32" i="32"/>
  <c r="G66" i="31"/>
  <c r="G18" i="31"/>
  <c r="I18" i="31"/>
  <c r="H66" i="31"/>
  <c r="G25" i="16" l="1"/>
  <c r="H25" i="16"/>
  <c r="I25" i="16"/>
  <c r="J25" i="16"/>
  <c r="K25" i="16"/>
  <c r="G19" i="16"/>
  <c r="H19" i="16"/>
  <c r="I19" i="16"/>
  <c r="J19" i="16"/>
  <c r="K19" i="16"/>
  <c r="G13" i="16"/>
  <c r="H13" i="16"/>
  <c r="I13" i="16"/>
  <c r="J13" i="16"/>
  <c r="K13" i="16"/>
  <c r="Q13" i="29"/>
  <c r="Q18" i="29"/>
  <c r="Q23" i="29"/>
  <c r="I28" i="30"/>
  <c r="Q124" i="29"/>
  <c r="Q99" i="29"/>
  <c r="Q108" i="29"/>
  <c r="P108" i="29"/>
  <c r="O108" i="29"/>
  <c r="N108" i="29"/>
  <c r="M108" i="29"/>
  <c r="L108" i="29"/>
  <c r="K108" i="29"/>
  <c r="J108" i="29"/>
  <c r="I108" i="29"/>
  <c r="H108" i="29"/>
  <c r="G108" i="29"/>
  <c r="F108" i="29"/>
  <c r="P99" i="29"/>
  <c r="O99" i="29"/>
  <c r="N99" i="29"/>
  <c r="M99" i="29"/>
  <c r="L99" i="29"/>
  <c r="K99" i="29"/>
  <c r="J99" i="29"/>
  <c r="I99" i="29"/>
  <c r="H99" i="29"/>
  <c r="G99" i="29"/>
  <c r="F99" i="29"/>
  <c r="P124" i="29"/>
  <c r="O124" i="29"/>
  <c r="N124" i="29"/>
  <c r="M124" i="29"/>
  <c r="L124" i="29"/>
  <c r="K124" i="29"/>
  <c r="J124" i="29"/>
  <c r="I118" i="29"/>
  <c r="H118" i="29"/>
  <c r="G118" i="29"/>
  <c r="F118" i="29"/>
  <c r="H28" i="30"/>
  <c r="G28" i="30"/>
  <c r="F28" i="30"/>
  <c r="P23" i="29"/>
  <c r="O23" i="29"/>
  <c r="N23" i="29"/>
  <c r="M23" i="29"/>
  <c r="L23" i="29"/>
  <c r="K23" i="29"/>
  <c r="J23" i="29"/>
  <c r="I23" i="29"/>
  <c r="H23" i="29"/>
  <c r="G23" i="29"/>
  <c r="F23" i="29"/>
  <c r="P18" i="29"/>
  <c r="O18" i="29"/>
  <c r="N18" i="29"/>
  <c r="M18" i="29"/>
  <c r="L18" i="29"/>
  <c r="K18" i="29"/>
  <c r="J18" i="29"/>
  <c r="I18" i="29"/>
  <c r="H18" i="29"/>
  <c r="G18" i="29"/>
  <c r="F18" i="29"/>
  <c r="P13" i="29"/>
  <c r="H73" i="31" s="1"/>
  <c r="O13" i="29"/>
  <c r="G45" i="31" s="1"/>
  <c r="N13" i="29"/>
  <c r="F28" i="31" s="1"/>
  <c r="M13" i="29"/>
  <c r="L13" i="29"/>
  <c r="K13" i="29"/>
  <c r="J13" i="29"/>
  <c r="I13" i="29"/>
  <c r="H13" i="29"/>
  <c r="G13" i="29"/>
  <c r="F13" i="29"/>
  <c r="G24" i="16" l="1"/>
  <c r="G31" i="16" s="1"/>
  <c r="G33" i="16" s="1"/>
  <c r="G37" i="16" s="1"/>
  <c r="G28" i="31"/>
  <c r="G58" i="31" s="1"/>
  <c r="H24" i="16"/>
  <c r="H31" i="16" s="1"/>
  <c r="H33" i="16" s="1"/>
  <c r="H37" i="16" s="1"/>
  <c r="I45" i="31"/>
  <c r="I17" i="30"/>
  <c r="F45" i="31"/>
  <c r="F58" i="31" s="1"/>
  <c r="F73" i="31"/>
  <c r="I28" i="31"/>
  <c r="H45" i="31"/>
  <c r="H28" i="31"/>
  <c r="G73" i="31"/>
  <c r="I73" i="31"/>
  <c r="G17" i="30"/>
  <c r="J24" i="16"/>
  <c r="J31" i="16" s="1"/>
  <c r="J33" i="16" s="1"/>
  <c r="J37" i="16" s="1"/>
  <c r="H17" i="30"/>
  <c r="F17" i="30"/>
  <c r="K24" i="16"/>
  <c r="K31" i="16" s="1"/>
  <c r="K33" i="16" s="1"/>
  <c r="K37" i="16" s="1"/>
  <c r="I24" i="16"/>
  <c r="I31" i="16" s="1"/>
  <c r="I33" i="16" s="1"/>
  <c r="I37" i="16" s="1"/>
  <c r="Q11" i="21"/>
  <c r="T21" i="13"/>
  <c r="T20" i="13"/>
  <c r="T19" i="13"/>
  <c r="T18" i="13"/>
  <c r="T17" i="13"/>
  <c r="T15" i="13"/>
  <c r="T14" i="13"/>
  <c r="T13" i="13"/>
  <c r="S12" i="13"/>
  <c r="S16" i="13"/>
  <c r="Y23" i="20"/>
  <c r="Y25" i="20" s="1"/>
  <c r="Q13" i="24"/>
  <c r="Q18" i="24" s="1"/>
  <c r="Q19" i="24"/>
  <c r="Q23" i="24"/>
  <c r="Q13" i="19"/>
  <c r="Q18" i="19" s="1"/>
  <c r="Q19" i="19"/>
  <c r="Q23" i="19"/>
  <c r="BI13" i="2"/>
  <c r="BI25" i="2"/>
  <c r="H58" i="31" l="1"/>
  <c r="S11" i="13"/>
  <c r="T16" i="13"/>
  <c r="T12" i="13"/>
  <c r="I58" i="31"/>
  <c r="Q29" i="24"/>
  <c r="Q33" i="24" s="1"/>
  <c r="Q29" i="19"/>
  <c r="Q33" i="19" s="1"/>
  <c r="Q35" i="19" s="1"/>
  <c r="T11" i="13" l="1"/>
  <c r="P23" i="19"/>
  <c r="X23" i="20" l="1"/>
  <c r="X25" i="20" s="1"/>
  <c r="BH13" i="2" l="1"/>
  <c r="F48" i="9"/>
  <c r="P11" i="21" l="1"/>
  <c r="R12" i="13"/>
  <c r="R16" i="13"/>
  <c r="P13" i="19"/>
  <c r="P18" i="19" s="1"/>
  <c r="P19" i="19"/>
  <c r="BH25" i="2"/>
  <c r="Q16" i="13"/>
  <c r="P29" i="19" l="1"/>
  <c r="P33" i="19" s="1"/>
  <c r="P35" i="19" s="1"/>
  <c r="R11" i="13"/>
  <c r="O11" i="21" l="1"/>
  <c r="Q12" i="13"/>
  <c r="W23" i="20"/>
  <c r="W25" i="20" s="1"/>
  <c r="O23" i="19"/>
  <c r="O19" i="19"/>
  <c r="O13" i="19"/>
  <c r="BG25" i="2"/>
  <c r="BG13" i="2"/>
  <c r="O18" i="19" l="1"/>
  <c r="O29" i="19" s="1"/>
  <c r="Q11" i="13"/>
  <c r="O33" i="19" l="1"/>
  <c r="O35" i="19" s="1"/>
  <c r="N15" i="21"/>
  <c r="N13" i="19"/>
  <c r="N11" i="21" l="1"/>
  <c r="P16" i="13"/>
  <c r="P12" i="13"/>
  <c r="V23" i="20"/>
  <c r="V25" i="20" s="1"/>
  <c r="N19" i="19"/>
  <c r="BF13" i="2"/>
  <c r="BF25" i="2"/>
  <c r="P11" i="13" l="1"/>
  <c r="O41" i="18"/>
  <c r="L41" i="18"/>
  <c r="N41" i="18"/>
  <c r="M41" i="18"/>
  <c r="M23" i="19"/>
  <c r="F13" i="16"/>
  <c r="M15" i="21" l="1"/>
  <c r="O21" i="13"/>
  <c r="O20" i="13"/>
  <c r="O19" i="13"/>
  <c r="O18" i="13"/>
  <c r="O17" i="13"/>
  <c r="O15" i="13"/>
  <c r="O14" i="13"/>
  <c r="O13" i="13"/>
  <c r="N16" i="13"/>
  <c r="N12" i="13"/>
  <c r="U23" i="20"/>
  <c r="U25" i="20" s="1"/>
  <c r="O68" i="18"/>
  <c r="O56" i="18"/>
  <c r="O49" i="18"/>
  <c r="O28" i="18"/>
  <c r="O27" i="18"/>
  <c r="O26" i="18"/>
  <c r="O21" i="18"/>
  <c r="O17" i="18"/>
  <c r="O13" i="18"/>
  <c r="P23" i="24"/>
  <c r="P19" i="24"/>
  <c r="P13" i="24"/>
  <c r="P18" i="24" s="1"/>
  <c r="M19" i="19"/>
  <c r="M13" i="19"/>
  <c r="BE25" i="2"/>
  <c r="BE13" i="2"/>
  <c r="O16" i="13" l="1"/>
  <c r="O12" i="13"/>
  <c r="O11" i="13" s="1"/>
  <c r="O25" i="18"/>
  <c r="M11" i="21"/>
  <c r="N11" i="13"/>
  <c r="P29" i="24"/>
  <c r="P33" i="24" s="1"/>
  <c r="M18" i="19"/>
  <c r="M29" i="19" s="1"/>
  <c r="O19" i="24"/>
  <c r="M33" i="19" l="1"/>
  <c r="M35" i="19" s="1"/>
  <c r="T23" i="20"/>
  <c r="T25" i="20" s="1"/>
  <c r="N68" i="18"/>
  <c r="N56" i="18"/>
  <c r="N49" i="18"/>
  <c r="N28" i="18"/>
  <c r="N27" i="18"/>
  <c r="N26" i="18"/>
  <c r="N21" i="18"/>
  <c r="N17" i="18"/>
  <c r="N13" i="18"/>
  <c r="BD25" i="2"/>
  <c r="BD13" i="2"/>
  <c r="L13" i="19"/>
  <c r="L18" i="19" s="1"/>
  <c r="K13" i="19"/>
  <c r="K18" i="19" s="1"/>
  <c r="J13" i="19"/>
  <c r="J18" i="19" s="1"/>
  <c r="I18" i="19"/>
  <c r="H18" i="19"/>
  <c r="F18" i="19"/>
  <c r="L15" i="21"/>
  <c r="M12" i="13"/>
  <c r="M16" i="13"/>
  <c r="L16" i="13"/>
  <c r="K16" i="13"/>
  <c r="I16" i="13"/>
  <c r="I11" i="13" s="1"/>
  <c r="H16" i="13"/>
  <c r="H11" i="13" s="1"/>
  <c r="G16" i="13"/>
  <c r="F16" i="13"/>
  <c r="K23" i="19"/>
  <c r="I23" i="19"/>
  <c r="H23" i="19"/>
  <c r="F23" i="19"/>
  <c r="L19" i="19"/>
  <c r="K19" i="19"/>
  <c r="J19" i="19"/>
  <c r="M11" i="13" l="1"/>
  <c r="H29" i="19"/>
  <c r="H33" i="19" s="1"/>
  <c r="H35" i="19" s="1"/>
  <c r="I29" i="19"/>
  <c r="I33" i="19" s="1"/>
  <c r="I35" i="19" s="1"/>
  <c r="F29" i="19"/>
  <c r="L11" i="21"/>
  <c r="N25" i="18"/>
  <c r="L23" i="19"/>
  <c r="F33" i="19" l="1"/>
  <c r="F35" i="19" s="1"/>
  <c r="L29" i="19"/>
  <c r="P15" i="26"/>
  <c r="O15" i="26"/>
  <c r="N15" i="26"/>
  <c r="M15" i="26"/>
  <c r="L15" i="26"/>
  <c r="K15" i="26"/>
  <c r="J15" i="26"/>
  <c r="I15" i="26"/>
  <c r="H15" i="26"/>
  <c r="G15" i="26"/>
  <c r="F15" i="26"/>
  <c r="F16" i="26" s="1"/>
  <c r="E15" i="26"/>
  <c r="E16" i="26" s="1"/>
  <c r="D15" i="26"/>
  <c r="D16" i="26" s="1"/>
  <c r="C15" i="26"/>
  <c r="C16" i="26" s="1"/>
  <c r="K12" i="26"/>
  <c r="J16" i="26"/>
  <c r="I16" i="26"/>
  <c r="H16" i="26"/>
  <c r="G16" i="26"/>
  <c r="S20" i="25"/>
  <c r="S19" i="25"/>
  <c r="S18" i="25"/>
  <c r="S17" i="25"/>
  <c r="U16" i="25"/>
  <c r="T16" i="25"/>
  <c r="R16" i="25"/>
  <c r="Q16" i="25"/>
  <c r="P16" i="25"/>
  <c r="O16" i="25"/>
  <c r="N16" i="25"/>
  <c r="S15" i="25"/>
  <c r="L15" i="25"/>
  <c r="S14" i="25"/>
  <c r="L14" i="25"/>
  <c r="S13" i="25"/>
  <c r="S12" i="25" s="1"/>
  <c r="L13" i="25"/>
  <c r="U12" i="25"/>
  <c r="U11" i="25" s="1"/>
  <c r="T12" i="25"/>
  <c r="R12" i="25"/>
  <c r="Q12" i="25"/>
  <c r="P12" i="25"/>
  <c r="P11" i="25" s="1"/>
  <c r="O12" i="25"/>
  <c r="N12" i="25"/>
  <c r="R11" i="25"/>
  <c r="O23" i="24"/>
  <c r="N23" i="24"/>
  <c r="M23" i="24"/>
  <c r="L23" i="24"/>
  <c r="K23" i="24"/>
  <c r="J23" i="24"/>
  <c r="I23" i="24"/>
  <c r="H23" i="24"/>
  <c r="G23" i="24"/>
  <c r="F23" i="24"/>
  <c r="N19" i="24"/>
  <c r="M19" i="24"/>
  <c r="L19" i="24"/>
  <c r="K19" i="24"/>
  <c r="J19" i="24"/>
  <c r="I19" i="24"/>
  <c r="H19" i="24"/>
  <c r="F19" i="24"/>
  <c r="O13" i="24"/>
  <c r="O18" i="24" s="1"/>
  <c r="N13" i="24"/>
  <c r="N18" i="24" s="1"/>
  <c r="M13" i="24"/>
  <c r="M18" i="24" s="1"/>
  <c r="L13" i="24"/>
  <c r="L18" i="24" s="1"/>
  <c r="K13" i="24"/>
  <c r="K18" i="24" s="1"/>
  <c r="J13" i="24"/>
  <c r="J18" i="24" s="1"/>
  <c r="I13" i="24"/>
  <c r="I18" i="24" s="1"/>
  <c r="H13" i="24"/>
  <c r="H18" i="24" s="1"/>
  <c r="G13" i="24"/>
  <c r="G18" i="24" s="1"/>
  <c r="F13" i="24"/>
  <c r="F18" i="24" s="1"/>
  <c r="M51" i="23"/>
  <c r="L51" i="23"/>
  <c r="K51" i="23"/>
  <c r="J51" i="23"/>
  <c r="I51" i="23"/>
  <c r="H51" i="23"/>
  <c r="G51" i="23"/>
  <c r="F51" i="23"/>
  <c r="E51" i="23"/>
  <c r="D51" i="23"/>
  <c r="M50" i="23"/>
  <c r="L50" i="23"/>
  <c r="K50" i="23"/>
  <c r="J50" i="23"/>
  <c r="I50" i="23"/>
  <c r="H50" i="23"/>
  <c r="G50" i="23"/>
  <c r="F50" i="23"/>
  <c r="E50" i="23"/>
  <c r="D50" i="23"/>
  <c r="M49" i="23"/>
  <c r="K49" i="23"/>
  <c r="J49" i="23"/>
  <c r="I49" i="23"/>
  <c r="H49" i="23"/>
  <c r="G49" i="23"/>
  <c r="F49" i="23"/>
  <c r="E49" i="23"/>
  <c r="D49" i="23"/>
  <c r="K48" i="23"/>
  <c r="H48" i="23"/>
  <c r="G48" i="23"/>
  <c r="F48" i="23"/>
  <c r="E48" i="23"/>
  <c r="D48" i="23"/>
  <c r="H47" i="23"/>
  <c r="G47" i="23"/>
  <c r="F47" i="23"/>
  <c r="E47" i="23"/>
  <c r="D47" i="23"/>
  <c r="M45" i="23"/>
  <c r="L45" i="23"/>
  <c r="K45" i="23"/>
  <c r="J45" i="23"/>
  <c r="I45" i="23"/>
  <c r="H45" i="23"/>
  <c r="G45" i="23"/>
  <c r="F45" i="23"/>
  <c r="E45" i="23"/>
  <c r="D45" i="23"/>
  <c r="H44" i="23"/>
  <c r="G44" i="23"/>
  <c r="G46" i="23" s="1"/>
  <c r="G52" i="23" s="1"/>
  <c r="F44" i="23"/>
  <c r="F46" i="23" s="1"/>
  <c r="E44" i="23"/>
  <c r="E46" i="23" s="1"/>
  <c r="E52" i="23" s="1"/>
  <c r="D44" i="23"/>
  <c r="D46" i="23" s="1"/>
  <c r="D52" i="23" s="1"/>
  <c r="M39" i="23"/>
  <c r="K39" i="23"/>
  <c r="J39" i="23"/>
  <c r="I39" i="23"/>
  <c r="H39" i="23"/>
  <c r="G39" i="23"/>
  <c r="F39" i="23"/>
  <c r="E39" i="23"/>
  <c r="D39" i="23"/>
  <c r="M38" i="23"/>
  <c r="L38" i="23"/>
  <c r="K38" i="23"/>
  <c r="J38" i="23"/>
  <c r="I38" i="23"/>
  <c r="H38" i="23"/>
  <c r="G38" i="23"/>
  <c r="F38" i="23"/>
  <c r="E38" i="23"/>
  <c r="D38" i="23"/>
  <c r="M37" i="23"/>
  <c r="K37" i="23"/>
  <c r="J37" i="23"/>
  <c r="I37" i="23"/>
  <c r="H37" i="23"/>
  <c r="G37" i="23"/>
  <c r="F37" i="23"/>
  <c r="E37" i="23"/>
  <c r="D37" i="23"/>
  <c r="M36" i="23"/>
  <c r="L36" i="23"/>
  <c r="K36" i="23"/>
  <c r="K40" i="23" s="1"/>
  <c r="J36" i="23"/>
  <c r="J40" i="23" s="1"/>
  <c r="I36" i="23"/>
  <c r="H36" i="23"/>
  <c r="G36" i="23"/>
  <c r="F36" i="23"/>
  <c r="E36" i="23"/>
  <c r="D36" i="23"/>
  <c r="D40" i="23" s="1"/>
  <c r="L24" i="23"/>
  <c r="L39" i="23" s="1"/>
  <c r="L23" i="23"/>
  <c r="L21" i="23" s="1"/>
  <c r="L48" i="23" s="1"/>
  <c r="M21" i="23"/>
  <c r="M48" i="23" s="1"/>
  <c r="K21" i="23"/>
  <c r="J21" i="23"/>
  <c r="J48" i="23" s="1"/>
  <c r="I21" i="23"/>
  <c r="I48" i="23" s="1"/>
  <c r="M17" i="23"/>
  <c r="M47" i="23" s="1"/>
  <c r="L17" i="23"/>
  <c r="L47" i="23" s="1"/>
  <c r="K17" i="23"/>
  <c r="K47" i="23" s="1"/>
  <c r="J17" i="23"/>
  <c r="J47" i="23" s="1"/>
  <c r="I17" i="23"/>
  <c r="I47" i="23" s="1"/>
  <c r="M11" i="23"/>
  <c r="M16" i="23" s="1"/>
  <c r="L11" i="23"/>
  <c r="L16" i="23" s="1"/>
  <c r="K11" i="23"/>
  <c r="K44" i="23" s="1"/>
  <c r="K46" i="23" s="1"/>
  <c r="J11" i="23"/>
  <c r="J44" i="23" s="1"/>
  <c r="J46" i="23" s="1"/>
  <c r="I11" i="23"/>
  <c r="I44" i="23" s="1"/>
  <c r="I46" i="23" s="1"/>
  <c r="S16" i="25" l="1"/>
  <c r="N11" i="25"/>
  <c r="M27" i="23"/>
  <c r="M30" i="23" s="1"/>
  <c r="M32" i="23" s="1"/>
  <c r="F52" i="23"/>
  <c r="J52" i="23"/>
  <c r="F40" i="23"/>
  <c r="H46" i="23"/>
  <c r="H40" i="23"/>
  <c r="K16" i="26"/>
  <c r="L27" i="23"/>
  <c r="L30" i="23" s="1"/>
  <c r="L32" i="23" s="1"/>
  <c r="E40" i="23"/>
  <c r="M40" i="23"/>
  <c r="G40" i="23"/>
  <c r="I16" i="23"/>
  <c r="I27" i="23" s="1"/>
  <c r="I30" i="23" s="1"/>
  <c r="I32" i="23" s="1"/>
  <c r="L37" i="23"/>
  <c r="L40" i="23" s="1"/>
  <c r="J16" i="23"/>
  <c r="J27" i="23" s="1"/>
  <c r="J30" i="23" s="1"/>
  <c r="J32" i="23" s="1"/>
  <c r="H52" i="23"/>
  <c r="K16" i="23"/>
  <c r="K27" i="23" s="1"/>
  <c r="K30" i="23" s="1"/>
  <c r="K32" i="23" s="1"/>
  <c r="I40" i="23"/>
  <c r="Q11" i="25"/>
  <c r="O11" i="25"/>
  <c r="T11" i="25"/>
  <c r="L33" i="19"/>
  <c r="L35" i="19" s="1"/>
  <c r="J29" i="24"/>
  <c r="J33" i="24" s="1"/>
  <c r="H29" i="24"/>
  <c r="H33" i="24" s="1"/>
  <c r="K29" i="24"/>
  <c r="K33" i="24" s="1"/>
  <c r="I29" i="24"/>
  <c r="I33" i="24" s="1"/>
  <c r="M29" i="24"/>
  <c r="M33" i="24" s="1"/>
  <c r="F29" i="24"/>
  <c r="F33" i="24" s="1"/>
  <c r="N29" i="24"/>
  <c r="N33" i="24" s="1"/>
  <c r="O29" i="24"/>
  <c r="O33" i="24" s="1"/>
  <c r="S11" i="25"/>
  <c r="L29" i="24"/>
  <c r="L33" i="24" s="1"/>
  <c r="G29" i="24"/>
  <c r="G33" i="24" s="1"/>
  <c r="K52" i="23"/>
  <c r="I52" i="23"/>
  <c r="L44" i="23"/>
  <c r="L46" i="23" s="1"/>
  <c r="M44" i="23"/>
  <c r="M46" i="23" s="1"/>
  <c r="M52" i="23" s="1"/>
  <c r="L49" i="23"/>
  <c r="R23" i="20"/>
  <c r="R25" i="20" s="1"/>
  <c r="L52" i="23" l="1"/>
  <c r="K15" i="21" l="1"/>
  <c r="L12" i="13"/>
  <c r="L11" i="13" s="1"/>
  <c r="S23" i="20"/>
  <c r="S25" i="20" s="1"/>
  <c r="M68" i="18"/>
  <c r="M56" i="18"/>
  <c r="M49" i="18"/>
  <c r="M28" i="18"/>
  <c r="M27" i="18"/>
  <c r="M26" i="18"/>
  <c r="M25" i="18" s="1"/>
  <c r="M21" i="18"/>
  <c r="M17" i="18"/>
  <c r="M13" i="18"/>
  <c r="BC25" i="2"/>
  <c r="BC13" i="2"/>
  <c r="P12" i="26" l="1"/>
  <c r="P16" i="26" s="1"/>
  <c r="K11" i="21"/>
  <c r="K29" i="19"/>
  <c r="K33" i="19" l="1"/>
  <c r="K35" i="19" s="1"/>
  <c r="J25" i="19"/>
  <c r="J23" i="19" s="1"/>
  <c r="J26" i="19"/>
  <c r="J29" i="19" l="1"/>
  <c r="J15" i="21"/>
  <c r="J33" i="19" l="1"/>
  <c r="J35" i="19" s="1"/>
  <c r="L68" i="18" l="1"/>
  <c r="L28" i="18"/>
  <c r="L27" i="18"/>
  <c r="L26" i="18"/>
  <c r="L21" i="18"/>
  <c r="L17" i="18"/>
  <c r="L13" i="18"/>
  <c r="O12" i="26" l="1"/>
  <c r="O16" i="26" s="1"/>
  <c r="J11" i="21" l="1"/>
  <c r="K12" i="13"/>
  <c r="K11" i="13" s="1"/>
  <c r="L56" i="18"/>
  <c r="L49" i="18"/>
  <c r="L25" i="18"/>
  <c r="BB25" i="2"/>
  <c r="BB13" i="2"/>
  <c r="I15" i="21" l="1"/>
  <c r="K68" i="18"/>
  <c r="K56" i="18"/>
  <c r="K49" i="18"/>
  <c r="K36" i="18"/>
  <c r="K26" i="18"/>
  <c r="K27" i="18"/>
  <c r="K28" i="18"/>
  <c r="K21" i="18"/>
  <c r="K17" i="18"/>
  <c r="K13" i="18"/>
  <c r="BA13" i="2"/>
  <c r="N12" i="26" l="1"/>
  <c r="N16" i="26" s="1"/>
  <c r="K25" i="18"/>
  <c r="Q23" i="20" l="1"/>
  <c r="Q25" i="20" s="1"/>
  <c r="I11" i="21" l="1"/>
  <c r="I68" i="18"/>
  <c r="I56" i="18"/>
  <c r="J56" i="18"/>
  <c r="I49" i="18"/>
  <c r="I36" i="18"/>
  <c r="J49" i="18"/>
  <c r="J17" i="18"/>
  <c r="J13" i="18"/>
  <c r="J21" i="18"/>
  <c r="J25" i="18" l="1"/>
  <c r="F25" i="16" l="1"/>
  <c r="F19" i="16"/>
  <c r="AZ13" i="2"/>
  <c r="AY13" i="2"/>
  <c r="M12" i="26" l="1"/>
  <c r="M16" i="26" s="1"/>
  <c r="L12" i="26"/>
  <c r="L16" i="26" s="1"/>
  <c r="F24" i="16"/>
  <c r="F31" i="16" s="1"/>
  <c r="F33" i="16" s="1"/>
  <c r="F37" i="16" s="1"/>
  <c r="J23" i="20" l="1"/>
  <c r="J25" i="20" s="1"/>
  <c r="F23" i="20"/>
  <c r="F25" i="20" s="1"/>
  <c r="G23" i="20"/>
  <c r="G25" i="20" s="1"/>
  <c r="H23" i="20"/>
  <c r="H25" i="20" s="1"/>
  <c r="I23" i="20"/>
  <c r="I25" i="20" s="1"/>
  <c r="K23" i="20"/>
  <c r="K25" i="20" s="1"/>
  <c r="L23" i="20"/>
  <c r="L25" i="20" s="1"/>
  <c r="G15" i="21" l="1"/>
  <c r="G11" i="21" s="1"/>
  <c r="H15" i="21"/>
  <c r="H11" i="21" s="1"/>
  <c r="M23" i="20" l="1"/>
  <c r="M25" i="20" s="1"/>
  <c r="N23" i="20"/>
  <c r="N25" i="20" s="1"/>
  <c r="O23" i="20"/>
  <c r="O25" i="20" s="1"/>
  <c r="P23" i="20"/>
  <c r="P25" i="20" s="1"/>
  <c r="D26" i="18" l="1"/>
  <c r="E26" i="18"/>
  <c r="F26" i="18"/>
  <c r="G26" i="18"/>
  <c r="H26" i="18"/>
  <c r="I26" i="18"/>
  <c r="D27" i="18"/>
  <c r="E27" i="18"/>
  <c r="F27" i="18"/>
  <c r="G27" i="18"/>
  <c r="H27" i="18"/>
  <c r="I27" i="18"/>
  <c r="D28" i="18"/>
  <c r="E28" i="18"/>
  <c r="F28" i="18"/>
  <c r="G28" i="18"/>
  <c r="H28" i="18"/>
  <c r="I28" i="18"/>
  <c r="D13" i="18"/>
  <c r="E13" i="18"/>
  <c r="F13" i="18"/>
  <c r="G13" i="18"/>
  <c r="H13" i="18"/>
  <c r="D17" i="18"/>
  <c r="E17" i="18"/>
  <c r="F17" i="18"/>
  <c r="G17" i="18"/>
  <c r="H17" i="18"/>
  <c r="D21" i="18"/>
  <c r="E21" i="18"/>
  <c r="F21" i="18"/>
  <c r="G21" i="18"/>
  <c r="H21" i="18"/>
  <c r="D36" i="18"/>
  <c r="E36" i="18"/>
  <c r="F36" i="18"/>
  <c r="G36" i="18"/>
  <c r="H36" i="18"/>
  <c r="D49" i="18"/>
  <c r="E49" i="18"/>
  <c r="F49" i="18"/>
  <c r="G49" i="18"/>
  <c r="H49" i="18"/>
  <c r="D56" i="18"/>
  <c r="E56" i="18"/>
  <c r="F56" i="18"/>
  <c r="G56" i="18"/>
  <c r="H56" i="18"/>
  <c r="E25" i="18" l="1"/>
  <c r="D25" i="18"/>
  <c r="F25" i="18"/>
  <c r="H25" i="18"/>
  <c r="G25" i="18"/>
  <c r="F12" i="13" l="1"/>
  <c r="F11" i="13" s="1"/>
  <c r="G12" i="13" l="1"/>
  <c r="G11" i="13" s="1"/>
  <c r="J68" i="18" l="1"/>
  <c r="I17" i="18"/>
  <c r="J36" i="18"/>
  <c r="J26" i="18"/>
  <c r="J27" i="18"/>
  <c r="J28" i="18"/>
  <c r="I21" i="18"/>
  <c r="I13" i="18"/>
  <c r="I25" i="18" l="1"/>
  <c r="F35" i="9" l="1"/>
  <c r="F24" i="9"/>
  <c r="F15" i="9"/>
  <c r="F30" i="9" l="1"/>
  <c r="F15" i="21" l="1"/>
  <c r="F11" i="21" s="1"/>
  <c r="N18" i="19" l="1"/>
  <c r="N23" i="19"/>
  <c r="N29" i="19" l="1"/>
  <c r="N33" i="19" l="1"/>
  <c r="N35" i="19" s="1"/>
  <c r="AZ18" i="14"/>
  <c r="BG18" i="14"/>
  <c r="AY18" i="14"/>
  <c r="AX18" i="14"/>
  <c r="BI18" i="14"/>
  <c r="BF18" i="14"/>
  <c r="BE18" i="14"/>
  <c r="AW18" i="14"/>
  <c r="BL18" i="14"/>
  <c r="BD18" i="14"/>
  <c r="AU18" i="14"/>
  <c r="BH18" i="14"/>
  <c r="BK18" i="14"/>
  <c r="BC18" i="14"/>
  <c r="AT18" i="14"/>
  <c r="BJ18" i="14"/>
  <c r="BB18" i="14"/>
  <c r="AV18" i="14"/>
  <c r="BA18" i="14"/>
  <c r="AS18" i="14"/>
  <c r="AS19" i="14"/>
  <c r="AK18" i="14"/>
  <c r="AK19" i="14"/>
  <c r="AC18" i="14"/>
  <c r="AC19" i="14"/>
  <c r="U18" i="14"/>
  <c r="U19" i="14"/>
  <c r="M18" i="14"/>
  <c r="M19" i="14"/>
  <c r="AR18" i="14"/>
  <c r="AR19" i="14"/>
  <c r="AJ18" i="14"/>
  <c r="AJ19" i="14"/>
  <c r="AB18" i="14"/>
  <c r="AB19" i="14"/>
  <c r="T18" i="14"/>
  <c r="T19" i="14"/>
  <c r="L18" i="14"/>
  <c r="L19" i="14"/>
  <c r="AQ18" i="14"/>
  <c r="AQ19" i="14"/>
  <c r="K18" i="14"/>
  <c r="K19" i="14"/>
  <c r="AA18" i="14"/>
  <c r="AA19" i="14"/>
  <c r="AP18" i="14"/>
  <c r="AP19" i="14"/>
  <c r="AH18" i="14"/>
  <c r="AH19" i="14"/>
  <c r="Z18" i="14"/>
  <c r="Z19" i="14"/>
  <c r="R18" i="14"/>
  <c r="R19" i="14"/>
  <c r="J18" i="14"/>
  <c r="J19" i="14"/>
  <c r="S18" i="14"/>
  <c r="S19" i="14"/>
  <c r="AO18" i="14"/>
  <c r="AO19" i="14"/>
  <c r="AG18" i="14"/>
  <c r="AG19" i="14"/>
  <c r="Y18" i="14"/>
  <c r="Y19" i="14"/>
  <c r="Q18" i="14"/>
  <c r="Q19" i="14"/>
  <c r="I18" i="14"/>
  <c r="I19" i="14"/>
  <c r="AI18" i="14"/>
  <c r="AI19" i="14"/>
  <c r="AN18" i="14"/>
  <c r="AN19" i="14"/>
  <c r="AF18" i="14"/>
  <c r="AF19" i="14"/>
  <c r="X18" i="14"/>
  <c r="X19" i="14"/>
  <c r="P18" i="14"/>
  <c r="P19" i="14"/>
  <c r="H18" i="14"/>
  <c r="H19" i="14"/>
  <c r="AM18" i="14"/>
  <c r="AM19" i="14"/>
  <c r="AE18" i="14"/>
  <c r="AE19" i="14"/>
  <c r="W18" i="14"/>
  <c r="W19" i="14"/>
  <c r="G18" i="14"/>
  <c r="G19" i="14"/>
  <c r="O18" i="14"/>
  <c r="O19" i="14"/>
  <c r="AL18" i="14"/>
  <c r="AL19" i="14"/>
  <c r="AD18" i="14"/>
  <c r="V18" i="14"/>
  <c r="V19" i="14"/>
  <c r="N18" i="14"/>
  <c r="N19" i="14"/>
  <c r="F18" i="14"/>
  <c r="F19" i="14"/>
  <c r="BO15" i="14" l="1"/>
</calcChain>
</file>

<file path=xl/sharedStrings.xml><?xml version="1.0" encoding="utf-8"?>
<sst xmlns="http://schemas.openxmlformats.org/spreadsheetml/2006/main" count="2256" uniqueCount="869">
  <si>
    <t>1.</t>
  </si>
  <si>
    <t>2.</t>
  </si>
  <si>
    <t>3.</t>
  </si>
  <si>
    <t>4.</t>
  </si>
  <si>
    <t>Balanço Patrimonial</t>
  </si>
  <si>
    <t>DRE Gerencial</t>
  </si>
  <si>
    <t>Captação</t>
  </si>
  <si>
    <t>Eficiência</t>
  </si>
  <si>
    <t>Adequação de Capital</t>
  </si>
  <si>
    <t>5.</t>
  </si>
  <si>
    <t>6.</t>
  </si>
  <si>
    <t>7.</t>
  </si>
  <si>
    <t>Clique no título para acessar a respectiva planilha:</t>
  </si>
  <si>
    <t>Banco ABC Brasil S.A.</t>
  </si>
  <si>
    <t>Planilha de Séries Históricas</t>
  </si>
  <si>
    <t>ri@abcbrasil.com.br</t>
  </si>
  <si>
    <t>Em caso de dúvidas, contate:</t>
  </si>
  <si>
    <t>Mar/08</t>
  </si>
  <si>
    <t>Jun/08</t>
  </si>
  <si>
    <t>Set/08</t>
  </si>
  <si>
    <t>Dez/08</t>
  </si>
  <si>
    <t>Mar/09</t>
  </si>
  <si>
    <t>Jun/09</t>
  </si>
  <si>
    <t>Set/09</t>
  </si>
  <si>
    <t>Dez/09</t>
  </si>
  <si>
    <t>Mar/10</t>
  </si>
  <si>
    <t>Jun/10</t>
  </si>
  <si>
    <t>Set/10</t>
  </si>
  <si>
    <t>Dez/10</t>
  </si>
  <si>
    <t>Mar/11</t>
  </si>
  <si>
    <t>Jun/11</t>
  </si>
  <si>
    <t>Set/11</t>
  </si>
  <si>
    <t>Dez/11</t>
  </si>
  <si>
    <t>Mar/12</t>
  </si>
  <si>
    <t>Jun/12</t>
  </si>
  <si>
    <t>Set/12</t>
  </si>
  <si>
    <t>Dez/12</t>
  </si>
  <si>
    <t>Mar/13</t>
  </si>
  <si>
    <t>Jun/13</t>
  </si>
  <si>
    <t>Set/13</t>
  </si>
  <si>
    <t>Dez/13</t>
  </si>
  <si>
    <t>Mar/14</t>
  </si>
  <si>
    <t>Jun/14</t>
  </si>
  <si>
    <t>Set/14</t>
  </si>
  <si>
    <t>Dez/14</t>
  </si>
  <si>
    <t>Mar/15</t>
  </si>
  <si>
    <t>Jun/15</t>
  </si>
  <si>
    <t>Set/15</t>
  </si>
  <si>
    <t>Dez/15</t>
  </si>
  <si>
    <t>Mar/16</t>
  </si>
  <si>
    <t>Jun/16</t>
  </si>
  <si>
    <t>Set/16</t>
  </si>
  <si>
    <t>Dez/16</t>
  </si>
  <si>
    <t>Mar/17</t>
  </si>
  <si>
    <t>CIRCULANTE E REALIZÁVEL A LONGO PRAZO</t>
  </si>
  <si>
    <t>Disponibilidades</t>
  </si>
  <si>
    <t>PERMANENTE</t>
  </si>
  <si>
    <t>Investimentos</t>
  </si>
  <si>
    <t>Imobilizado de Uso</t>
  </si>
  <si>
    <t>Intangível</t>
  </si>
  <si>
    <t>-</t>
  </si>
  <si>
    <t>Diferido</t>
  </si>
  <si>
    <t>TOTAL DO ATIVO</t>
  </si>
  <si>
    <t>CIRCULANTE E EXIGÍVEL A LONGO PRAZO</t>
  </si>
  <si>
    <t>Depósitos</t>
  </si>
  <si>
    <t>RESULTADO DE EXERCÍCIOS FUTUROS</t>
  </si>
  <si>
    <t>PATRIMÔNIO LÍQUIDO</t>
  </si>
  <si>
    <t>Capital Social</t>
  </si>
  <si>
    <t>Ajustes de Avaliação Patrimonial</t>
  </si>
  <si>
    <t>Lucros Acumulados</t>
  </si>
  <si>
    <t>TOTAL DO PASSIVO</t>
  </si>
  <si>
    <t xml:space="preserve">ATIVO </t>
  </si>
  <si>
    <t>PASSIVO</t>
  </si>
  <si>
    <t>1T08</t>
  </si>
  <si>
    <t>2T08</t>
  </si>
  <si>
    <t>3T08</t>
  </si>
  <si>
    <t>4T08</t>
  </si>
  <si>
    <t>2008</t>
  </si>
  <si>
    <t>1T09</t>
  </si>
  <si>
    <t>2T09</t>
  </si>
  <si>
    <t>3T09</t>
  </si>
  <si>
    <t>4T09</t>
  </si>
  <si>
    <t>2009</t>
  </si>
  <si>
    <t>1T10</t>
  </si>
  <si>
    <t>2T10</t>
  </si>
  <si>
    <t>3T10</t>
  </si>
  <si>
    <t>4T10</t>
  </si>
  <si>
    <t>2010</t>
  </si>
  <si>
    <t>1T11</t>
  </si>
  <si>
    <t>2T11</t>
  </si>
  <si>
    <t>3T11</t>
  </si>
  <si>
    <t>4T11</t>
  </si>
  <si>
    <t>2011</t>
  </si>
  <si>
    <t>1T12</t>
  </si>
  <si>
    <t>2T12</t>
  </si>
  <si>
    <t>3T12</t>
  </si>
  <si>
    <t>4T12</t>
  </si>
  <si>
    <t>1T13</t>
  </si>
  <si>
    <t>2T13</t>
  </si>
  <si>
    <t>3T13</t>
  </si>
  <si>
    <t>4T13</t>
  </si>
  <si>
    <t>2013</t>
  </si>
  <si>
    <t>1T14</t>
  </si>
  <si>
    <t>2T14</t>
  </si>
  <si>
    <t>3T14</t>
  </si>
  <si>
    <t>4T14</t>
  </si>
  <si>
    <t>2014</t>
  </si>
  <si>
    <t>1T15</t>
  </si>
  <si>
    <t>2T15</t>
  </si>
  <si>
    <t>3T15</t>
  </si>
  <si>
    <t>4T15</t>
  </si>
  <si>
    <t>2015</t>
  </si>
  <si>
    <t>1T16</t>
  </si>
  <si>
    <t>2T16</t>
  </si>
  <si>
    <t>3T16</t>
  </si>
  <si>
    <t>4T16</t>
  </si>
  <si>
    <t>2016</t>
  </si>
  <si>
    <t>1T17</t>
  </si>
  <si>
    <t>Operações de Crédito</t>
  </si>
  <si>
    <t>Resultado de Operações com Títulos e Valores Mobiliários</t>
  </si>
  <si>
    <t>Operações de Venda ou de Transferência de Ativos Financeiros</t>
  </si>
  <si>
    <t>RESULTADO BRUTO DA INTERMEDIAÇÃO FINANCEIRA</t>
  </si>
  <si>
    <t>RESULTADO OPERACIONAL</t>
  </si>
  <si>
    <t>RESULTADO ANTES DA TRIB. SOBRE O LUCRO E PART.</t>
  </si>
  <si>
    <t>LUCRO LÍQUIDO</t>
  </si>
  <si>
    <t>DEMONSTRAÇÃO DO RESULTADO</t>
  </si>
  <si>
    <t>Margem Financeira com Clientes</t>
  </si>
  <si>
    <t>Margem Financeira com Mercado</t>
  </si>
  <si>
    <t>Provisão para Devedores Duvidosos (PDD)</t>
  </si>
  <si>
    <t>Receitas de Prestação de Serviços</t>
  </si>
  <si>
    <t>Despesas Tributárias</t>
  </si>
  <si>
    <t>Participação nos Lucros</t>
  </si>
  <si>
    <t>Garantias Prestadas</t>
  </si>
  <si>
    <t>Tarifas</t>
  </si>
  <si>
    <t>Pessoal</t>
  </si>
  <si>
    <t>Outras Despesas Administrativas</t>
  </si>
  <si>
    <t>Despesas Pessoal &amp; Outras Administrativas</t>
  </si>
  <si>
    <t>Large Corporate</t>
  </si>
  <si>
    <t>Rio de Janeiro</t>
  </si>
  <si>
    <t>Sul</t>
  </si>
  <si>
    <t>Corporate</t>
  </si>
  <si>
    <t>Em até 3 meses</t>
  </si>
  <si>
    <t>De 3 a 12 meses</t>
  </si>
  <si>
    <t>De 1 a 3 anos</t>
  </si>
  <si>
    <t>Acima de 3 anos</t>
  </si>
  <si>
    <t>AA</t>
  </si>
  <si>
    <t>A</t>
  </si>
  <si>
    <t>B</t>
  </si>
  <si>
    <t>C</t>
  </si>
  <si>
    <t>D</t>
  </si>
  <si>
    <t>E</t>
  </si>
  <si>
    <t>F</t>
  </si>
  <si>
    <t>G</t>
  </si>
  <si>
    <t>H</t>
  </si>
  <si>
    <t>Depósitos Interfinanceiros</t>
  </si>
  <si>
    <t>Patrimônio Líquido</t>
  </si>
  <si>
    <t>CAPTAÇÃO</t>
  </si>
  <si>
    <t>(R$ milhões)</t>
  </si>
  <si>
    <t>LARGE CORPORATE</t>
  </si>
  <si>
    <t>CORPORATE</t>
  </si>
  <si>
    <t>   Despesas de Pessoal</t>
  </si>
  <si>
    <t>   Despesas Administrativas</t>
  </si>
  <si>
    <t>   PLR</t>
  </si>
  <si>
    <t>   Margem Financeira Gerencial antes da PDD</t>
  </si>
  <si>
    <t>ÍNDICE DE EFICIÊNCIA</t>
  </si>
  <si>
    <t>Jun/17</t>
  </si>
  <si>
    <t>2T17</t>
  </si>
  <si>
    <t>8.</t>
  </si>
  <si>
    <t>Dividendos e JCP</t>
  </si>
  <si>
    <t>Set/17</t>
  </si>
  <si>
    <t>3T17</t>
  </si>
  <si>
    <t>Dez/17</t>
  </si>
  <si>
    <t>4T17</t>
  </si>
  <si>
    <t>Mar/18</t>
  </si>
  <si>
    <t>1T18</t>
  </si>
  <si>
    <t xml:space="preserve">A partir do primeiro trimestre de 2018, foram feitas as seguintes reclassificações: (i) a porção das despesas de INSS referente à remuneração variável passou da linha “Despesa de Pessoal” para “Participação nos Lucros (PLR)”, onde a remuneração variável é contabilizada; e (ii) a porção das despesas que geram incentivos fiscais (Lei Rouanet, Lei do Incentivo ao Esporte e FUMCAD) passou da linha “Despesas Administrativas” para “Imposto de Renda e Contribuição Social”. Essa alteração foi aplicada para os dados desde o 1T16.
</t>
  </si>
  <si>
    <t>Jun/18</t>
  </si>
  <si>
    <t>2T18</t>
  </si>
  <si>
    <t>Set/18</t>
  </si>
  <si>
    <t>3T18</t>
  </si>
  <si>
    <t>Dez/18</t>
  </si>
  <si>
    <t>4T18</t>
  </si>
  <si>
    <t>Mar/19</t>
  </si>
  <si>
    <t>Reserva de lucros + Ações em Tesouraria</t>
  </si>
  <si>
    <t>1T19</t>
  </si>
  <si>
    <t>Jun/19</t>
  </si>
  <si>
    <t>2T19</t>
  </si>
  <si>
    <t>MIDDLE</t>
  </si>
  <si>
    <t>Middle</t>
  </si>
  <si>
    <t>Centro-Oeste</t>
  </si>
  <si>
    <t>9.</t>
  </si>
  <si>
    <t>Patrimônio Líquido Remunerado a CDI</t>
  </si>
  <si>
    <t>Receita de Serviços</t>
  </si>
  <si>
    <t>Despesas de Pessoal</t>
  </si>
  <si>
    <t>Outras Administrativas</t>
  </si>
  <si>
    <t>Imposto de Renda e Contribuição Social</t>
  </si>
  <si>
    <t>Participação nos Lucros (PLR)</t>
  </si>
  <si>
    <t>Resultado não Operacional</t>
  </si>
  <si>
    <t>Set/19</t>
  </si>
  <si>
    <t>3T19</t>
  </si>
  <si>
    <t>DESPESAS DE INTERMEDIAÇÃO FINANCEIRA</t>
  </si>
  <si>
    <t xml:space="preserve">RECEITAS DE INTERMEDIAÇÃO FINANCEIRA </t>
  </si>
  <si>
    <t xml:space="preserve">OUTRAS RECEITAS/DESPESAS OPERACIONAIS </t>
  </si>
  <si>
    <t>Resultado com Instrumentos Financeiros Derivativos</t>
  </si>
  <si>
    <t>Resultado de Operações de Câmbio</t>
  </si>
  <si>
    <t>Resultado de Aplicações Compulsórias</t>
  </si>
  <si>
    <t>Operações de Captação no Mercado</t>
  </si>
  <si>
    <t>Operações de Empréstimos e Repasses</t>
  </si>
  <si>
    <t>Constituição de Provisão para Créditos de Liquidação Duvidosa</t>
  </si>
  <si>
    <t>Outras Receitas/Despesas Operacionais</t>
  </si>
  <si>
    <t>Participações nos Lucros</t>
  </si>
  <si>
    <t>Impacto de Eventos Não-Recorrentes</t>
  </si>
  <si>
    <t>MARGEM FINANCEIRA</t>
  </si>
  <si>
    <t>PROVISÃO PARA DEVEDORES DUVIDOSOS (PDD)</t>
  </si>
  <si>
    <t>MARGEM FINANCEIRA APÓS PDD</t>
  </si>
  <si>
    <t>RECEITA DE SERVIÇOS</t>
  </si>
  <si>
    <t>DESPESAS DE PESSOAL &amp; OUTRAS ADMINISTRATIVAS</t>
  </si>
  <si>
    <t>RESULTADO ANTES DA TRIBUTAÇÃO SOBRE LUCROS E PARTICIPAÇÕES</t>
  </si>
  <si>
    <t>LUCRO LÍQUIDO RECORRENTE</t>
  </si>
  <si>
    <t>LUCRO LÍQUIDO CONTÁBIL</t>
  </si>
  <si>
    <t xml:space="preserve">DESPESAS   </t>
  </si>
  <si>
    <t>TOTAL</t>
  </si>
  <si>
    <t>RESULTADO ANTES DO IR &amp; PLR</t>
  </si>
  <si>
    <r>
      <t>Ticket Médio por Cliente</t>
    </r>
    <r>
      <rPr>
        <sz val="10"/>
        <color theme="1"/>
        <rFont val="Calibri"/>
        <family val="2"/>
        <scheme val="minor"/>
      </rPr>
      <t xml:space="preserve"> </t>
    </r>
    <r>
      <rPr>
        <i/>
        <sz val="10"/>
        <color theme="1"/>
        <rFont val="Calibri"/>
        <family val="2"/>
        <scheme val="minor"/>
      </rPr>
      <t>(R$ milhões)</t>
    </r>
  </si>
  <si>
    <r>
      <t>Prazo Médio</t>
    </r>
    <r>
      <rPr>
        <i/>
        <sz val="11"/>
        <color theme="1"/>
        <rFont val="Calibri"/>
        <family val="2"/>
        <scheme val="minor"/>
      </rPr>
      <t xml:space="preserve"> </t>
    </r>
    <r>
      <rPr>
        <i/>
        <sz val="10"/>
        <color theme="1"/>
        <rFont val="Calibri"/>
        <family val="2"/>
        <scheme val="minor"/>
      </rPr>
      <t>(dias)</t>
    </r>
  </si>
  <si>
    <t>DISTRIBUIÇÃO GEOGRÁFICA - MIDDLE (%)</t>
  </si>
  <si>
    <t>DISTRIBUIÇÃO GEOGRÁFICA - CORPORATE (%)</t>
  </si>
  <si>
    <t>DISTRIBUIÇÃO GEOGRÁFICA - LARGE CORPORATE (%)</t>
  </si>
  <si>
    <t>CLASSIFICAÇÃO DA CARTEIRA DE EMPRÉSTIMOS</t>
  </si>
  <si>
    <t xml:space="preserve">GARANTIAS PRESTADAS POR PRAZO DE VENCIMENTO </t>
  </si>
  <si>
    <t>TOTAL CARTEIRA DE CRÉDITO EXPANDIDA</t>
  </si>
  <si>
    <t>TÍTULOS PRIVADOS</t>
  </si>
  <si>
    <t>GARANTIAS PRESTADAS</t>
  </si>
  <si>
    <t>EMPRÉSTIMOS</t>
  </si>
  <si>
    <t xml:space="preserve">CARTEIRA DE CRÉDITO EXPANDIDA </t>
  </si>
  <si>
    <t>São Paulo</t>
  </si>
  <si>
    <t>Minas Gerais + Nordeste</t>
  </si>
  <si>
    <t>Outras Receitas/Despesas Operacionais + Variação de PDD de Garantias Prestadas</t>
  </si>
  <si>
    <t>Patrimônio de Referência</t>
  </si>
  <si>
    <t>NÍVEL II</t>
  </si>
  <si>
    <t>NÍVEL I</t>
  </si>
  <si>
    <t>ÍNDICE DE BASILÉIA</t>
  </si>
  <si>
    <t>Sep/19</t>
  </si>
  <si>
    <t>DESPESAS TRIBUTÁRIAS</t>
  </si>
  <si>
    <t>RESULTADO NÃO OPERACIONAL</t>
  </si>
  <si>
    <t>OUTRAS RECEITAS/DESPESAS OPERACIONAIS</t>
  </si>
  <si>
    <t>Receita de Prestação de Serviço</t>
  </si>
  <si>
    <t>Obrigações por Empréstimos &amp; Repasses no Exterior</t>
  </si>
  <si>
    <t>Patrimônio de Referência Exigido</t>
  </si>
  <si>
    <t>Excesso de Patrimônio em Relação ao Exigido</t>
  </si>
  <si>
    <t>CARTEIRA DE CRÉDITO EXPANDIDA</t>
  </si>
  <si>
    <t xml:space="preserve">DESPESAS  </t>
  </si>
  <si>
    <t xml:space="preserve">RECEITAS </t>
  </si>
  <si>
    <t>Depósitos à Vista</t>
  </si>
  <si>
    <t>Depósitos a Prazo</t>
  </si>
  <si>
    <t>Obrigações por Repasses (BNDES e FINAME)</t>
  </si>
  <si>
    <t>LCA, LCI &amp; COE</t>
  </si>
  <si>
    <t>Letras Financeiras</t>
  </si>
  <si>
    <t>Letras Financeiras Subordinadas</t>
  </si>
  <si>
    <t>Letras Financeiras Subordinas Perpétuas</t>
  </si>
  <si>
    <t>SUBTOTAL (CAPTAÇÃO COM TERCEIROS)</t>
  </si>
  <si>
    <t>NIM</t>
  </si>
  <si>
    <t>Margem Financeira Gerencial antes de PDD</t>
  </si>
  <si>
    <t>Empréstimos (média)</t>
  </si>
  <si>
    <t>Outros Ativos Remuneráveis (média)</t>
  </si>
  <si>
    <t>Ativos Remuneráveis Médios</t>
  </si>
  <si>
    <t>NIM (% a.a.)</t>
  </si>
  <si>
    <t>RWA</t>
  </si>
  <si>
    <t>Reservas de Capital</t>
  </si>
  <si>
    <t>Relações Interfinanceiras</t>
  </si>
  <si>
    <t>Obrigações por Empréstimos no Exterior</t>
  </si>
  <si>
    <t>Captações no Mercado Aberto</t>
  </si>
  <si>
    <t>Recursos de Aceites e Emissão de Títulos</t>
  </si>
  <si>
    <t>Relações Interdependências</t>
  </si>
  <si>
    <t>Obrigações por Repasses do País - Instituições Oficiais</t>
  </si>
  <si>
    <t>Obrigações por Repasses no Exterior</t>
  </si>
  <si>
    <t>Outras Obrigações</t>
  </si>
  <si>
    <t>Outros Valores e Bens</t>
  </si>
  <si>
    <t>Outros Créditos</t>
  </si>
  <si>
    <t>Aplicações Interfinanceiras de Liquidez</t>
  </si>
  <si>
    <t>Saldo</t>
  </si>
  <si>
    <t>Recuperados</t>
  </si>
  <si>
    <t>RENEGOCIAÇÕES (2.682)</t>
  </si>
  <si>
    <t>WRITE OFF GERENCIAL (2.682)</t>
  </si>
  <si>
    <t xml:space="preserve">CARTEIRA DE EMPRÉSTIMOS POR PRAZO DE VENCIMENTO </t>
  </si>
  <si>
    <t>Dez/19</t>
  </si>
  <si>
    <t>4T19</t>
  </si>
  <si>
    <t>Banco de Investimentos</t>
  </si>
  <si>
    <t>Rio de Janeiro + Minas Gerais</t>
  </si>
  <si>
    <t>n/d</t>
  </si>
  <si>
    <t>Mar/20</t>
  </si>
  <si>
    <t>1T20</t>
  </si>
  <si>
    <t>Jun/20</t>
  </si>
  <si>
    <t>2T20</t>
  </si>
  <si>
    <t>Outras Receitas/Despesas Operacionais Ajustadas</t>
  </si>
  <si>
    <r>
      <t xml:space="preserve">Prazo Médio </t>
    </r>
    <r>
      <rPr>
        <i/>
        <sz val="10"/>
        <color theme="1"/>
        <rFont val="Calibri"/>
        <family val="2"/>
        <scheme val="minor"/>
      </rPr>
      <t>(dias)</t>
    </r>
  </si>
  <si>
    <t>Data de referência:</t>
  </si>
  <si>
    <r>
      <t>DESPESA DE PROVISÃO</t>
    </r>
    <r>
      <rPr>
        <b/>
        <vertAlign val="superscript"/>
        <sz val="11"/>
        <color theme="1"/>
        <rFont val="Calibri"/>
        <family val="2"/>
        <scheme val="minor"/>
      </rPr>
      <t>1</t>
    </r>
  </si>
  <si>
    <t>Despesa de Provisão</t>
  </si>
  <si>
    <t>3T20</t>
  </si>
  <si>
    <t>Reversão da Provisão para Devedores de Garantias Prestadas (PDG)</t>
  </si>
  <si>
    <t>Margem Financeira Gerencial pré-Provisão (A)</t>
  </si>
  <si>
    <t>Ativos Remuneráveis Médios (B)</t>
  </si>
  <si>
    <t>NIM (% a.a.) (A/B)</t>
  </si>
  <si>
    <t>Margem Financeira Gerencial pré-Provisão</t>
  </si>
  <si>
    <t>MARGEM FINANCEIRA PÓS-PROVISÃO</t>
  </si>
  <si>
    <t>Set/20</t>
  </si>
  <si>
    <t>Os valores históricos do Índice de Eficiência foram alterados para contemplar as mudanças da Margem Financeira Gerencial pré-Provisão e da Receita de Serviços, ocorridas em setembro de 2020</t>
  </si>
  <si>
    <t>Os valores históricos da NIM foram alterados para contemplar a mudança da Margem Financeira Gerencial pré-Provisão, ocorrida em setembro de 2020</t>
  </si>
  <si>
    <t>Dez/20</t>
  </si>
  <si>
    <t>4T20</t>
  </si>
  <si>
    <t>0 - 5MM</t>
  </si>
  <si>
    <t>5 MM - 10 MM</t>
  </si>
  <si>
    <t>&gt; 10 MM</t>
  </si>
  <si>
    <t>10 MM - 50 MM</t>
  </si>
  <si>
    <t>&gt; 50MM</t>
  </si>
  <si>
    <t>2 MM - 5 MM</t>
  </si>
  <si>
    <t>500 K - 2 MM</t>
  </si>
  <si>
    <t>0 - 500 K</t>
  </si>
  <si>
    <t>EMPRÉSTIMOS POR TICKET¹</t>
  </si>
  <si>
    <t>¹ A quebra de empréstimos por ticket foi ajustada a partir de março de 2020 para garantir uma visão mais adequada da carteira</t>
  </si>
  <si>
    <r>
      <t xml:space="preserve">JCP Bruto Distribuído por Ação </t>
    </r>
    <r>
      <rPr>
        <i/>
        <sz val="11"/>
        <color theme="1"/>
        <rFont val="Calibri"/>
        <family val="2"/>
        <scheme val="minor"/>
      </rPr>
      <t>(R$)</t>
    </r>
  </si>
  <si>
    <t>Mar/21</t>
  </si>
  <si>
    <t>1T21</t>
  </si>
  <si>
    <t>2019³</t>
  </si>
  <si>
    <t>1 - Nova Classificação Gerencial a partir de Set/20. Os valores desde 1T19 foram ajustados para efeito de comparação.</t>
  </si>
  <si>
    <t>2 - Nova Segmentação de clientes, em vigor desde Jan/21. Os valores desde 1T19 foram ajustados para efeito de comparação.</t>
  </si>
  <si>
    <t>Carteira Expandida - Antiga Segmentação de Clientes
Até Jan/21</t>
  </si>
  <si>
    <t>C&amp;IB</t>
  </si>
  <si>
    <t>Jun/21</t>
  </si>
  <si>
    <t>2T21</t>
  </si>
  <si>
    <t>Set/21</t>
  </si>
  <si>
    <t>3T21</t>
  </si>
  <si>
    <t>Participação de Acionistas não Controladores</t>
  </si>
  <si>
    <t>Tarifas e Corretagem de Seguros</t>
  </si>
  <si>
    <t>Dez/21</t>
  </si>
  <si>
    <t>4T21</t>
  </si>
  <si>
    <t>Sumário Executivo</t>
  </si>
  <si>
    <t>R$ milhões, exceto quando indicado de outra forma</t>
  </si>
  <si>
    <t>RESULTADO</t>
  </si>
  <si>
    <t>Lucro Líquido Recorrente</t>
  </si>
  <si>
    <t>Lucro Líquido Contábil</t>
  </si>
  <si>
    <t>Margem Financeira Gerencial pós-Provisão¹</t>
  </si>
  <si>
    <t>AÇÕES (R$)</t>
  </si>
  <si>
    <t>Número de Ações (ex-Tesouraria)</t>
  </si>
  <si>
    <t>Lucro Líquido Recorrente por Ação</t>
  </si>
  <si>
    <t>Lucro Líquido Contábil por Ação</t>
  </si>
  <si>
    <t>Cotação ABCB4</t>
  </si>
  <si>
    <t>Valor de Mercado (R$ milhões)</t>
  </si>
  <si>
    <t>Valor Patrimonial por Ação</t>
  </si>
  <si>
    <t>Valor de Mercado / Valor Patrimonial</t>
  </si>
  <si>
    <t>JCP² Declarado (R$ milhões)</t>
  </si>
  <si>
    <t>JCP por Ação</t>
  </si>
  <si>
    <t>Dividend Yield (%) - Anualizado</t>
  </si>
  <si>
    <t>ÍNDICES DE DESEMPENHO (%)</t>
  </si>
  <si>
    <t>NIM (Margem Financeira) (a.a.)</t>
  </si>
  <si>
    <t>ROAE Recorrente (a.a.)</t>
  </si>
  <si>
    <t>ROAE Contábil (a.a.)</t>
  </si>
  <si>
    <t>ROAA Recorrente (a.a.)</t>
  </si>
  <si>
    <t>Índice de Eficiência</t>
  </si>
  <si>
    <t>Índice de Basileia</t>
  </si>
  <si>
    <t>Índice de Cobertura</t>
  </si>
  <si>
    <t>BALANÇO PATRIMONIAL</t>
  </si>
  <si>
    <t>Ativos Totais</t>
  </si>
  <si>
    <t>Carteira de Crédito Expandida</t>
  </si>
  <si>
    <t>Empréstimos</t>
  </si>
  <si>
    <t>Títulos Privados</t>
  </si>
  <si>
    <t>Captação com Terceiros</t>
  </si>
  <si>
    <t>Capital de Nível 1</t>
  </si>
  <si>
    <t>Capital Principal</t>
  </si>
  <si>
    <t>Capital Complementar</t>
  </si>
  <si>
    <t>Capital de Nível 2</t>
  </si>
  <si>
    <t>OUTROS</t>
  </si>
  <si>
    <t>Cotação R$/US$</t>
  </si>
  <si>
    <t>Colaboradores⁴</t>
  </si>
  <si>
    <t>1 - Consiste na Margem Financeira Gerencial após Provisões para Devedores Duvidosos (PDD) e para Desvalorização de Títulos (PDT), somada a Recuperações de Crédito</t>
  </si>
  <si>
    <t>2 - Juros sobre Capital Próprio</t>
  </si>
  <si>
    <t>3 - Inclui clientes com exposição à crédito e serviços</t>
  </si>
  <si>
    <t>4 - Inclui Administradores, Funcionários e Estagiários</t>
  </si>
  <si>
    <t>AA-C</t>
  </si>
  <si>
    <t>D-H</t>
  </si>
  <si>
    <t xml:space="preserve"> % da Carteira 2.682</t>
  </si>
  <si>
    <t>SALDO DE PDD DA CARTEIRA DE EMPRÉSTIMOS POR RATING</t>
  </si>
  <si>
    <t>SALDO DE PDD</t>
  </si>
  <si>
    <t>Middle - Especifica</t>
  </si>
  <si>
    <t>NPL FORMATION</t>
  </si>
  <si>
    <t>ÍNDICE DE COBERTURA</t>
  </si>
  <si>
    <t>PROVISÕES</t>
  </si>
  <si>
    <t>% em relação a Carteira 2.682</t>
  </si>
  <si>
    <t>(+) Provisão para Desvalorização de Títulos Privados (PDT)</t>
  </si>
  <si>
    <t>(+) Recuperações de Crédito</t>
  </si>
  <si>
    <t>(+) Provisão para Devedores de Garantias Prestadas (PDG)</t>
  </si>
  <si>
    <t>(+) Provisão para Bens Não de Uso Próprio (BNDU)</t>
  </si>
  <si>
    <t>Despesa de Provisão Ampliada</t>
  </si>
  <si>
    <t>% em relação a Carteira Expandida</t>
  </si>
  <si>
    <t>JCP Bruto Distribuído</t>
  </si>
  <si>
    <t>Resultado Não Operacional</t>
  </si>
  <si>
    <t>Despesas Administrativas</t>
  </si>
  <si>
    <t>PLR</t>
  </si>
  <si>
    <t>Provisões</t>
  </si>
  <si>
    <t>Nível de Risco da Carteira 2.682</t>
  </si>
  <si>
    <t>Indicadores da Carteira 2.682</t>
  </si>
  <si>
    <t>DRE Contábil (Anual)</t>
  </si>
  <si>
    <t>DRE Contábil (Trimestral)</t>
  </si>
  <si>
    <t>DRE Gerencial (Trimestral)</t>
  </si>
  <si>
    <t>DRE Gerencial (Anual)</t>
  </si>
  <si>
    <t>Carteira Expandida</t>
  </si>
  <si>
    <t xml:space="preserve">INDICADORES CARTEIRA EXPANDIDA </t>
  </si>
  <si>
    <t>DISTRIBUIÇÃO GEOGRÁFICA</t>
  </si>
  <si>
    <t>SALDO DA CARTEIRA DE EMPRÉSTIMOS POR NÍVEL DE RISCO</t>
  </si>
  <si>
    <t>NPL 90 DIAS - OPERAÇÕES¹</t>
  </si>
  <si>
    <t>1 - Corresponde às parcelas vencidas e vincendas</t>
  </si>
  <si>
    <t>% da Carteira 2.682</t>
  </si>
  <si>
    <t>WRITE-OFF</t>
  </si>
  <si>
    <r>
      <rPr>
        <b/>
        <sz val="11"/>
        <color theme="1"/>
        <rFont val="Calibri"/>
        <family val="2"/>
        <scheme val="minor"/>
      </rPr>
      <t>C&amp;IB (Corporate &amp; Investment Banking):</t>
    </r>
    <r>
      <rPr>
        <sz val="11"/>
        <color theme="1"/>
        <rFont val="Calibri"/>
        <family val="2"/>
        <scheme val="minor"/>
      </rPr>
      <t xml:space="preserve"> Clientes com faturamento anual acima de R$4 bilhões.</t>
    </r>
  </si>
  <si>
    <r>
      <rPr>
        <b/>
        <sz val="11"/>
        <color theme="1"/>
        <rFont val="Calibri"/>
        <family val="2"/>
        <scheme val="minor"/>
      </rPr>
      <t>Corporate:</t>
    </r>
    <r>
      <rPr>
        <sz val="11"/>
        <color theme="1"/>
        <rFont val="Calibri"/>
        <family val="2"/>
        <scheme val="minor"/>
      </rPr>
      <t xml:space="preserve"> Clientes com faturamento anual entre R$300 milhões e R$4 bilhões.</t>
    </r>
  </si>
  <si>
    <r>
      <rPr>
        <b/>
        <sz val="11"/>
        <color theme="1"/>
        <rFont val="Calibri"/>
        <family val="2"/>
        <scheme val="minor"/>
      </rPr>
      <t>Middle:</t>
    </r>
    <r>
      <rPr>
        <sz val="11"/>
        <color theme="1"/>
        <rFont val="Calibri"/>
        <family val="2"/>
        <scheme val="minor"/>
      </rPr>
      <t xml:space="preserve"> Clientes com faturamento anual entre R$30 milhões e R$300 milhões.</t>
    </r>
  </si>
  <si>
    <t>Saldo de Créditos Renegociados</t>
  </si>
  <si>
    <t>Recuperação de Crédito</t>
  </si>
  <si>
    <t>CAPTAÇÃO COM TERCEIROS POR PRAZO DE VENCIMENTO</t>
  </si>
  <si>
    <t>Eurobonus Subordinado</t>
  </si>
  <si>
    <t>1 - A quebra de empréstimos por ticket foi ajustada a partir de março de 2020 para garantir uma visão mais adequada da carteira</t>
  </si>
  <si>
    <t>10.</t>
  </si>
  <si>
    <t>11.</t>
  </si>
  <si>
    <t>12.</t>
  </si>
  <si>
    <t>13.</t>
  </si>
  <si>
    <t xml:space="preserve">CARTEIRA 2.682 POR PRAZO DE VENCIMENTO </t>
  </si>
  <si>
    <t xml:space="preserve">CARTEIRA DE GARANTIAS PRESTADAS POR PRAZO DE VENCIMENTO </t>
  </si>
  <si>
    <t>CARTEIRA 2.682 POR TICKET¹</t>
  </si>
  <si>
    <t>x</t>
  </si>
  <si>
    <t>Mar/22</t>
  </si>
  <si>
    <t>1T22</t>
  </si>
  <si>
    <t>Historical Data Spreadsheet</t>
  </si>
  <si>
    <t>R$ million, unless otherwise stated</t>
  </si>
  <si>
    <t>Português</t>
  </si>
  <si>
    <t>English</t>
  </si>
  <si>
    <t>Executive Summary</t>
  </si>
  <si>
    <t>1Q21
Mar/21</t>
  </si>
  <si>
    <t>2Q21
Jun/21</t>
  </si>
  <si>
    <t>3Q21
Sep/21</t>
  </si>
  <si>
    <t>4Q21
Dec/21</t>
  </si>
  <si>
    <t>1Q22
Mar/22</t>
  </si>
  <si>
    <t>Recurring Net Income</t>
  </si>
  <si>
    <t>Published Net Income</t>
  </si>
  <si>
    <t>Managerial NII pre-Provisions</t>
  </si>
  <si>
    <t>Number of Outstanding Shares (ex-Treasury)</t>
  </si>
  <si>
    <t>Recurring Earnings per Share (EPS)</t>
  </si>
  <si>
    <t>Published Earnings per Share (EPS)</t>
  </si>
  <si>
    <t>ABCB4 Quotation</t>
  </si>
  <si>
    <t>Market Capitalization (R$ million)</t>
  </si>
  <si>
    <t>Book Value per Share</t>
  </si>
  <si>
    <t>Price / Book Value (P/BV)</t>
  </si>
  <si>
    <t>IoC² Declared (R$ million)</t>
  </si>
  <si>
    <t>IoC per Share (R$)</t>
  </si>
  <si>
    <t>Dividend Yield (%) - Annualized</t>
  </si>
  <si>
    <t>NIM - Net Interest Margin (p.a.)</t>
  </si>
  <si>
    <t>Recurring ROAE (annualized)</t>
  </si>
  <si>
    <t>Published ROAE (annualized)</t>
  </si>
  <si>
    <t>ROAA (annualized)</t>
  </si>
  <si>
    <t>Efficiency Ratio</t>
  </si>
  <si>
    <t>BIS Ratio</t>
  </si>
  <si>
    <t>Core Capital</t>
  </si>
  <si>
    <t>Additional Capital</t>
  </si>
  <si>
    <t>Coverage Ratio</t>
  </si>
  <si>
    <t>Total Assets</t>
  </si>
  <si>
    <t>Expanded Credit Portfolio</t>
  </si>
  <si>
    <t>Loans</t>
  </si>
  <si>
    <t>Guarantees Issued</t>
  </si>
  <si>
    <t>Corporate Securities</t>
  </si>
  <si>
    <t>Funding with third-party sources</t>
  </si>
  <si>
    <t>Tier 1 Capital</t>
  </si>
  <si>
    <t>Tier 2 Capital</t>
  </si>
  <si>
    <t>Shareholder's Equity</t>
  </si>
  <si>
    <t>R$/USD</t>
  </si>
  <si>
    <t>Managerial NII post-Provisions1</t>
  </si>
  <si>
    <t>STATEMENTS OF INCOME</t>
  </si>
  <si>
    <t>SHARES (R$)</t>
  </si>
  <si>
    <t>PERFORMANCE RATIOS (%)</t>
  </si>
  <si>
    <t>BALANCE SHEET</t>
  </si>
  <si>
    <t>OTHERS</t>
  </si>
  <si>
    <t>1 -  Consists of Managerial Net Interest Income after Loan Loss Provision (LLP) and Provision for the Devaluation of Securities (PDS) , added by Credit Recoveries</t>
  </si>
  <si>
    <t>2 - Interest on Capital</t>
  </si>
  <si>
    <t>3 - Includes clients with exposure to credit and services</t>
  </si>
  <si>
    <t>4 - Including Executive Directors, Employees and Interns</t>
  </si>
  <si>
    <t>Employees⁴</t>
  </si>
  <si>
    <t xml:space="preserve">   </t>
  </si>
  <si>
    <t>Index</t>
  </si>
  <si>
    <t>Balance Sheet</t>
  </si>
  <si>
    <t>Sep/08</t>
  </si>
  <si>
    <t>Dec/08</t>
  </si>
  <si>
    <t>Sep/09</t>
  </si>
  <si>
    <t>Dec/09</t>
  </si>
  <si>
    <t>Sep/10</t>
  </si>
  <si>
    <t>Dec/10</t>
  </si>
  <si>
    <t>Sep/11</t>
  </si>
  <si>
    <t>Dec/11</t>
  </si>
  <si>
    <t>Sep/12</t>
  </si>
  <si>
    <t>Dec/12</t>
  </si>
  <si>
    <t>Sep/13</t>
  </si>
  <si>
    <t>Dec/13</t>
  </si>
  <si>
    <t>Sep/14</t>
  </si>
  <si>
    <t>Dec/14</t>
  </si>
  <si>
    <t>Sep/15</t>
  </si>
  <si>
    <t>Dec/15</t>
  </si>
  <si>
    <t>Sep/16</t>
  </si>
  <si>
    <t>Dec/16</t>
  </si>
  <si>
    <t>Sep/17</t>
  </si>
  <si>
    <t>Dec/17</t>
  </si>
  <si>
    <t>Sep/18</t>
  </si>
  <si>
    <t>Dec/18</t>
  </si>
  <si>
    <t>Dec/19</t>
  </si>
  <si>
    <t>Sep/20</t>
  </si>
  <si>
    <t>Dec/20</t>
  </si>
  <si>
    <t>Sep/21</t>
  </si>
  <si>
    <t>Dec/21</t>
  </si>
  <si>
    <t>ASSETS</t>
  </si>
  <si>
    <t>CURRENT AND LONG TERM ASSETS</t>
  </si>
  <si>
    <t>NON CURRENT ASSETS</t>
  </si>
  <si>
    <t>TOTAL ASSETS</t>
  </si>
  <si>
    <t>LIABILITIES</t>
  </si>
  <si>
    <t>CURRENT AND LONG TERM LIABILITY</t>
  </si>
  <si>
    <t>DEFERRED INCOME</t>
  </si>
  <si>
    <t>STOCKHOLDER´S EQUITY</t>
  </si>
  <si>
    <t>TOTAL LIABILITIES</t>
  </si>
  <si>
    <t>Cash and Banks</t>
  </si>
  <si>
    <t>Interbank Investments</t>
  </si>
  <si>
    <t>Marketable Securities and Derivative Instruments</t>
  </si>
  <si>
    <t>Interbank Accounts</t>
  </si>
  <si>
    <t>Lending Operations</t>
  </si>
  <si>
    <t>Other Credits</t>
  </si>
  <si>
    <t>Other Assets</t>
  </si>
  <si>
    <t>Investments</t>
  </si>
  <si>
    <t>Fixed Assets</t>
  </si>
  <si>
    <t>Intangible</t>
  </si>
  <si>
    <t>Deferred Charges</t>
  </si>
  <si>
    <t>Deposits</t>
  </si>
  <si>
    <t>Money Market Funding</t>
  </si>
  <si>
    <t>Funds from Acceptance and Issuance of Securities</t>
  </si>
  <si>
    <t>Interbranch Accounts</t>
  </si>
  <si>
    <t>Foreign Borrowings</t>
  </si>
  <si>
    <t>Onlending in Brazil – Government Agencies</t>
  </si>
  <si>
    <t>Onlendings Abroad</t>
  </si>
  <si>
    <t>Other Liabilities</t>
  </si>
  <si>
    <t>Capital</t>
  </si>
  <si>
    <t>Capital Reserve</t>
  </si>
  <si>
    <t>Income Reserves + Treasury Shares</t>
  </si>
  <si>
    <t>Equity Valuation Adjustment</t>
  </si>
  <si>
    <t>Retained Earnings</t>
  </si>
  <si>
    <t>Minority Interest</t>
  </si>
  <si>
    <t>Títulos e Valores Mobiliários &amp; Derivativos</t>
  </si>
  <si>
    <t>Income Statement (QoQ)</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</si>
  <si>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</si>
  <si>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</si>
  <si>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</si>
  <si>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</si>
  <si>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</si>
  <si>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</si>
  <si>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</si>
  <si>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</si>
  <si>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</si>
  <si>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</si>
  <si>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</si>
  <si>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</si>
  <si>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</si>
  <si>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</si>
  <si>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</si>
  <si>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</si>
  <si>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</si>
  <si>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</si>
  <si>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</si>
  <si>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</si>
  <si>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</si>
  <si>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</si>
  <si>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</si>
  <si>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</si>
  <si>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</si>
  <si>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</si>
  <si>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</si>
  <si>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</si>
  <si>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</si>
  <si>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</si>
  <si>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</si>
  <si>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</si>
  <si>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</si>
  <si>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</si>
  <si>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</si>
  <si>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</si>
  <si>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</si>
  <si>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</si>
  <si>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</si>
  <si>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</si>
  <si>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</si>
  <si>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</si>
  <si>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</si>
  <si>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</si>
  <si>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</si>
  <si>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</si>
  <si>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</si>
  <si>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</si>
  <si>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</si>
  <si>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</si>
  <si>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</si>
  <si>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</si>
  <si>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</si>
  <si>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</si>
  <si>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</si>
  <si>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</si>
  <si>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</si>
  <si>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INCOME STATEMENT</t>
  </si>
  <si>
    <t>INCOME FROM FINANCIAL INTERMEDIATION</t>
  </si>
  <si>
    <t>EXPENSES FROM FINANCIAL INTERMEDIATION</t>
  </si>
  <si>
    <t>GROSS INCOME FROM FINANCIAL INTERMEDIATION</t>
  </si>
  <si>
    <t>OTHER OPERATING INCOME/EXPENSES</t>
  </si>
  <si>
    <t>OPERATING INCOME</t>
  </si>
  <si>
    <t>INCOME BEFORE TAXES AND PROFIT SHARING</t>
  </si>
  <si>
    <t>NET INCOME</t>
  </si>
  <si>
    <t>Marketable Securities</t>
  </si>
  <si>
    <t>Gains (Losses) on Derivative Financial Instruments</t>
  </si>
  <si>
    <t>Foreign Exchange Operations</t>
  </si>
  <si>
    <t>Income from Receivables Acquired</t>
  </si>
  <si>
    <t>Funding Expenses</t>
  </si>
  <si>
    <t>Borrowings and Onlendings</t>
  </si>
  <si>
    <t>Allowance for Loan Losses</t>
  </si>
  <si>
    <t>Transactions with Financial Assets Sale or Transfer</t>
  </si>
  <si>
    <t>Service Revenues</t>
  </si>
  <si>
    <t>Personnel Expenses</t>
  </si>
  <si>
    <t>Other Administrative Expenses</t>
  </si>
  <si>
    <t>Taxes</t>
  </si>
  <si>
    <t>Other Operating Income/Expenses</t>
  </si>
  <si>
    <t>Non-Operating Income</t>
  </si>
  <si>
    <t>Income and Social Contribution Taxes</t>
  </si>
  <si>
    <t>Variable Compensation</t>
  </si>
  <si>
    <t>Income Statement (YoY)</t>
  </si>
  <si>
    <t>Managerial Income Statement (QoQ)</t>
  </si>
  <si>
    <t>MANAGERIAL INCOME STATEMENT</t>
  </si>
  <si>
    <t>MANAGERIAL NET INTEREST INCOME</t>
  </si>
  <si>
    <t>PROVISION EXPENSES¹</t>
  </si>
  <si>
    <t>MANAGERIAL NET INTEREST INCOME AFTER LLP</t>
  </si>
  <si>
    <t>BANKING SERVICE FEES</t>
  </si>
  <si>
    <t>EXPENSES</t>
  </si>
  <si>
    <t>EARNINGS BEFORE TAX AND PROFIT SHARING</t>
  </si>
  <si>
    <t>ACCOUNTING NET INCOME</t>
  </si>
  <si>
    <t>Shareholders' Equity Remunerated at CDI Rate</t>
  </si>
  <si>
    <t>Financial Margin with Clients</t>
  </si>
  <si>
    <t>Financial Margin with Market</t>
  </si>
  <si>
    <t>Capital Markets and M&amp;A Fees</t>
  </si>
  <si>
    <t>Banking Tariffs</t>
  </si>
  <si>
    <t>Personnel</t>
  </si>
  <si>
    <t>Tax Expenses</t>
  </si>
  <si>
    <t>Adjusted Other Operating Income/Expenses</t>
  </si>
  <si>
    <t>Non Operating Income</t>
  </si>
  <si>
    <t>Income Tax And Social Contribution</t>
  </si>
  <si>
    <t>Profit Sharing</t>
  </si>
  <si>
    <t>Non Recurring Events</t>
  </si>
  <si>
    <t>1 - Inclui a Provisão para Devedores Duvidosos (PDD), Provisão para Desvalorização de Títulos (PDT) e Recuperações de Crédito</t>
  </si>
  <si>
    <t>1 - Includes: Loan Loss Provision (LLP), Provision for the Devaluation of Securities (PDS), and Credit Recoveries.</t>
  </si>
  <si>
    <t>Managerial Income Statement (YoY)</t>
  </si>
  <si>
    <t>1 - Só passamos a abrir a linha de Patrimônio Líquido Remunerado a CDI a partir de 2011</t>
  </si>
  <si>
    <t>2 - Inclui a Provisão para Devedores Duvidosos (PDD), Provisão para Desvalorização de Títulos (PDT) e Recuperações de Crédito</t>
  </si>
  <si>
    <t>3 - O ano de 2019 foi ajustado para contemplar as mudanças ocorridas a partir setembro de 2020, para efeito de comparação</t>
  </si>
  <si>
    <t>1 - Until 2011, the Bank didn't disclose the Shareholders' Equity Remuneration</t>
  </si>
  <si>
    <t>2 - Includes: Loan Loss Provision (LLP), Provision for the Devaluation of Securities (PDS), and Credit Recoveries.</t>
  </si>
  <si>
    <t>3 - The year 2019 was also adjusted to the new set of managerial accounts, starting Sep/20, for comparison purposes</t>
  </si>
  <si>
    <t>Patrimônio Líquido Remunerado a CDI¹</t>
  </si>
  <si>
    <t>DESPESA DE PROVISÃO²</t>
  </si>
  <si>
    <t>PROVISION EXPENSES²</t>
  </si>
  <si>
    <t>Shareholders' Equity Remunerated at CDI Rate¹</t>
  </si>
  <si>
    <t>Provisions</t>
  </si>
  <si>
    <t>PROVISIONS</t>
  </si>
  <si>
    <t>Loan Loss Provision (LLP)</t>
  </si>
  <si>
    <t>% of Loan Portfolio</t>
  </si>
  <si>
    <t>Expanded Provision Expenses</t>
  </si>
  <si>
    <t>% of Expanded Portfolio</t>
  </si>
  <si>
    <t>(+) Provision for the Devaluation of Securities (PDS)</t>
  </si>
  <si>
    <t>(+) Credit Recoveries</t>
  </si>
  <si>
    <t>(+) Provision for Guarantees Issued (PGI)</t>
  </si>
  <si>
    <t>(+) Provision for Assets not for Own Use (BNDU)</t>
  </si>
  <si>
    <t>EXPANDED CREDIT PORTFOLIO</t>
  </si>
  <si>
    <t>LOANS</t>
  </si>
  <si>
    <t>GUARANTEES ISSUED</t>
  </si>
  <si>
    <t>CORPORATE SECURITIES</t>
  </si>
  <si>
    <t>TOTAL EXPANDED CREDIT PORTFOLIO</t>
  </si>
  <si>
    <t>EXPANDED CREDIT PORTFOLIO INDICATORS</t>
  </si>
  <si>
    <t>EXPANDED CREDIT PORTFOLIO GEOGRAPHICAL BREAKDOWN</t>
  </si>
  <si>
    <t>LOAN PORTFOLIO BY MATURITY</t>
  </si>
  <si>
    <t>GUARANTEES ISSUED PORTFOLIO BY MATURITY</t>
  </si>
  <si>
    <r>
      <rPr>
        <b/>
        <sz val="11"/>
        <color theme="1"/>
        <rFont val="Calibri"/>
        <family val="2"/>
        <scheme val="minor"/>
      </rPr>
      <t>C&amp;IB (Corporate &amp; Investment Banking):</t>
    </r>
    <r>
      <rPr>
        <sz val="11"/>
        <color theme="1"/>
        <rFont val="Calibri"/>
        <family val="2"/>
        <scheme val="minor"/>
      </rPr>
      <t xml:space="preserve"> Clients with annual sales above R$4 bn.</t>
    </r>
  </si>
  <si>
    <r>
      <rPr>
        <b/>
        <sz val="11"/>
        <color theme="1"/>
        <rFont val="Calibri"/>
        <family val="2"/>
        <scheme val="minor"/>
      </rPr>
      <t>Corporate:</t>
    </r>
    <r>
      <rPr>
        <sz val="11"/>
        <color theme="1"/>
        <rFont val="Calibri"/>
        <family val="2"/>
        <scheme val="minor"/>
      </rPr>
      <t xml:space="preserve"> Clients with annual sales between R$ 300 mm and R$ 4 bn.</t>
    </r>
  </si>
  <si>
    <r>
      <rPr>
        <b/>
        <sz val="11"/>
        <color theme="1"/>
        <rFont val="Calibri"/>
        <family val="2"/>
        <scheme val="minor"/>
      </rPr>
      <t xml:space="preserve">Middle: </t>
    </r>
    <r>
      <rPr>
        <sz val="11"/>
        <color theme="1"/>
        <rFont val="Calibri"/>
        <family val="2"/>
        <scheme val="minor"/>
      </rPr>
      <t>Clients with annual sales between R$ 30 mm and R$ 300 mm.</t>
    </r>
  </si>
  <si>
    <t>Average Exposure per Client (R$ million)</t>
  </si>
  <si>
    <t>Average Term (days)</t>
  </si>
  <si>
    <t>South</t>
  </si>
  <si>
    <t>Minas Gerais + Northeast</t>
  </si>
  <si>
    <t>Midwest</t>
  </si>
  <si>
    <t>Until 3 months</t>
  </si>
  <si>
    <t>3 to 12 months</t>
  </si>
  <si>
    <t>1 to 3 years</t>
  </si>
  <si>
    <t>Above 3 years</t>
  </si>
  <si>
    <t>1 - The breakdown of loan size was adjusted from March 2020 onwards to provide a better overview of the portfolio</t>
  </si>
  <si>
    <t>LOAN PORTFOLIO BY VOLUME EXPOSURE¹</t>
  </si>
  <si>
    <t>Loan Portfolio Ratings</t>
  </si>
  <si>
    <t>LOAN PORTFOLIO BY RATING</t>
  </si>
  <si>
    <t>Balance</t>
  </si>
  <si>
    <t>LOAN LOSS RESERVE BY RATING</t>
  </si>
  <si>
    <t>LOAN LOSS RESERVE</t>
  </si>
  <si>
    <t>NPL 90 DAYS - LOANS¹</t>
  </si>
  <si>
    <t>1 - Includes falling due and overdue installments</t>
  </si>
  <si>
    <t>COVERAGE RATIO</t>
  </si>
  <si>
    <t>Middle - Specific</t>
  </si>
  <si>
    <t>Balance of Renegotiated Loans</t>
  </si>
  <si>
    <t>Recovered Assets</t>
  </si>
  <si>
    <t>Funding</t>
  </si>
  <si>
    <t>FUNDING</t>
  </si>
  <si>
    <t>FUNDING BREAKDOWN BY MATURITY</t>
  </si>
  <si>
    <t>Demand Deposits</t>
  </si>
  <si>
    <t>Time Deposits</t>
  </si>
  <si>
    <t>LCA, LCI &amp; COE¹</t>
  </si>
  <si>
    <t>Financial Bills</t>
  </si>
  <si>
    <t>Subordinated Local Bonds</t>
  </si>
  <si>
    <t>Interbank Deposits</t>
  </si>
  <si>
    <t>Borrowing and on Lending Obligations Abroad</t>
  </si>
  <si>
    <t>Borrowing and on Lending Obligations (BNDES and FINAME)</t>
  </si>
  <si>
    <t>Subordinated Debt²</t>
  </si>
  <si>
    <t>Perpetual Subordinated Financial Letters</t>
  </si>
  <si>
    <t>SUBTOTAL (FUNDING WITH THIRD PARTIES)</t>
  </si>
  <si>
    <t>Shareholders' Equity</t>
  </si>
  <si>
    <t>1 - LCA: Agriculture Credit Bills / LCI: Real Estate Credit Bills / COE: Structured Transactions Certificate</t>
  </si>
  <si>
    <t>2 - Subordinated Debt matured in April 8, 2020, totaling USD 126,3 million</t>
  </si>
  <si>
    <t>Efficiency</t>
  </si>
  <si>
    <t>EFFICIENCY RATIO</t>
  </si>
  <si>
    <t>REVENUES</t>
  </si>
  <si>
    <t>Other Administrative</t>
  </si>
  <si>
    <t>Net Interest Income pre-Provisions</t>
  </si>
  <si>
    <t>Service Fees</t>
  </si>
  <si>
    <t>Other Revenues/Expenses</t>
  </si>
  <si>
    <t>Provision for Guarantees Issued (PGI)</t>
  </si>
  <si>
    <t>The historical figures for the Efficiency Ratio were altered to reflect the changes in the Net Interest Income pre-Provisions and in the Service Fees, starting in September 2020</t>
  </si>
  <si>
    <t>From the first quarter of 2018 on, the managerial income statement considers the following reclassification: (i) INSS (Social Security) expenses related to the variable compensation will be reclassified to the line “Profit Sharing”, where the variable compensation is accounted, from the line “Personnel Expenses”; and (ii) expenses with initiatives that set tax shields such as the Rouanet Law (cultural incentive), Sports Incentive Law and FUMCAD (incentives for Child and Adolescent rights) will be reclassified to the line “Income Tax and Social Contribution” from the line “Other Administrative”. This reclassification was applied from the 1Q16 figures forward.</t>
  </si>
  <si>
    <t>Net Interest Margin (NIM)</t>
  </si>
  <si>
    <t>Net Interest Margin (% pa) (A/B)</t>
  </si>
  <si>
    <t>Net Interest Income pre-Provisions (A)</t>
  </si>
  <si>
    <t>Loans (Average)</t>
  </si>
  <si>
    <t>Other Interest Earning Assets (Average)</t>
  </si>
  <si>
    <t>Average Interest Earning Assets (B)</t>
  </si>
  <si>
    <t>NIM's historical figures were altered to reflect the change in theNet Interest Income pre-Provisions, starting in September 2020</t>
  </si>
  <si>
    <t>Capital Adequacy</t>
  </si>
  <si>
    <t>Reference Equity</t>
  </si>
  <si>
    <t>Required Capital Base</t>
  </si>
  <si>
    <t>Excess of Equity in Relation to Required</t>
  </si>
  <si>
    <t>BASEL RATIO</t>
  </si>
  <si>
    <t xml:space="preserve">TIER I </t>
  </si>
  <si>
    <t>TIER II</t>
  </si>
  <si>
    <t>CET1</t>
  </si>
  <si>
    <t>AT1</t>
  </si>
  <si>
    <t>IOC Distributed</t>
  </si>
  <si>
    <t>IOC per Share (R$)</t>
  </si>
  <si>
    <t>Expanded Portfolio - Old Client Segmentation
Ending January/21</t>
  </si>
  <si>
    <t>(R$ million)</t>
  </si>
  <si>
    <t>LOAN SIZE¹</t>
  </si>
  <si>
    <t>¹ The breakdown of loan size was adjusted from March 2020 onwards to provide a better overview of the portfolio</t>
  </si>
  <si>
    <t xml:space="preserve">GUARANTEES ISSUED BY MATURITY </t>
  </si>
  <si>
    <t>LOAN PORTFOLIO RATING</t>
  </si>
  <si>
    <t>RENEGOTIATIONS (LOAN PORTFOLIO)</t>
  </si>
  <si>
    <t>WRITE OFF (LOAN PORTFOLIO)</t>
  </si>
  <si>
    <t>CREDIT PORTFOLIO</t>
  </si>
  <si>
    <t>Average Ticket (R$ million)</t>
  </si>
  <si>
    <r>
      <t xml:space="preserve">Duration </t>
    </r>
    <r>
      <rPr>
        <i/>
        <sz val="11"/>
        <color theme="1"/>
        <rFont val="Calibri"/>
        <family val="2"/>
        <scheme val="minor"/>
      </rPr>
      <t>(days)</t>
    </r>
  </si>
  <si>
    <t>GEOGRAPHICAL DISTRIBUTION - LARGE CORPORATE (%)</t>
  </si>
  <si>
    <t>GEOGRAPHICAL DISTRIBUTION - CORPORATE (%)</t>
  </si>
  <si>
    <t>GEOGRAPHICAL DISTRIBUTION - MIDDLE (%)</t>
  </si>
  <si>
    <t>NET INTEREST INCOME</t>
  </si>
  <si>
    <t>LOAN LOSS PROVISION (LLP)</t>
  </si>
  <si>
    <t>NET INTEREST INCOME AFTER LLP</t>
  </si>
  <si>
    <t>SERVICE FEES</t>
  </si>
  <si>
    <t>Investment Banking</t>
  </si>
  <si>
    <t>Commercial Banking Fees</t>
  </si>
  <si>
    <t>PERSONNEL &amp; OTHER ADMINISTRATIVE EXPENSES</t>
  </si>
  <si>
    <t>Personnel (Adjusted)</t>
  </si>
  <si>
    <t>TAX EXPENSES</t>
  </si>
  <si>
    <t>NON OPERATING INCOME</t>
  </si>
  <si>
    <t>Income Tax and Social Contribution</t>
  </si>
  <si>
    <t>Other administrative expenses</t>
  </si>
  <si>
    <t xml:space="preserve">MANAGERIAL NET INTEREST INCOME </t>
  </si>
  <si>
    <t>Banking Service Fees</t>
  </si>
  <si>
    <t>Personnel &amp; Other Administrative Expenses</t>
  </si>
  <si>
    <t>   Personnel</t>
  </si>
  <si>
    <t>   Other Administrative</t>
  </si>
  <si>
    <t>   Profit Sharing</t>
  </si>
  <si>
    <t>   Net Interest Income before LLP</t>
  </si>
  <si>
    <t>   Banking Service Fees</t>
  </si>
  <si>
    <t>   Tax Expenses</t>
  </si>
  <si>
    <t>   Other Revenues/Expenses + Change in LLP of Guarantees Issued</t>
  </si>
  <si>
    <t>A partir do primeiro trimestre de 2018, foram feitas as seguintes reclassificações: (i) a porção das despesas de INSS referente à remuneração variável passou da linha “Despesa de Pessoal” para “Participação nos Lucros (PLR)”, onde a remuneração variável é contabilizada; e (ii) a porção das despesas que geram incentivos fiscais (Lei Rouanet, Lei do Incentivo ao Esporte e FUMCAD) passou da linha “Despesas Administrativas” para “Imposto de Renda e Contribuição Social”. Essa alteração foi aplicada para os dados desde o 1T16.</t>
  </si>
  <si>
    <t>Net Interest Margin</t>
  </si>
  <si>
    <t>NET INTEREST MARGIN</t>
  </si>
  <si>
    <t>Net Interest Income before LLP</t>
  </si>
  <si>
    <t>Average Interest Earning Assets</t>
  </si>
  <si>
    <t>Net Interest Margin (% pa)</t>
  </si>
  <si>
    <t>Loan Portfolio Indicators</t>
  </si>
  <si>
    <t>Click the title to view the worksheet</t>
  </si>
  <si>
    <t>1 - New Set of Managerial Accounts starting Sep/20. The figures starting in 1Q19 have been adjusted for comparison purposes.</t>
  </si>
  <si>
    <t>2 - New Client Segmentation, starting Jan/21. The figures starting in 1Q19 have been adjusted for comparison purposes.</t>
  </si>
  <si>
    <t>If you have questions, please send an email to:</t>
  </si>
  <si>
    <t>DRE Contábil</t>
  </si>
  <si>
    <t>DRE Gerencial¹</t>
  </si>
  <si>
    <r>
      <t xml:space="preserve">Carteira Expandida </t>
    </r>
    <r>
      <rPr>
        <b/>
        <sz val="14"/>
        <color theme="4" tint="-0.249977111117893"/>
        <rFont val="Calibri"/>
        <family val="2"/>
        <scheme val="minor"/>
      </rPr>
      <t>(Nova)</t>
    </r>
    <r>
      <rPr>
        <b/>
        <sz val="14"/>
        <color theme="1"/>
        <rFont val="Calibri"/>
        <family val="2"/>
        <scheme val="minor"/>
      </rPr>
      <t>²</t>
    </r>
  </si>
  <si>
    <t>Nível de Risco 2.682</t>
  </si>
  <si>
    <t>Indicadores 2.682</t>
  </si>
  <si>
    <t>Eficiência¹</t>
  </si>
  <si>
    <t>NIM¹</t>
  </si>
  <si>
    <t>Income Statement</t>
  </si>
  <si>
    <t>Managerial Income Statement¹</t>
  </si>
  <si>
    <r>
      <t xml:space="preserve">Expanded Portfolio </t>
    </r>
    <r>
      <rPr>
        <b/>
        <sz val="14"/>
        <color theme="4" tint="-0.249977111117893"/>
        <rFont val="Calibri"/>
        <family val="2"/>
        <scheme val="minor"/>
      </rPr>
      <t>(New)</t>
    </r>
    <r>
      <rPr>
        <b/>
        <sz val="14"/>
        <color theme="1"/>
        <rFont val="Calibri"/>
        <family val="2"/>
        <scheme val="minor"/>
      </rPr>
      <t>²</t>
    </r>
  </si>
  <si>
    <t>Efficiency¹</t>
  </si>
  <si>
    <t>Net Interest Margin¹</t>
  </si>
  <si>
    <t>Dividends &amp; IOC</t>
  </si>
  <si>
    <t>Aberturas/Conceitos Antigos</t>
  </si>
  <si>
    <t>Carteira Expandida (Conceito Antigo - até Jan/21)</t>
  </si>
  <si>
    <t>DRE Gerencial (Conceito Antigo - até Jun/20)</t>
  </si>
  <si>
    <t>Eficiência (Conceito Antigo - até Jun/20)</t>
  </si>
  <si>
    <t>NIM (Conceito Antigo - até Jun/20)</t>
  </si>
  <si>
    <t>Open-Up of Old Definitions</t>
  </si>
  <si>
    <t>Expanded Portfolio (until Jan/21)</t>
  </si>
  <si>
    <t>Managerial Income Statement (until Jun/20)</t>
  </si>
  <si>
    <t>Efficiency (until Jun/20)</t>
  </si>
  <si>
    <t>Net Interest Margin (until Jun/20)</t>
  </si>
  <si>
    <t>2Q22
Jun/22</t>
  </si>
  <si>
    <t>Jun/22</t>
  </si>
  <si>
    <t>2Q22</t>
  </si>
  <si>
    <t>2T22</t>
  </si>
  <si>
    <t>Middle - Adicional</t>
  </si>
  <si>
    <t>Middle - Additional</t>
  </si>
  <si>
    <t>Provisão Adicional - Middle</t>
  </si>
  <si>
    <t>Additional Provision - Middle</t>
  </si>
  <si>
    <t>Clientes Corporativos³</t>
  </si>
  <si>
    <t>Corporate Clients³</t>
  </si>
  <si>
    <t>Total de Clientes Corporativos</t>
  </si>
  <si>
    <t>Clientes Corporativos com Exposição de Crédito</t>
  </si>
  <si>
    <t>Total Corporate Clients</t>
  </si>
  <si>
    <t>Corporate Clients with Credit Exposure</t>
  </si>
  <si>
    <t>(+) Provisão para Devedores Duvidosos (PDD) Específica</t>
  </si>
  <si>
    <t>(+) Provisão para Devedores Duvidosos (PDD) Adicional</t>
  </si>
  <si>
    <t>(+) Specific Loan Loss Provision (LLP)</t>
  </si>
  <si>
    <t>(+) Additional Loan Loss Provision (LLP)</t>
  </si>
  <si>
    <t>3Q22
Sep/22</t>
  </si>
  <si>
    <t>Sep/22</t>
  </si>
  <si>
    <t>Set/22</t>
  </si>
  <si>
    <t>3Q22</t>
  </si>
  <si>
    <t>3T22</t>
  </si>
  <si>
    <t>4T22</t>
  </si>
  <si>
    <t>4Q22
Dec/22</t>
  </si>
  <si>
    <t>Dec/22</t>
  </si>
  <si>
    <t>4Q22</t>
  </si>
  <si>
    <t>Dez/22</t>
  </si>
  <si>
    <t>1Q23
Mar/23</t>
  </si>
  <si>
    <t>Mar/23</t>
  </si>
  <si>
    <t>1T23</t>
  </si>
  <si>
    <t>1Q23</t>
  </si>
  <si>
    <t>2T23</t>
  </si>
  <si>
    <t>Sul + Nordeste</t>
  </si>
  <si>
    <t>South + Northeast</t>
  </si>
  <si>
    <t>2Q23
Jun/23</t>
  </si>
  <si>
    <t>Jun/23</t>
  </si>
  <si>
    <t>2Q23</t>
  </si>
  <si>
    <t>,</t>
  </si>
  <si>
    <t>30 de junho de 2023</t>
  </si>
  <si>
    <t>As of: June 30, 2023</t>
  </si>
  <si>
    <t>Obs.: Até 2011 o JCP foi distribuído trimestralmente; a partir de 2012 o JCP passou a ser distribuído semestralmente (com exceção dos anos 2021 e 2022, cujas distribuições foram trimestrais).</t>
  </si>
  <si>
    <t>Note: Until 2011 the IOC was distributed on a quarterly basis; from 2012 onwards it began to be distributed semi-annualy (with the exception of the years 2021 and 2022, whose distributions were 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</si>
</sst>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_-* #,##0.00_-;\-* #,##0.00_-;_-* &quot;-&quot;??_-;_-@_-"/>
    <numFmt numFmtId="165" formatCode="_-* #,##0.0_-;\-* #,##0.0_-;_-* &quot;-&quot;??_-;_-@_-"/>
    <numFmt numFmtId="166" formatCode="_-* #,##0_-;\-* #,##0_-;_-* &quot;-&quot;??_-;_-@_-"/>
    <numFmt numFmtId="167" formatCode="_-* #,##0.0_-;\-* #,##0.0_-;_-* &quot;-&quot;?_-;_-@_-"/>
    <numFmt numFmtId="168" formatCode="0.0%"/>
    <numFmt numFmtId="169" formatCode="#,##0.0_ ;[Red]\-#,##0.0\ "/>
    <numFmt numFmtId="170" formatCode="_(* #,##0.0_);_(* \(#,##0.0\);_(* &quot;-&quot;??_);_(@_)"/>
    <numFmt numFmtId="171" formatCode="_(* #,##0_);_(* \(#,##0\);_(* &quot;-&quot;??_);_(@_)"/>
    <numFmt numFmtId="172" formatCode="[$$-409]#,##0_);\([$$-409]#,##0\);[$$-409]#,##0_);@_)"/>
    <numFmt numFmtId="173" formatCode="_-\ #.##000_-;\-* #.##000_-;_-* &quot;-&quot;??_-;_-@_-"/>
    <numFmt numFmtId="174" formatCode="0.0"/>
    <numFmt numFmtId="175" formatCode="#,##0.0"/>
    <numFmt numFmtId="176" formatCode="0.000"/>
    <numFmt numFmtId="177" formatCode="_-* #,##0.000000_-;\-* #,##0.000000_-;_-* &quot;-&quot;?_-;_-@_-"/>
    <numFmt numFmtId="178" formatCode="0.000%"/>
    <numFmt numFmtId="179" formatCode="0.0000"/>
    <numFmt numFmtId="180" formatCode="#,##0.0_);\(#,##0.0\)"/>
    <numFmt numFmtId="181" formatCode="_(* #,##0.000_);_(* \(#,##0.000\);_(* &quot;-&quot;?_);_(@_)"/>
    <numFmt numFmtId="183" formatCode="#0.0;\(#0.0\)"/>
    <numFmt numFmtId="184" formatCode="##0.0;\(##0.0\)"/>
    <numFmt numFmtId="185" formatCode="0.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color theme="1" tint="0.34998626667073579"/>
      <name val="Calibri"/>
      <family val="2"/>
      <scheme val="minor"/>
    </font>
    <font>
      <u/>
      <sz val="11"/>
      <color theme="10"/>
      <name val="Calibri"/>
      <family val="2"/>
      <scheme val="minor"/>
    </font>
    <font>
      <sz val="12"/>
      <color theme="1"/>
      <name val="Calibri"/>
      <family val="2"/>
      <scheme val="minor"/>
    </font>
    <font>
      <u/>
      <sz val="12"/>
      <color theme="1"/>
      <name val="Calibri"/>
      <family val="2"/>
      <scheme val="minor"/>
    </font>
    <font>
      <b/>
      <sz val="20"/>
      <color theme="1"/>
      <name val="Calibri"/>
      <family val="2"/>
      <scheme val="minor"/>
    </font>
    <font>
      <sz val="14"/>
      <color theme="1"/>
      <name val="Calibri"/>
      <family val="2"/>
      <scheme val="minor"/>
    </font>
    <font>
      <b/>
      <sz val="14"/>
      <color theme="1" tint="0.34998626667073579"/>
      <name val="Calibri"/>
      <family val="2"/>
      <scheme val="minor"/>
    </font>
    <font>
      <b/>
      <sz val="14"/>
      <color theme="1"/>
      <name val="Calibri"/>
      <family val="2"/>
      <scheme val="minor"/>
    </font>
    <font>
      <sz val="9"/>
      <color theme="1"/>
      <name val="Calibri"/>
      <family val="2"/>
      <scheme val="minor"/>
    </font>
    <font>
      <sz val="11"/>
      <color indexed="8"/>
      <name val="Calibri"/>
      <family val="2"/>
    </font>
    <font>
      <i/>
      <sz val="11"/>
      <color theme="1"/>
      <name val="Calibri"/>
      <family val="2"/>
      <scheme val="minor"/>
    </font>
    <font>
      <b/>
      <sz val="11"/>
      <name val="Calibri"/>
      <family val="2"/>
      <scheme val="minor"/>
    </font>
    <font>
      <i/>
      <sz val="10"/>
      <color theme="1"/>
      <name val="Calibri"/>
      <family val="2"/>
      <scheme val="minor"/>
    </font>
    <font>
      <sz val="11"/>
      <name val="Calibri"/>
      <family val="2"/>
      <scheme val="minor"/>
    </font>
    <font>
      <b/>
      <sz val="8"/>
      <name val="Arial"/>
      <family val="2"/>
    </font>
    <font>
      <b/>
      <sz val="8"/>
      <color rgb="FFF7F7F7"/>
      <name val="Arial"/>
      <family val="2"/>
    </font>
    <font>
      <b/>
      <vertAlign val="superscript"/>
      <sz val="11"/>
      <color theme="1"/>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i/>
      <sz val="10"/>
      <color theme="0"/>
      <name val="Calibri"/>
      <family val="2"/>
      <scheme val="minor"/>
    </font>
    <font>
      <b/>
      <sz val="12"/>
      <color theme="0"/>
      <name val="Calibri"/>
      <family val="2"/>
      <scheme val="minor"/>
    </font>
    <font>
      <b/>
      <sz val="12"/>
      <name val="Calibri"/>
      <family val="2"/>
      <scheme val="minor"/>
    </font>
    <font>
      <sz val="11"/>
      <color rgb="FFFF0000"/>
      <name val="Calibri"/>
      <family val="2"/>
      <scheme val="minor"/>
    </font>
    <font>
      <b/>
      <i/>
      <sz val="14"/>
      <color theme="0"/>
      <name val="Calibri"/>
      <family val="2"/>
      <scheme val="minor"/>
    </font>
    <font>
      <sz val="14"/>
      <color theme="0"/>
      <name val="Calibri"/>
      <family val="2"/>
      <scheme val="minor"/>
    </font>
    <font>
      <sz val="10"/>
      <name val="Calibri"/>
      <family val="2"/>
      <scheme val="minor"/>
    </font>
    <font>
      <b/>
      <sz val="14"/>
      <color theme="4" tint="-0.249977111117893"/>
      <name val="Calibri"/>
      <family val="2"/>
      <scheme val="minor"/>
    </font>
    <font>
      <sz val="8"/>
      <name val="Calibri"/>
      <family val="2"/>
      <scheme val="minor"/>
    </font>
    <font>
      <u/>
      <sz val="11"/>
      <color theme="10"/>
      <name val="Calibri"/>
      <family val="2"/>
    </font>
    <font>
      <sz val="10"/>
      <color rgb="FFFF0000"/>
      <name val="Calibri"/>
      <family val="2"/>
      <scheme val="minor"/>
    </font>
    <font>
      <u/>
      <sz val="11"/>
      <color theme="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bgColor indexed="64"/>
      </patternFill>
    </fill>
    <fill>
      <patternFill patternType="solid">
        <fgColor theme="0" tint="-4.9989318521683403E-2"/>
        <bgColor indexed="64"/>
      </patternFill>
    </fill>
    <fill>
      <patternFill patternType="lightUp"/>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46">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3" fontId="15" fillId="0" borderId="0" applyFont="0" applyFill="0" applyBorder="0" applyProtection="0"/>
    <xf numFmtId="164" fontId="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3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cellStyleXfs>
  <cellXfs count="278">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166" fontId="0" fillId="0" borderId="0" xfId="1" applyNumberFormat="1" applyFont="1" applyAlignment="1">
      <alignment horizontal="right"/>
    </xf>
    <xf numFmtId="0" fontId="7" fillId="0" borderId="0" xfId="3" applyAlignment="1">
      <alignment horizontal="center"/>
    </xf>
    <xf numFmtId="166" fontId="0" fillId="0" borderId="0" xfId="1" applyNumberFormat="1" applyFont="1" applyFill="1" applyAlignment="1">
      <alignment horizontal="right"/>
    </xf>
    <xf numFmtId="166" fontId="1" fillId="0" borderId="0" xfId="1" applyNumberFormat="1" applyFont="1" applyFill="1" applyAlignment="1">
      <alignment horizontal="right"/>
    </xf>
    <xf numFmtId="164" fontId="1" fillId="0" borderId="0" xfId="1" applyFont="1" applyFill="1" applyAlignment="1">
      <alignment horizontal="right"/>
    </xf>
    <xf numFmtId="164" fontId="2" fillId="0" borderId="0" xfId="1" applyFont="1" applyFill="1" applyAlignment="1">
      <alignment horizontal="right"/>
    </xf>
    <xf numFmtId="165" fontId="1" fillId="0" borderId="0" xfId="1" applyNumberFormat="1" applyFont="1" applyFill="1" applyAlignment="1">
      <alignment horizontal="right"/>
    </xf>
    <xf numFmtId="165" fontId="0" fillId="0" borderId="0" xfId="1" applyNumberFormat="1" applyFont="1" applyFill="1" applyAlignment="1">
      <alignment horizontal="right"/>
    </xf>
    <xf numFmtId="165" fontId="0" fillId="0" borderId="0" xfId="1" applyNumberFormat="1" applyFont="1" applyAlignment="1">
      <alignment horizontal="right"/>
    </xf>
    <xf numFmtId="164" fontId="0" fillId="0" borderId="0" xfId="1" applyFont="1" applyFill="1" applyAlignment="1">
      <alignment horizontal="right"/>
    </xf>
    <xf numFmtId="9" fontId="1" fillId="0" borderId="0" xfId="2" applyFont="1" applyFill="1" applyAlignment="1">
      <alignment horizontal="right"/>
    </xf>
    <xf numFmtId="164" fontId="1" fillId="0" borderId="0" xfId="1" applyFont="1" applyFill="1" applyBorder="1" applyAlignment="1">
      <alignment horizontal="right"/>
    </xf>
    <xf numFmtId="164" fontId="2" fillId="0" borderId="0" xfId="1" applyFont="1" applyFill="1" applyBorder="1" applyAlignment="1">
      <alignment horizontal="right"/>
    </xf>
    <xf numFmtId="0" fontId="2" fillId="0" borderId="1" xfId="0" applyFont="1" applyBorder="1" applyAlignment="1">
      <alignment horizontal="left" indent="1"/>
    </xf>
    <xf numFmtId="0" fontId="2" fillId="0" borderId="2" xfId="0" applyFont="1" applyBorder="1" applyAlignment="1">
      <alignment horizontal="left" indent="1"/>
    </xf>
    <xf numFmtId="168" fontId="1" fillId="0" borderId="0" xfId="2" applyNumberFormat="1" applyFont="1" applyFill="1" applyBorder="1" applyAlignment="1">
      <alignment horizontal="right"/>
    </xf>
    <xf numFmtId="168" fontId="2" fillId="0" borderId="1" xfId="2" applyNumberFormat="1" applyFont="1" applyFill="1" applyBorder="1" applyAlignment="1">
      <alignment horizontal="right"/>
    </xf>
    <xf numFmtId="0" fontId="2" fillId="0" borderId="0" xfId="0" applyFont="1" applyAlignment="1">
      <alignment horizontal="right"/>
    </xf>
    <xf numFmtId="0" fontId="0" fillId="0" borderId="0" xfId="0" applyAlignment="1">
      <alignment horizontal="right"/>
    </xf>
    <xf numFmtId="168" fontId="2" fillId="0" borderId="6" xfId="2" applyNumberFormat="1" applyFont="1" applyFill="1" applyBorder="1" applyAlignment="1">
      <alignment horizontal="right"/>
    </xf>
    <xf numFmtId="0" fontId="0" fillId="0" borderId="0" xfId="0" applyAlignment="1">
      <alignment wrapText="1"/>
    </xf>
    <xf numFmtId="166" fontId="0" fillId="0" borderId="0" xfId="0" applyNumberFormat="1"/>
    <xf numFmtId="0" fontId="0" fillId="0" borderId="0" xfId="0" applyAlignment="1">
      <alignment horizontal="left" indent="1"/>
    </xf>
    <xf numFmtId="168" fontId="0" fillId="0" borderId="0" xfId="2" applyNumberFormat="1" applyFont="1" applyFill="1" applyAlignment="1">
      <alignment horizontal="right"/>
    </xf>
    <xf numFmtId="0" fontId="0" fillId="0" borderId="0" xfId="0" quotePrefix="1" applyAlignment="1">
      <alignment horizontal="center"/>
    </xf>
    <xf numFmtId="169" fontId="1" fillId="0" borderId="0" xfId="1" applyNumberFormat="1" applyFont="1" applyFill="1" applyAlignment="1">
      <alignment horizontal="right"/>
    </xf>
    <xf numFmtId="169" fontId="2" fillId="0" borderId="0" xfId="1" applyNumberFormat="1" applyFont="1" applyFill="1" applyAlignment="1">
      <alignment horizontal="right"/>
    </xf>
    <xf numFmtId="165" fontId="2" fillId="0" borderId="1" xfId="1" applyNumberFormat="1" applyFont="1" applyFill="1" applyBorder="1" applyAlignment="1">
      <alignment horizontal="right"/>
    </xf>
    <xf numFmtId="165" fontId="0" fillId="0" borderId="0" xfId="0" applyNumberFormat="1"/>
    <xf numFmtId="0" fontId="2" fillId="3" borderId="0" xfId="0" applyFont="1" applyFill="1" applyAlignment="1">
      <alignment horizontal="center"/>
    </xf>
    <xf numFmtId="0" fontId="17" fillId="0" borderId="0" xfId="0" applyFont="1"/>
    <xf numFmtId="0" fontId="2" fillId="3" borderId="0" xfId="0" quotePrefix="1" applyFont="1" applyFill="1" applyAlignment="1">
      <alignment horizontal="center"/>
    </xf>
    <xf numFmtId="0" fontId="17" fillId="0" borderId="0" xfId="0" applyFont="1" applyAlignment="1">
      <alignment horizontal="left" indent="1"/>
    </xf>
    <xf numFmtId="0" fontId="0" fillId="0" borderId="0" xfId="0" applyAlignment="1">
      <alignment horizontal="left" indent="2"/>
    </xf>
    <xf numFmtId="0" fontId="4" fillId="0" borderId="0" xfId="0" applyFont="1" applyAlignment="1">
      <alignment vertical="center"/>
    </xf>
    <xf numFmtId="0" fontId="13" fillId="0" borderId="0" xfId="0" applyFont="1"/>
    <xf numFmtId="0" fontId="18" fillId="0" borderId="0" xfId="0" applyFont="1" applyAlignment="1">
      <alignment horizontal="left" indent="1"/>
    </xf>
    <xf numFmtId="0" fontId="5" fillId="0" borderId="0" xfId="0" applyFont="1" applyAlignment="1">
      <alignment horizontal="left" indent="14"/>
    </xf>
    <xf numFmtId="169" fontId="2" fillId="3" borderId="1" xfId="1" applyNumberFormat="1" applyFont="1" applyFill="1" applyBorder="1" applyAlignment="1">
      <alignment horizontal="right"/>
    </xf>
    <xf numFmtId="165" fontId="0" fillId="3" borderId="0" xfId="1" applyNumberFormat="1" applyFont="1" applyFill="1" applyAlignment="1">
      <alignment horizontal="right"/>
    </xf>
    <xf numFmtId="171" fontId="0" fillId="0" borderId="0" xfId="0" applyNumberFormat="1"/>
    <xf numFmtId="170" fontId="1" fillId="0" borderId="0" xfId="1" applyNumberFormat="1" applyFont="1" applyFill="1" applyAlignment="1">
      <alignment horizontal="right"/>
    </xf>
    <xf numFmtId="171" fontId="0" fillId="0" borderId="0" xfId="1" applyNumberFormat="1" applyFont="1" applyFill="1" applyAlignment="1">
      <alignment horizontal="right"/>
    </xf>
    <xf numFmtId="170" fontId="2" fillId="0" borderId="0" xfId="1" applyNumberFormat="1" applyFont="1" applyFill="1" applyAlignment="1">
      <alignment horizontal="right"/>
    </xf>
    <xf numFmtId="170" fontId="19" fillId="0" borderId="0" xfId="1" applyNumberFormat="1" applyFont="1" applyFill="1" applyAlignment="1">
      <alignment horizontal="right"/>
    </xf>
    <xf numFmtId="170" fontId="2" fillId="3" borderId="1" xfId="1" applyNumberFormat="1" applyFont="1" applyFill="1" applyBorder="1" applyAlignment="1">
      <alignment horizontal="right"/>
    </xf>
    <xf numFmtId="0" fontId="2" fillId="0" borderId="0" xfId="0" applyFont="1" applyAlignment="1">
      <alignment horizontal="left" vertical="center" indent="1"/>
    </xf>
    <xf numFmtId="0" fontId="2" fillId="0" borderId="0" xfId="0" applyFont="1" applyAlignment="1">
      <alignment horizontal="left" indent="1"/>
    </xf>
    <xf numFmtId="0" fontId="2" fillId="3" borderId="1" xfId="0" applyFont="1" applyFill="1" applyBorder="1" applyAlignment="1">
      <alignment horizontal="left" indent="1"/>
    </xf>
    <xf numFmtId="0" fontId="2" fillId="3" borderId="0" xfId="0" applyFont="1" applyFill="1" applyAlignment="1">
      <alignment horizontal="left" indent="1"/>
    </xf>
    <xf numFmtId="170" fontId="2" fillId="3" borderId="1" xfId="1" applyNumberFormat="1" applyFont="1" applyFill="1" applyBorder="1" applyAlignment="1">
      <alignment horizontal="right" vertical="center"/>
    </xf>
    <xf numFmtId="170" fontId="17" fillId="3" borderId="1" xfId="1" applyNumberFormat="1" applyFont="1" applyFill="1" applyBorder="1" applyAlignment="1">
      <alignment horizontal="right" vertical="center"/>
    </xf>
    <xf numFmtId="0" fontId="2" fillId="3" borderId="1" xfId="0" applyFont="1" applyFill="1" applyBorder="1" applyAlignment="1">
      <alignment horizontal="left" vertical="center" indent="1"/>
    </xf>
    <xf numFmtId="0" fontId="0" fillId="3" borderId="0" xfId="0" applyFill="1"/>
    <xf numFmtId="165" fontId="0" fillId="3" borderId="0" xfId="0" applyNumberFormat="1" applyFill="1"/>
    <xf numFmtId="0" fontId="13" fillId="0" borderId="0" xfId="0" applyFont="1" applyAlignment="1">
      <alignment wrapText="1"/>
    </xf>
    <xf numFmtId="165" fontId="17" fillId="0" borderId="1" xfId="1" applyNumberFormat="1" applyFont="1" applyFill="1" applyBorder="1" applyAlignment="1">
      <alignment horizontal="right"/>
    </xf>
    <xf numFmtId="165" fontId="0" fillId="0" borderId="1" xfId="1" applyNumberFormat="1" applyFont="1" applyFill="1" applyBorder="1" applyAlignment="1">
      <alignment horizontal="right"/>
    </xf>
    <xf numFmtId="9" fontId="1" fillId="0" borderId="1" xfId="2" applyFont="1" applyFill="1" applyBorder="1" applyAlignment="1">
      <alignment horizontal="right"/>
    </xf>
    <xf numFmtId="165" fontId="2" fillId="3" borderId="2" xfId="1" applyNumberFormat="1" applyFont="1" applyFill="1" applyBorder="1" applyAlignment="1">
      <alignment horizontal="right"/>
    </xf>
    <xf numFmtId="164" fontId="1" fillId="3" borderId="0" xfId="1" applyFont="1" applyFill="1" applyAlignment="1">
      <alignment horizontal="right"/>
    </xf>
    <xf numFmtId="165" fontId="17" fillId="3" borderId="2" xfId="1" applyNumberFormat="1" applyFont="1" applyFill="1" applyBorder="1" applyAlignment="1">
      <alignment horizontal="right"/>
    </xf>
    <xf numFmtId="166" fontId="1" fillId="0" borderId="0" xfId="1" applyNumberFormat="1" applyFont="1" applyFill="1" applyAlignment="1"/>
    <xf numFmtId="165" fontId="2" fillId="3" borderId="1" xfId="1" applyNumberFormat="1" applyFont="1" applyFill="1" applyBorder="1" applyAlignment="1">
      <alignment horizontal="right"/>
    </xf>
    <xf numFmtId="165" fontId="17" fillId="3" borderId="1" xfId="1" applyNumberFormat="1" applyFont="1" applyFill="1" applyBorder="1" applyAlignment="1">
      <alignment horizontal="right"/>
    </xf>
    <xf numFmtId="0" fontId="2" fillId="3" borderId="5" xfId="0" applyFont="1" applyFill="1" applyBorder="1" applyAlignment="1">
      <alignment horizontal="center"/>
    </xf>
    <xf numFmtId="168" fontId="2" fillId="0" borderId="0" xfId="2" applyNumberFormat="1" applyFont="1" applyFill="1" applyBorder="1" applyAlignment="1">
      <alignment horizontal="right"/>
    </xf>
    <xf numFmtId="0" fontId="0" fillId="0" borderId="0" xfId="0" applyAlignment="1">
      <alignment horizontal="left" vertical="center" indent="2"/>
    </xf>
    <xf numFmtId="0" fontId="0" fillId="0" borderId="1" xfId="0" applyBorder="1" applyAlignment="1">
      <alignment horizontal="left" indent="1"/>
    </xf>
    <xf numFmtId="0" fontId="4" fillId="0" borderId="0" xfId="0" applyFont="1" applyAlignment="1">
      <alignment horizontal="left"/>
    </xf>
    <xf numFmtId="0" fontId="0" fillId="0" borderId="0" xfId="0" applyAlignment="1">
      <alignment horizontal="left"/>
    </xf>
    <xf numFmtId="0" fontId="11" fillId="0" borderId="0" xfId="0" applyFont="1"/>
    <xf numFmtId="0" fontId="12" fillId="0" borderId="0" xfId="0" applyFont="1" applyAlignment="1">
      <alignment horizontal="right"/>
    </xf>
    <xf numFmtId="0" fontId="8" fillId="0" borderId="0" xfId="0" applyFont="1"/>
    <xf numFmtId="0" fontId="9" fillId="0" borderId="0" xfId="0" applyFont="1"/>
    <xf numFmtId="0" fontId="6" fillId="0" borderId="0" xfId="0" applyFont="1" applyAlignment="1">
      <alignment horizontal="right"/>
    </xf>
    <xf numFmtId="0" fontId="0" fillId="0" borderId="3" xfId="0" applyBorder="1" applyAlignment="1">
      <alignment horizontal="right"/>
    </xf>
    <xf numFmtId="0" fontId="0" fillId="0" borderId="3" xfId="0" applyBorder="1"/>
    <xf numFmtId="0" fontId="3" fillId="0" borderId="0" xfId="0" applyFont="1" applyAlignment="1">
      <alignment horizontal="left"/>
    </xf>
    <xf numFmtId="0" fontId="3" fillId="0" borderId="0" xfId="0" applyFont="1"/>
    <xf numFmtId="0" fontId="7" fillId="0" borderId="0" xfId="3" applyFill="1"/>
    <xf numFmtId="0" fontId="2" fillId="3" borderId="2" xfId="0" applyFont="1" applyFill="1" applyBorder="1" applyAlignment="1">
      <alignment horizontal="left" indent="1"/>
    </xf>
    <xf numFmtId="0" fontId="4" fillId="0" borderId="1" xfId="0" applyFont="1" applyBorder="1" applyAlignment="1">
      <alignment horizontal="left"/>
    </xf>
    <xf numFmtId="170" fontId="17" fillId="0" borderId="0" xfId="1" applyNumberFormat="1" applyFont="1" applyFill="1" applyAlignment="1">
      <alignment horizontal="right"/>
    </xf>
    <xf numFmtId="0" fontId="13" fillId="0" borderId="0" xfId="0" applyFont="1" applyAlignment="1">
      <alignment horizontal="left"/>
    </xf>
    <xf numFmtId="170" fontId="2" fillId="0" borderId="0" xfId="1" applyNumberFormat="1" applyFont="1" applyFill="1" applyBorder="1" applyAlignment="1">
      <alignment horizontal="right"/>
    </xf>
    <xf numFmtId="170" fontId="1" fillId="0" borderId="0" xfId="1" applyNumberFormat="1" applyFont="1" applyFill="1" applyBorder="1" applyAlignment="1">
      <alignment horizontal="right"/>
    </xf>
    <xf numFmtId="170" fontId="0" fillId="0" borderId="0" xfId="1" applyNumberFormat="1" applyFont="1" applyFill="1" applyBorder="1" applyAlignment="1">
      <alignment horizontal="right"/>
    </xf>
    <xf numFmtId="171" fontId="1" fillId="0" borderId="0" xfId="1" applyNumberFormat="1" applyFont="1" applyFill="1" applyBorder="1" applyAlignment="1">
      <alignment horizontal="right"/>
    </xf>
    <xf numFmtId="0" fontId="17" fillId="3" borderId="0" xfId="0" applyFont="1" applyFill="1" applyAlignment="1">
      <alignment horizontal="left" indent="1"/>
    </xf>
    <xf numFmtId="0" fontId="4" fillId="3" borderId="0" xfId="0" applyFont="1" applyFill="1" applyAlignment="1">
      <alignment horizontal="left"/>
    </xf>
    <xf numFmtId="0" fontId="2" fillId="3" borderId="0" xfId="0" applyFont="1" applyFill="1" applyAlignment="1">
      <alignment horizontal="left" vertical="center" indent="1"/>
    </xf>
    <xf numFmtId="0" fontId="2" fillId="0" borderId="2" xfId="0" applyFont="1" applyBorder="1" applyAlignment="1">
      <alignment horizontal="left" vertical="center" indent="1"/>
    </xf>
    <xf numFmtId="0" fontId="0" fillId="0" borderId="0" xfId="0" applyAlignment="1">
      <alignment horizontal="left" vertical="center" indent="1"/>
    </xf>
    <xf numFmtId="170" fontId="2" fillId="0" borderId="2" xfId="1" applyNumberFormat="1" applyFont="1" applyFill="1" applyBorder="1" applyAlignment="1">
      <alignment horizontal="right"/>
    </xf>
    <xf numFmtId="170" fontId="2" fillId="0" borderId="4" xfId="1" applyNumberFormat="1" applyFont="1" applyFill="1" applyBorder="1" applyAlignment="1">
      <alignment horizontal="right"/>
    </xf>
    <xf numFmtId="170" fontId="2" fillId="0" borderId="2" xfId="0" applyNumberFormat="1" applyFont="1" applyBorder="1" applyAlignment="1">
      <alignment horizontal="right"/>
    </xf>
    <xf numFmtId="170" fontId="1" fillId="0" borderId="5" xfId="1" applyNumberFormat="1" applyFont="1" applyFill="1" applyBorder="1" applyAlignment="1">
      <alignment horizontal="right"/>
    </xf>
    <xf numFmtId="170" fontId="0" fillId="0" borderId="0" xfId="0" applyNumberFormat="1" applyAlignment="1">
      <alignment horizontal="right"/>
    </xf>
    <xf numFmtId="10" fontId="1" fillId="0" borderId="0" xfId="2" applyNumberFormat="1" applyFont="1" applyFill="1" applyBorder="1" applyAlignment="1">
      <alignment horizontal="right"/>
    </xf>
    <xf numFmtId="0" fontId="10" fillId="0" borderId="0" xfId="0" applyFont="1" applyAlignment="1">
      <alignment horizontal="left"/>
    </xf>
    <xf numFmtId="171" fontId="21" fillId="0" borderId="0" xfId="1" applyNumberFormat="1" applyFont="1" applyFill="1" applyBorder="1"/>
    <xf numFmtId="171" fontId="20" fillId="0" borderId="0" xfId="1" applyNumberFormat="1" applyFont="1" applyFill="1" applyBorder="1"/>
    <xf numFmtId="167" fontId="2" fillId="0" borderId="0" xfId="0" applyNumberFormat="1" applyFont="1"/>
    <xf numFmtId="0" fontId="4" fillId="0" borderId="0" xfId="0" applyFont="1"/>
    <xf numFmtId="0" fontId="14" fillId="0" borderId="0" xfId="0" applyFont="1" applyAlignment="1">
      <alignment wrapText="1"/>
    </xf>
    <xf numFmtId="2" fontId="2" fillId="3" borderId="0" xfId="0" applyNumberFormat="1" applyFont="1" applyFill="1"/>
    <xf numFmtId="170" fontId="1" fillId="0" borderId="0" xfId="1" applyNumberFormat="1" applyFont="1" applyFill="1" applyBorder="1" applyAlignment="1">
      <alignment horizontal="left" indent="1"/>
    </xf>
    <xf numFmtId="168" fontId="0" fillId="0" borderId="0" xfId="2" applyNumberFormat="1" applyFont="1"/>
    <xf numFmtId="164" fontId="0" fillId="3" borderId="0" xfId="1" applyFont="1" applyFill="1"/>
    <xf numFmtId="170" fontId="2" fillId="0" borderId="0" xfId="0" applyNumberFormat="1" applyFont="1"/>
    <xf numFmtId="165" fontId="0" fillId="0" borderId="0" xfId="1" applyNumberFormat="1" applyFont="1" applyFill="1" applyBorder="1" applyAlignment="1">
      <alignment horizontal="right"/>
    </xf>
    <xf numFmtId="165" fontId="1" fillId="0" borderId="0" xfId="1" applyNumberFormat="1" applyFont="1" applyFill="1" applyBorder="1" applyAlignment="1">
      <alignment horizontal="right"/>
    </xf>
    <xf numFmtId="168" fontId="0" fillId="0" borderId="0" xfId="2" applyNumberFormat="1" applyFont="1" applyFill="1" applyBorder="1" applyAlignment="1">
      <alignment horizontal="right"/>
    </xf>
    <xf numFmtId="168" fontId="1" fillId="0" borderId="0" xfId="2" applyNumberFormat="1" applyFont="1" applyFill="1" applyAlignment="1">
      <alignment horizontal="right"/>
    </xf>
    <xf numFmtId="168" fontId="0" fillId="0" borderId="0" xfId="2" applyNumberFormat="1" applyFont="1" applyFill="1"/>
    <xf numFmtId="0" fontId="0" fillId="2" borderId="0" xfId="0" applyFill="1"/>
    <xf numFmtId="167" fontId="0" fillId="0" borderId="0" xfId="0" applyNumberFormat="1"/>
    <xf numFmtId="172" fontId="11" fillId="0" borderId="0" xfId="0" applyNumberFormat="1" applyFont="1" applyAlignment="1">
      <alignment horizontal="left"/>
    </xf>
    <xf numFmtId="0" fontId="14" fillId="0" borderId="0" xfId="0" applyFont="1" applyAlignment="1">
      <alignment vertical="top" wrapText="1"/>
    </xf>
    <xf numFmtId="0" fontId="0" fillId="0" borderId="0" xfId="0" applyAlignment="1">
      <alignment horizontal="left" wrapText="1" indent="2"/>
    </xf>
    <xf numFmtId="0" fontId="14" fillId="0" borderId="0" xfId="0" applyFont="1" applyAlignment="1">
      <alignment horizontal="left"/>
    </xf>
    <xf numFmtId="174" fontId="0" fillId="0" borderId="0" xfId="0" applyNumberFormat="1"/>
    <xf numFmtId="3" fontId="0" fillId="0" borderId="0" xfId="0" applyNumberFormat="1"/>
    <xf numFmtId="4" fontId="0" fillId="0" borderId="0" xfId="0" applyNumberFormat="1"/>
    <xf numFmtId="175" fontId="0" fillId="0" borderId="0" xfId="0" applyNumberFormat="1"/>
    <xf numFmtId="2" fontId="0" fillId="0" borderId="0" xfId="0" applyNumberFormat="1"/>
    <xf numFmtId="176" fontId="0" fillId="0" borderId="0" xfId="0" applyNumberFormat="1"/>
    <xf numFmtId="9" fontId="2" fillId="0" borderId="0" xfId="0" quotePrefix="1" applyNumberFormat="1" applyFont="1" applyAlignment="1">
      <alignment horizontal="left" indent="1"/>
    </xf>
    <xf numFmtId="175" fontId="2" fillId="0" borderId="0" xfId="0" applyNumberFormat="1" applyFont="1"/>
    <xf numFmtId="168" fontId="2" fillId="0" borderId="0" xfId="2" applyNumberFormat="1" applyFont="1" applyFill="1"/>
    <xf numFmtId="0" fontId="16" fillId="0" borderId="0" xfId="0" applyFont="1"/>
    <xf numFmtId="165" fontId="0" fillId="0" borderId="0" xfId="1" quotePrefix="1" applyNumberFormat="1" applyFont="1" applyFill="1" applyAlignment="1">
      <alignment horizontal="right"/>
    </xf>
    <xf numFmtId="165" fontId="0" fillId="0" borderId="0" xfId="1" applyNumberFormat="1" applyFont="1" applyFill="1"/>
    <xf numFmtId="0" fontId="17"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xf>
    <xf numFmtId="0" fontId="0" fillId="0" borderId="0" xfId="0" applyAlignment="1">
      <alignment horizontal="left" vertical="center"/>
    </xf>
    <xf numFmtId="0" fontId="14" fillId="0" borderId="0" xfId="0" applyFont="1" applyAlignment="1">
      <alignment vertical="top"/>
    </xf>
    <xf numFmtId="9" fontId="2" fillId="0" borderId="0" xfId="0" quotePrefix="1" applyNumberFormat="1" applyFont="1" applyAlignment="1">
      <alignment horizontal="left"/>
    </xf>
    <xf numFmtId="0" fontId="25" fillId="4" borderId="0" xfId="0" applyFont="1" applyFill="1" applyAlignment="1">
      <alignment horizontal="left"/>
    </xf>
    <xf numFmtId="0" fontId="23" fillId="4" borderId="0" xfId="0" applyFont="1" applyFill="1" applyAlignment="1">
      <alignment horizontal="center"/>
    </xf>
    <xf numFmtId="0" fontId="23" fillId="4" borderId="0" xfId="0" quotePrefix="1" applyFont="1" applyFill="1" applyAlignment="1">
      <alignment horizontal="center" wrapText="1"/>
    </xf>
    <xf numFmtId="0" fontId="23" fillId="6" borderId="0" xfId="0" applyFont="1" applyFill="1" applyAlignment="1">
      <alignment horizontal="left"/>
    </xf>
    <xf numFmtId="0" fontId="24" fillId="6" borderId="0" xfId="0" applyFont="1" applyFill="1"/>
    <xf numFmtId="2" fontId="23" fillId="6" borderId="0" xfId="0" applyNumberFormat="1" applyFont="1" applyFill="1"/>
    <xf numFmtId="0" fontId="18" fillId="0" borderId="0" xfId="0" applyFont="1" applyAlignment="1">
      <alignment horizontal="left"/>
    </xf>
    <xf numFmtId="0" fontId="2" fillId="0" borderId="0" xfId="0" quotePrefix="1" applyFont="1" applyAlignment="1">
      <alignment horizontal="center"/>
    </xf>
    <xf numFmtId="17" fontId="2" fillId="0" borderId="0" xfId="0" quotePrefix="1" applyNumberFormat="1" applyFont="1" applyAlignment="1">
      <alignment horizontal="center"/>
    </xf>
    <xf numFmtId="0" fontId="26" fillId="4" borderId="0" xfId="0" applyFont="1" applyFill="1" applyAlignment="1">
      <alignment horizontal="left"/>
    </xf>
    <xf numFmtId="0" fontId="23" fillId="4" borderId="0" xfId="0" quotePrefix="1" applyFont="1" applyFill="1" applyAlignment="1">
      <alignment horizontal="center"/>
    </xf>
    <xf numFmtId="17" fontId="23" fillId="4" borderId="0" xfId="0" quotePrefix="1" applyNumberFormat="1" applyFont="1" applyFill="1" applyAlignment="1">
      <alignment horizontal="center"/>
    </xf>
    <xf numFmtId="0" fontId="2" fillId="7" borderId="2" xfId="0" applyFont="1" applyFill="1" applyBorder="1" applyAlignment="1">
      <alignment horizontal="left"/>
    </xf>
    <xf numFmtId="0" fontId="2" fillId="7" borderId="2" xfId="0" applyFont="1" applyFill="1" applyBorder="1" applyAlignment="1">
      <alignment horizontal="left" indent="1"/>
    </xf>
    <xf numFmtId="165" fontId="2" fillId="7" borderId="2" xfId="1" applyNumberFormat="1" applyFont="1" applyFill="1" applyBorder="1" applyAlignment="1">
      <alignment horizontal="right"/>
    </xf>
    <xf numFmtId="0" fontId="27" fillId="6" borderId="0" xfId="0" applyFont="1" applyFill="1" applyAlignment="1">
      <alignment horizontal="left"/>
    </xf>
    <xf numFmtId="0" fontId="23" fillId="6" borderId="0" xfId="0" applyFont="1" applyFill="1" applyAlignment="1">
      <alignment horizontal="center"/>
    </xf>
    <xf numFmtId="0" fontId="23" fillId="6" borderId="0" xfId="0" quotePrefix="1" applyFont="1" applyFill="1" applyAlignment="1">
      <alignment horizontal="center"/>
    </xf>
    <xf numFmtId="17" fontId="23" fillId="6" borderId="0" xfId="0" quotePrefix="1" applyNumberFormat="1" applyFont="1" applyFill="1" applyAlignment="1">
      <alignment horizontal="center"/>
    </xf>
    <xf numFmtId="0" fontId="27" fillId="6" borderId="0" xfId="0" applyFont="1" applyFill="1" applyAlignment="1">
      <alignment vertical="center"/>
    </xf>
    <xf numFmtId="170" fontId="2" fillId="7" borderId="2" xfId="1" applyNumberFormat="1" applyFont="1" applyFill="1" applyBorder="1" applyAlignment="1">
      <alignment horizontal="right"/>
    </xf>
    <xf numFmtId="170" fontId="2" fillId="7" borderId="2" xfId="1" applyNumberFormat="1" applyFont="1" applyFill="1" applyBorder="1"/>
    <xf numFmtId="0" fontId="26" fillId="0" borderId="0" xfId="0" applyFont="1" applyAlignment="1">
      <alignment horizontal="left"/>
    </xf>
    <xf numFmtId="0" fontId="23" fillId="0" borderId="0" xfId="0" applyFont="1" applyAlignment="1">
      <alignment horizontal="center"/>
    </xf>
    <xf numFmtId="0" fontId="23" fillId="6" borderId="0" xfId="0" applyFont="1" applyFill="1" applyAlignment="1">
      <alignment horizontal="left" indent="1"/>
    </xf>
    <xf numFmtId="0" fontId="2" fillId="0" borderId="8" xfId="0" applyFont="1" applyBorder="1" applyAlignment="1">
      <alignment horizontal="left"/>
    </xf>
    <xf numFmtId="0" fontId="2" fillId="0" borderId="8" xfId="0" applyFont="1" applyBorder="1" applyAlignment="1">
      <alignment horizontal="left" indent="1"/>
    </xf>
    <xf numFmtId="175" fontId="2" fillId="0" borderId="8" xfId="0" applyNumberFormat="1" applyFont="1" applyBorder="1"/>
    <xf numFmtId="0" fontId="16" fillId="0" borderId="0" xfId="0" applyFont="1" applyAlignment="1">
      <alignment horizontal="left" indent="1"/>
    </xf>
    <xf numFmtId="0" fontId="16" fillId="0" borderId="0" xfId="0" applyFont="1" applyAlignment="1">
      <alignment horizontal="left" indent="2"/>
    </xf>
    <xf numFmtId="168" fontId="16" fillId="0" borderId="0" xfId="2" applyNumberFormat="1" applyFont="1" applyFill="1" applyBorder="1"/>
    <xf numFmtId="164" fontId="0" fillId="0" borderId="0" xfId="1" applyFont="1" applyFill="1"/>
    <xf numFmtId="164" fontId="24" fillId="6" borderId="0" xfId="1" applyFont="1" applyFill="1"/>
    <xf numFmtId="0" fontId="2" fillId="0" borderId="7" xfId="0" applyFont="1" applyBorder="1" applyAlignment="1">
      <alignment horizontal="left"/>
    </xf>
    <xf numFmtId="0" fontId="2" fillId="0" borderId="7" xfId="0" applyFont="1" applyBorder="1" applyAlignment="1">
      <alignment horizontal="left" indent="1"/>
    </xf>
    <xf numFmtId="165" fontId="2" fillId="0" borderId="7" xfId="1" applyNumberFormat="1" applyFont="1" applyFill="1" applyBorder="1" applyAlignment="1">
      <alignment horizontal="right"/>
    </xf>
    <xf numFmtId="165" fontId="17" fillId="0" borderId="7" xfId="1" applyNumberFormat="1" applyFont="1" applyFill="1" applyBorder="1" applyAlignment="1">
      <alignment horizontal="right"/>
    </xf>
    <xf numFmtId="165" fontId="2" fillId="0" borderId="8" xfId="1" applyNumberFormat="1" applyFont="1" applyFill="1" applyBorder="1" applyAlignment="1">
      <alignment horizontal="right"/>
    </xf>
    <xf numFmtId="0" fontId="4" fillId="0" borderId="7" xfId="0" applyFont="1" applyBorder="1" applyAlignment="1">
      <alignment horizontal="left"/>
    </xf>
    <xf numFmtId="0" fontId="24" fillId="0" borderId="0" xfId="0" applyFont="1"/>
    <xf numFmtId="0" fontId="28" fillId="0" borderId="0" xfId="0" applyFont="1" applyAlignment="1">
      <alignment horizontal="left"/>
    </xf>
    <xf numFmtId="0" fontId="27" fillId="0" borderId="0" xfId="0" applyFont="1" applyAlignment="1">
      <alignment horizontal="left"/>
    </xf>
    <xf numFmtId="164" fontId="24" fillId="0" borderId="0" xfId="1" applyFont="1" applyFill="1"/>
    <xf numFmtId="165" fontId="24" fillId="6" borderId="0" xfId="0" applyNumberFormat="1" applyFont="1" applyFill="1"/>
    <xf numFmtId="0" fontId="2" fillId="7" borderId="8" xfId="0" applyFont="1" applyFill="1" applyBorder="1" applyAlignment="1">
      <alignment horizontal="left"/>
    </xf>
    <xf numFmtId="165" fontId="2" fillId="7" borderId="8" xfId="1" applyNumberFormat="1" applyFont="1" applyFill="1" applyBorder="1" applyAlignment="1">
      <alignment horizontal="right"/>
    </xf>
    <xf numFmtId="165" fontId="17" fillId="7" borderId="8" xfId="1" applyNumberFormat="1" applyFont="1" applyFill="1" applyBorder="1" applyAlignment="1">
      <alignment horizontal="right"/>
    </xf>
    <xf numFmtId="164" fontId="24" fillId="6" borderId="0" xfId="1" applyFont="1" applyFill="1" applyAlignment="1">
      <alignment horizontal="right"/>
    </xf>
    <xf numFmtId="0" fontId="0" fillId="0" borderId="7" xfId="0" applyBorder="1" applyAlignment="1">
      <alignment horizontal="left"/>
    </xf>
    <xf numFmtId="168" fontId="2" fillId="0" borderId="8" xfId="2" applyNumberFormat="1" applyFont="1" applyFill="1" applyBorder="1"/>
    <xf numFmtId="0" fontId="23" fillId="0" borderId="0" xfId="0" applyFont="1" applyAlignment="1">
      <alignment horizontal="left"/>
    </xf>
    <xf numFmtId="0" fontId="23" fillId="0" borderId="0" xfId="0" applyFont="1" applyAlignment="1">
      <alignment horizontal="left" indent="1"/>
    </xf>
    <xf numFmtId="165" fontId="0" fillId="0" borderId="7" xfId="1" applyNumberFormat="1" applyFont="1" applyFill="1" applyBorder="1" applyAlignment="1">
      <alignment horizontal="right"/>
    </xf>
    <xf numFmtId="0" fontId="0" fillId="0" borderId="8" xfId="0" applyBorder="1" applyAlignment="1">
      <alignment horizontal="left"/>
    </xf>
    <xf numFmtId="165" fontId="0" fillId="0" borderId="8" xfId="1" applyNumberFormat="1" applyFont="1" applyFill="1" applyBorder="1" applyAlignment="1">
      <alignment horizontal="right"/>
    </xf>
    <xf numFmtId="9" fontId="24" fillId="6" borderId="0" xfId="2" applyFont="1" applyFill="1" applyAlignment="1">
      <alignment horizontal="right"/>
    </xf>
    <xf numFmtId="0" fontId="17" fillId="5" borderId="5" xfId="0" applyFont="1" applyFill="1" applyBorder="1" applyAlignment="1">
      <alignment horizontal="center"/>
    </xf>
    <xf numFmtId="168" fontId="2" fillId="0" borderId="7" xfId="2" applyNumberFormat="1" applyFont="1" applyFill="1" applyBorder="1" applyAlignment="1">
      <alignment horizontal="right"/>
    </xf>
    <xf numFmtId="0" fontId="23" fillId="0" borderId="0" xfId="0" quotePrefix="1" applyFont="1" applyAlignment="1">
      <alignment horizontal="center"/>
    </xf>
    <xf numFmtId="17" fontId="23" fillId="0" borderId="0" xfId="0" quotePrefix="1" applyNumberFormat="1" applyFont="1" applyAlignment="1">
      <alignment horizontal="center"/>
    </xf>
    <xf numFmtId="10" fontId="2" fillId="0" borderId="0" xfId="2" applyNumberFormat="1" applyFont="1" applyFill="1" applyBorder="1" applyAlignment="1">
      <alignment horizontal="right"/>
    </xf>
    <xf numFmtId="168" fontId="2" fillId="0" borderId="8" xfId="2" applyNumberFormat="1" applyFont="1" applyFill="1" applyBorder="1" applyAlignment="1">
      <alignment horizontal="right"/>
    </xf>
    <xf numFmtId="0" fontId="0" fillId="0" borderId="7" xfId="0" applyBorder="1" applyAlignment="1">
      <alignment horizontal="left" indent="1"/>
    </xf>
    <xf numFmtId="168" fontId="1" fillId="0" borderId="7" xfId="2" applyNumberFormat="1" applyFont="1" applyFill="1" applyBorder="1" applyAlignment="1">
      <alignment horizontal="right"/>
    </xf>
    <xf numFmtId="166" fontId="2" fillId="0" borderId="8" xfId="1" applyNumberFormat="1" applyFont="1" applyFill="1" applyBorder="1" applyAlignment="1">
      <alignment horizontal="right"/>
    </xf>
    <xf numFmtId="0" fontId="2" fillId="7" borderId="7" xfId="0" applyFont="1" applyFill="1" applyBorder="1" applyAlignment="1">
      <alignment horizontal="left"/>
    </xf>
    <xf numFmtId="0" fontId="2" fillId="7" borderId="7" xfId="0" applyFont="1" applyFill="1" applyBorder="1" applyAlignment="1">
      <alignment horizontal="left" indent="1"/>
    </xf>
    <xf numFmtId="165" fontId="2" fillId="0" borderId="0" xfId="1" applyNumberFormat="1" applyFont="1" applyFill="1" applyBorder="1" applyAlignment="1">
      <alignment horizontal="right"/>
    </xf>
    <xf numFmtId="174" fontId="29" fillId="0" borderId="0" xfId="0" applyNumberFormat="1" applyFont="1"/>
    <xf numFmtId="0" fontId="14" fillId="0" borderId="0" xfId="0" applyFont="1" applyAlignment="1">
      <alignment horizontal="left" wrapText="1"/>
    </xf>
    <xf numFmtId="0" fontId="30" fillId="4" borderId="0" xfId="0" applyFont="1" applyFill="1" applyAlignment="1">
      <alignment horizontal="left" vertical="center"/>
    </xf>
    <xf numFmtId="0" fontId="31" fillId="4" borderId="0" xfId="0" applyFont="1" applyFill="1" applyAlignment="1">
      <alignment horizontal="center" vertical="center"/>
    </xf>
    <xf numFmtId="0" fontId="32" fillId="0" borderId="0" xfId="0" applyFont="1"/>
    <xf numFmtId="0" fontId="23" fillId="4" borderId="0" xfId="0" quotePrefix="1" applyFont="1" applyFill="1" applyAlignment="1">
      <alignment horizontal="center" vertical="center"/>
    </xf>
    <xf numFmtId="0" fontId="2" fillId="7" borderId="10" xfId="0" applyFont="1" applyFill="1" applyBorder="1" applyAlignment="1">
      <alignment horizontal="left"/>
    </xf>
    <xf numFmtId="0" fontId="2" fillId="7" borderId="8" xfId="0" applyFont="1" applyFill="1" applyBorder="1" applyAlignment="1">
      <alignment horizontal="left" indent="1"/>
    </xf>
    <xf numFmtId="170" fontId="2" fillId="7" borderId="8" xfId="1" applyNumberFormat="1" applyFont="1" applyFill="1" applyBorder="1" applyAlignment="1">
      <alignment horizontal="right"/>
    </xf>
    <xf numFmtId="0" fontId="2" fillId="7" borderId="10" xfId="0" applyFont="1" applyFill="1" applyBorder="1" applyAlignment="1">
      <alignment horizontal="left" vertical="center"/>
    </xf>
    <xf numFmtId="0" fontId="2" fillId="7" borderId="8" xfId="0" applyFont="1" applyFill="1" applyBorder="1" applyAlignment="1">
      <alignment horizontal="left" vertical="center" indent="1"/>
    </xf>
    <xf numFmtId="0" fontId="2" fillId="7" borderId="8" xfId="0" applyFont="1" applyFill="1" applyBorder="1" applyAlignment="1">
      <alignment horizontal="left" vertical="center"/>
    </xf>
    <xf numFmtId="170" fontId="2" fillId="7" borderId="8" xfId="0" applyNumberFormat="1" applyFont="1" applyFill="1" applyBorder="1" applyAlignment="1">
      <alignment horizontal="right"/>
    </xf>
    <xf numFmtId="168" fontId="2" fillId="0" borderId="11" xfId="2" applyNumberFormat="1" applyFont="1" applyFill="1" applyBorder="1" applyAlignment="1">
      <alignment horizontal="right"/>
    </xf>
    <xf numFmtId="170" fontId="2" fillId="7" borderId="9" xfId="1" applyNumberFormat="1" applyFont="1" applyFill="1" applyBorder="1" applyAlignment="1">
      <alignment horizontal="right"/>
    </xf>
    <xf numFmtId="170" fontId="1" fillId="0" borderId="12" xfId="1" applyNumberFormat="1" applyFont="1" applyFill="1" applyBorder="1" applyAlignment="1">
      <alignment horizontal="right"/>
    </xf>
    <xf numFmtId="170" fontId="1" fillId="0" borderId="13" xfId="1" applyNumberFormat="1" applyFont="1" applyFill="1" applyBorder="1" applyAlignment="1">
      <alignment horizontal="right"/>
    </xf>
    <xf numFmtId="0" fontId="4" fillId="3" borderId="0" xfId="0" applyFont="1" applyFill="1"/>
    <xf numFmtId="0" fontId="0" fillId="0" borderId="0" xfId="0" applyAlignment="1">
      <alignment horizontal="left" wrapText="1" indent="1"/>
    </xf>
    <xf numFmtId="0" fontId="2" fillId="0" borderId="0" xfId="0" applyFont="1" applyAlignment="1">
      <alignment vertical="center"/>
    </xf>
    <xf numFmtId="172" fontId="0" fillId="0" borderId="0" xfId="0" applyNumberFormat="1" applyAlignment="1">
      <alignment horizontal="left"/>
    </xf>
    <xf numFmtId="0" fontId="10" fillId="0" borderId="1" xfId="0" applyFont="1" applyBorder="1"/>
    <xf numFmtId="0" fontId="12" fillId="0" borderId="0" xfId="0" applyFont="1" applyAlignment="1">
      <alignment horizontal="center"/>
    </xf>
    <xf numFmtId="0" fontId="7" fillId="0" borderId="0" xfId="3" applyFill="1" applyAlignment="1">
      <alignment horizontal="center"/>
    </xf>
    <xf numFmtId="165" fontId="0" fillId="8" borderId="0" xfId="1" applyNumberFormat="1" applyFont="1" applyFill="1" applyAlignment="1">
      <alignment horizontal="right"/>
    </xf>
    <xf numFmtId="177" fontId="0" fillId="0" borderId="0" xfId="0" applyNumberFormat="1"/>
    <xf numFmtId="170" fontId="2" fillId="7" borderId="10" xfId="0" applyNumberFormat="1" applyFont="1" applyFill="1" applyBorder="1" applyAlignment="1">
      <alignment horizontal="right"/>
    </xf>
    <xf numFmtId="170" fontId="2" fillId="7" borderId="10" xfId="1" applyNumberFormat="1" applyFont="1" applyFill="1" applyBorder="1" applyAlignment="1">
      <alignment horizontal="right"/>
    </xf>
    <xf numFmtId="165" fontId="19" fillId="0" borderId="0" xfId="1" applyNumberFormat="1" applyFont="1" applyFill="1" applyAlignment="1">
      <alignment horizontal="right"/>
    </xf>
    <xf numFmtId="165" fontId="1" fillId="0" borderId="8" xfId="1" applyNumberFormat="1" applyFont="1" applyFill="1" applyBorder="1" applyAlignment="1">
      <alignment horizontal="right"/>
    </xf>
    <xf numFmtId="168" fontId="0" fillId="2" borderId="0" xfId="2" applyNumberFormat="1" applyFont="1" applyFill="1"/>
    <xf numFmtId="2" fontId="0" fillId="2" borderId="0" xfId="0" applyNumberFormat="1" applyFill="1"/>
    <xf numFmtId="165" fontId="1" fillId="2" borderId="0" xfId="1" applyNumberFormat="1" applyFont="1" applyFill="1" applyAlignment="1">
      <alignment horizontal="right"/>
    </xf>
    <xf numFmtId="180" fontId="0" fillId="0" borderId="0" xfId="0" applyNumberFormat="1"/>
    <xf numFmtId="181" fontId="36" fillId="0" borderId="0" xfId="0" applyNumberFormat="1" applyFont="1"/>
    <xf numFmtId="178" fontId="0" fillId="0" borderId="0" xfId="2" applyNumberFormat="1" applyFont="1" applyFill="1"/>
    <xf numFmtId="183" fontId="0" fillId="0" borderId="0" xfId="0" applyNumberFormat="1"/>
    <xf numFmtId="183" fontId="2" fillId="0" borderId="8" xfId="0" applyNumberFormat="1" applyFont="1" applyBorder="1"/>
    <xf numFmtId="0" fontId="24" fillId="2" borderId="0" xfId="0" applyFont="1" applyFill="1"/>
    <xf numFmtId="0" fontId="37" fillId="0" borderId="0" xfId="0" applyFont="1" applyAlignment="1">
      <alignment horizontal="center"/>
    </xf>
    <xf numFmtId="165" fontId="2" fillId="0" borderId="2" xfId="1" applyNumberFormat="1" applyFont="1" applyFill="1" applyBorder="1" applyAlignment="1">
      <alignment horizontal="right"/>
    </xf>
    <xf numFmtId="168" fontId="2" fillId="7" borderId="7" xfId="2" applyNumberFormat="1" applyFont="1" applyFill="1" applyBorder="1" applyAlignment="1">
      <alignment horizontal="right"/>
    </xf>
    <xf numFmtId="184" fontId="0" fillId="0" borderId="0" xfId="0" applyNumberFormat="1"/>
    <xf numFmtId="184" fontId="2" fillId="0" borderId="8" xfId="0" applyNumberFormat="1" applyFont="1" applyBorder="1"/>
    <xf numFmtId="185" fontId="0" fillId="0" borderId="0" xfId="2" applyNumberFormat="1" applyFont="1" applyFill="1"/>
    <xf numFmtId="185" fontId="2" fillId="0" borderId="8" xfId="2" applyNumberFormat="1" applyFont="1" applyFill="1" applyBorder="1"/>
    <xf numFmtId="1" fontId="0" fillId="0" borderId="0" xfId="0" applyNumberFormat="1"/>
    <xf numFmtId="1" fontId="1" fillId="0" borderId="0" xfId="1" applyNumberFormat="1" applyFont="1" applyFill="1" applyBorder="1" applyAlignment="1">
      <alignment horizontal="right"/>
    </xf>
    <xf numFmtId="1" fontId="1" fillId="0" borderId="0" xfId="2" applyNumberFormat="1" applyFont="1" applyFill="1" applyBorder="1" applyAlignment="1">
      <alignment horizontal="right"/>
    </xf>
    <xf numFmtId="9" fontId="0" fillId="0" borderId="0" xfId="2" applyFont="1"/>
    <xf numFmtId="9" fontId="2" fillId="0" borderId="0" xfId="2" applyFont="1"/>
    <xf numFmtId="9" fontId="0" fillId="0" borderId="0" xfId="2" applyFont="1" applyFill="1" applyAlignment="1">
      <alignment horizontal="center"/>
    </xf>
    <xf numFmtId="179" fontId="2" fillId="0" borderId="0" xfId="2" applyNumberFormat="1" applyFont="1"/>
    <xf numFmtId="0" fontId="10" fillId="0" borderId="1" xfId="0" applyFont="1" applyBorder="1" applyAlignment="1">
      <alignment horizontal="left"/>
    </xf>
    <xf numFmtId="0" fontId="14" fillId="0" borderId="0" xfId="0" applyFont="1" applyAlignment="1">
      <alignment horizontal="left" wrapText="1"/>
    </xf>
    <xf numFmtId="0" fontId="14" fillId="0" borderId="0" xfId="0" applyFont="1" applyAlignment="1">
      <alignment horizontal="left" vertical="center" wrapText="1"/>
    </xf>
    <xf numFmtId="180" fontId="17" fillId="0" borderId="0" xfId="1" applyNumberFormat="1" applyFont="1" applyFill="1" applyAlignment="1">
      <alignment horizontal="right"/>
    </xf>
    <xf numFmtId="180" fontId="1" fillId="0" borderId="0" xfId="1" applyNumberFormat="1" applyFont="1" applyFill="1" applyAlignment="1">
      <alignment horizontal="right"/>
    </xf>
    <xf numFmtId="180" fontId="0" fillId="0" borderId="0" xfId="1" applyNumberFormat="1" applyFont="1" applyFill="1" applyAlignment="1">
      <alignment horizontal="right"/>
    </xf>
    <xf numFmtId="180" fontId="19" fillId="0" borderId="0" xfId="1" applyNumberFormat="1" applyFont="1" applyFill="1" applyAlignment="1">
      <alignment horizontal="right"/>
    </xf>
    <xf numFmtId="180" fontId="2" fillId="7" borderId="2" xfId="1" applyNumberFormat="1" applyFont="1" applyFill="1" applyBorder="1" applyAlignment="1">
      <alignment horizontal="right"/>
    </xf>
    <xf numFmtId="180" fontId="2" fillId="0" borderId="2" xfId="1" applyNumberFormat="1" applyFont="1" applyFill="1" applyBorder="1" applyAlignment="1">
      <alignment horizontal="right"/>
    </xf>
    <xf numFmtId="164" fontId="0" fillId="0" borderId="0" xfId="1" applyNumberFormat="1" applyFont="1" applyFill="1" applyBorder="1" applyAlignment="1">
      <alignment horizontal="right"/>
    </xf>
    <xf numFmtId="164" fontId="0" fillId="0" borderId="0" xfId="0" quotePrefix="1" applyNumberFormat="1" applyAlignment="1">
      <alignment horizontal="center"/>
    </xf>
    <xf numFmtId="164" fontId="0" fillId="0" borderId="0" xfId="0" applyNumberFormat="1" applyAlignment="1">
      <alignment horizontal="center"/>
    </xf>
  </cellXfs>
  <cellStyles count="46">
    <cellStyle name="Hiperlink" xfId="3" builtinId="8"/>
    <cellStyle name="Hiperlink 2" xfId="26" xr:uid="{D7CF074B-C768-46B0-9B42-AFC44CFC717F}"/>
    <cellStyle name="Normal" xfId="0" builtinId="0"/>
    <cellStyle name="Normal 100" xfId="29" xr:uid="{8E6C9A7C-6868-43FD-ACAD-5EF73632FDF9}"/>
    <cellStyle name="Normal 101" xfId="38" xr:uid="{92BD3BC1-B343-4737-B062-A171845A12B2}"/>
    <cellStyle name="Normal 2" xfId="23" xr:uid="{482A0354-0B36-409F-A1E1-3AC68270B55C}"/>
    <cellStyle name="Normal 76" xfId="27" xr:uid="{C81AECC9-7861-4DCE-863B-3506A927A4D4}"/>
    <cellStyle name="Normal 91" xfId="36" xr:uid="{F04B0FC3-4F06-42EF-9B2A-8DF908121595}"/>
    <cellStyle name="Normal 96 2" xfId="41" xr:uid="{DAD46EFE-6C6B-4C3D-A2AF-C06DC25ECD78}"/>
    <cellStyle name="Normal 98" xfId="32" xr:uid="{F7840607-D6DC-4903-AF2C-488DE601D5CA}"/>
    <cellStyle name="Normal 99" xfId="34" xr:uid="{B7C78B02-B0D1-410C-BB0F-4F95BBEC6BC3}"/>
    <cellStyle name="Porcentagem" xfId="2" builtinId="5"/>
    <cellStyle name="Porcentagem 18" xfId="33" xr:uid="{6C64A3DE-EF18-4BAE-BCBF-6E87159A4A8E}"/>
    <cellStyle name="Porcentagem 19" xfId="35" xr:uid="{DE10D66B-38DE-4224-B807-2C0B0BAA52F4}"/>
    <cellStyle name="Porcentagem 2" xfId="25" xr:uid="{55B65393-4665-4F33-8E52-0F07D7984452}"/>
    <cellStyle name="Porcentagem 20" xfId="31" xr:uid="{4934112B-C093-45E6-A798-F03ABD51969D}"/>
    <cellStyle name="Porcentagem 21" xfId="40" xr:uid="{9646DDD5-3714-4E67-AB3C-7CB7FA0DD40A}"/>
    <cellStyle name="Porcentagem 3" xfId="44" xr:uid="{E1B360BB-8E5A-4E91-89AF-2FFBFC536C89}"/>
    <cellStyle name="Separador de milhares 11 2" xfId="6" xr:uid="{84840576-7718-4A39-91B2-B3C207A9C9DF}"/>
    <cellStyle name="Separador de milhares 11 2 2" xfId="12" xr:uid="{942B1D5E-B6C9-464B-B22A-9122A0C163B0}"/>
    <cellStyle name="Separador de milhares 11 2 2 2" xfId="20" xr:uid="{824F8B74-3943-4934-B96E-05DCD339D535}"/>
    <cellStyle name="Separador de milhares 11 2 3" xfId="15" xr:uid="{CC744D5B-07D0-4FA5-B7DF-2669C30A4B22}"/>
    <cellStyle name="Separador de milhares 2" xfId="4" xr:uid="{00000000-0005-0000-0000-000003000000}"/>
    <cellStyle name="Separador de milhares 2 2" xfId="10" xr:uid="{11649B58-737E-4DB9-9A43-D37048B91A25}"/>
    <cellStyle name="Separador de milhares 2 2 2" xfId="18" xr:uid="{C40F130F-FC63-4AE8-93FC-9229985FC796}"/>
    <cellStyle name="Separador de milhares ER ENG" xfId="8" xr:uid="{57900785-1785-4513-8DA6-367A280E0F72}"/>
    <cellStyle name="Vírgula" xfId="1" builtinId="3"/>
    <cellStyle name="Vírgula 12" xfId="37" xr:uid="{85F77397-A0C3-4C95-9F53-020EF0DB3BBF}"/>
    <cellStyle name="Vírgula 17 2" xfId="42" xr:uid="{4C7EA08C-787D-4DC9-8DA0-AE686B4F9487}"/>
    <cellStyle name="Vírgula 19" xfId="7" xr:uid="{ADDC5C4C-5244-475D-8067-157B6C5D8DA1}"/>
    <cellStyle name="Vírgula 19 2" xfId="13" xr:uid="{CA15CA6F-6756-4AB1-8C39-7C02521B8F6F}"/>
    <cellStyle name="Vírgula 19 2 2" xfId="21" xr:uid="{4FD72A34-6E92-4F9C-86DE-7E11B6C199FE}"/>
    <cellStyle name="Vírgula 19 3" xfId="16" xr:uid="{FB0AB2BA-B617-4D56-BE6A-F9C1C1CB1562}"/>
    <cellStyle name="Vírgula 2" xfId="5" xr:uid="{00000000-0005-0000-0000-000005000000}"/>
    <cellStyle name="Vírgula 2 2" xfId="11" xr:uid="{34D1F551-93FD-4EA5-A884-DD6789093840}"/>
    <cellStyle name="Vírgula 2 2 2" xfId="19" xr:uid="{B11E90F3-6CA5-44AA-892C-CD675E3F6E2F}"/>
    <cellStyle name="Vírgula 2 3" xfId="45" xr:uid="{0728DF98-E1CA-446E-9E08-A709AC859DD5}"/>
    <cellStyle name="Vírgula 21" xfId="30" xr:uid="{CB0DF816-0A63-4E5F-9787-E5410C433C60}"/>
    <cellStyle name="Vírgula 22" xfId="39" xr:uid="{013002C9-737C-4762-9598-24FB411083DF}"/>
    <cellStyle name="Vírgula 3" xfId="9" xr:uid="{22C96347-AB50-4179-A2F8-026F73B5F7FF}"/>
    <cellStyle name="Vírgula 3 2" xfId="17" xr:uid="{53317DAF-6B18-432A-A52A-FA2EE2DED84B}"/>
    <cellStyle name="Vírgula 3 3" xfId="28" xr:uid="{A76FB611-94A7-4B9D-AC14-B1A09EC75597}"/>
    <cellStyle name="Vírgula 4" xfId="22" xr:uid="{4901D292-78ED-4AEA-995D-0FF4D8AC78F6}"/>
    <cellStyle name="Vírgula 5" xfId="14" xr:uid="{59AC57EE-6F08-45D8-B6ED-B4C1A403F53A}"/>
    <cellStyle name="Vírgula 6" xfId="24" xr:uid="{292CE986-3895-4967-AB9F-AFD758FE08CD}"/>
    <cellStyle name="Vírgula 7" xfId="43" xr:uid="{4021852A-4BA5-4E94-B2B3-112892C19E21}"/>
  </cellStyles>
  <dxfs count="0"/>
  <tableStyles count="0" defaultTableStyle="TableStyleMedium2" defaultPivotStyle="PivotStyleLight16"/>
  <colors>
    <mruColors>
      <color rgb="FFFF3300"/>
      <color rgb="FFF7F7F7"/>
      <color rgb="FFFF5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350891</xdr:colOff>
      <xdr:row>0</xdr:row>
      <xdr:rowOff>142875</xdr:rowOff>
    </xdr:from>
    <xdr:to>
      <xdr:col>2</xdr:col>
      <xdr:colOff>803103</xdr:colOff>
      <xdr:row>6</xdr:row>
      <xdr:rowOff>28334</xdr:rowOff>
    </xdr:to>
    <xdr:pic>
      <xdr:nvPicPr>
        <xdr:cNvPr id="2" name="Picture 4" descr="logo_ABC_preto.png">
          <a:extLst>
            <a:ext uri="{FF2B5EF4-FFF2-40B4-BE49-F238E27FC236}">
              <a16:creationId xmlns:a16="http://schemas.microsoft.com/office/drawing/2014/main" id="{543B1B22-8D77-4732-B4EF-499CC84B2CD4}"/>
            </a:ext>
          </a:extLst>
        </xdr:cNvPr>
        <xdr:cNvPicPr>
          <a:picLocks noChangeAspect="1"/>
        </xdr:cNvPicPr>
      </xdr:nvPicPr>
      <xdr:blipFill rotWithShape="1">
        <a:blip xmlns:r="http://schemas.openxmlformats.org/officeDocument/2006/relationships" r:embed="rId1" cstate="print"/>
        <a:srcRect l="14081" r="11993" b="22819"/>
        <a:stretch/>
      </xdr:blipFill>
      <xdr:spPr>
        <a:xfrm>
          <a:off x="350891" y="142875"/>
          <a:ext cx="1252312" cy="1085609"/>
        </a:xfrm>
        <a:prstGeom prst="rect">
          <a:avLst/>
        </a:prstGeom>
      </xdr:spPr>
    </xdr:pic>
    <xdr:clientData/>
  </xdr:twoCellAnchor>
  <xdr:twoCellAnchor>
    <xdr:from>
      <xdr:col>0</xdr:col>
      <xdr:colOff>352425</xdr:colOff>
      <xdr:row>9</xdr:row>
      <xdr:rowOff>314325</xdr:rowOff>
    </xdr:from>
    <xdr:to>
      <xdr:col>5</xdr:col>
      <xdr:colOff>146539</xdr:colOff>
      <xdr:row>42</xdr:row>
      <xdr:rowOff>0</xdr:rowOff>
    </xdr:to>
    <xdr:sp macro="" textlink="">
      <xdr:nvSpPr>
        <xdr:cNvPr id="3" name="Retângulo 2">
          <a:extLst>
            <a:ext uri="{FF2B5EF4-FFF2-40B4-BE49-F238E27FC236}">
              <a16:creationId xmlns:a16="http://schemas.microsoft.com/office/drawing/2014/main" id="{8FA0289C-9A20-42EB-9EE8-531EFD39F125}"/>
            </a:ext>
          </a:extLst>
        </xdr:cNvPr>
        <xdr:cNvSpPr/>
      </xdr:nvSpPr>
      <xdr:spPr>
        <a:xfrm>
          <a:off x="352425" y="2219325"/>
          <a:ext cx="3311037" cy="50657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352426</xdr:colOff>
      <xdr:row>53</xdr:row>
      <xdr:rowOff>142875</xdr:rowOff>
    </xdr:from>
    <xdr:to>
      <xdr:col>8</xdr:col>
      <xdr:colOff>94204</xdr:colOff>
      <xdr:row>63</xdr:row>
      <xdr:rowOff>180975</xdr:rowOff>
    </xdr:to>
    <xdr:sp macro="" textlink="">
      <xdr:nvSpPr>
        <xdr:cNvPr id="4" name="Retângulo 3">
          <a:extLst>
            <a:ext uri="{FF2B5EF4-FFF2-40B4-BE49-F238E27FC236}">
              <a16:creationId xmlns:a16="http://schemas.microsoft.com/office/drawing/2014/main" id="{888ED7AB-729B-4BED-A9C7-019481AE65F5}"/>
            </a:ext>
          </a:extLst>
        </xdr:cNvPr>
        <xdr:cNvSpPr/>
      </xdr:nvSpPr>
      <xdr:spPr>
        <a:xfrm>
          <a:off x="352426" y="9332930"/>
          <a:ext cx="4357740" cy="2037303"/>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478029</xdr:colOff>
      <xdr:row>9</xdr:row>
      <xdr:rowOff>314325</xdr:rowOff>
    </xdr:from>
    <xdr:to>
      <xdr:col>12</xdr:col>
      <xdr:colOff>439616</xdr:colOff>
      <xdr:row>42</xdr:row>
      <xdr:rowOff>0</xdr:rowOff>
    </xdr:to>
    <xdr:sp macro="" textlink="">
      <xdr:nvSpPr>
        <xdr:cNvPr id="5" name="Retângulo 4">
          <a:extLst>
            <a:ext uri="{FF2B5EF4-FFF2-40B4-BE49-F238E27FC236}">
              <a16:creationId xmlns:a16="http://schemas.microsoft.com/office/drawing/2014/main" id="{FB3A6DC0-DC99-4483-8EF7-AAAFA23A84E7}"/>
            </a:ext>
          </a:extLst>
        </xdr:cNvPr>
        <xdr:cNvSpPr/>
      </xdr:nvSpPr>
      <xdr:spPr>
        <a:xfrm>
          <a:off x="4172892" y="2219325"/>
          <a:ext cx="3311037" cy="50657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488497</xdr:colOff>
      <xdr:row>53</xdr:row>
      <xdr:rowOff>132408</xdr:rowOff>
    </xdr:from>
    <xdr:to>
      <xdr:col>15</xdr:col>
      <xdr:colOff>596622</xdr:colOff>
      <xdr:row>63</xdr:row>
      <xdr:rowOff>170508</xdr:rowOff>
    </xdr:to>
    <xdr:sp macro="" textlink="">
      <xdr:nvSpPr>
        <xdr:cNvPr id="6" name="Retângulo 5">
          <a:extLst>
            <a:ext uri="{FF2B5EF4-FFF2-40B4-BE49-F238E27FC236}">
              <a16:creationId xmlns:a16="http://schemas.microsoft.com/office/drawing/2014/main" id="{4BC72B20-C9AC-45A3-B386-BBBDF49C181E}"/>
            </a:ext>
          </a:extLst>
        </xdr:cNvPr>
        <xdr:cNvSpPr/>
      </xdr:nvSpPr>
      <xdr:spPr>
        <a:xfrm>
          <a:off x="5104459" y="9322463"/>
          <a:ext cx="4357740" cy="2037303"/>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109467</xdr:rowOff>
    </xdr:to>
    <xdr:pic>
      <xdr:nvPicPr>
        <xdr:cNvPr id="6" name="Picture 4" descr="logo_ABC_preto.png">
          <a:extLst>
            <a:ext uri="{FF2B5EF4-FFF2-40B4-BE49-F238E27FC236}">
              <a16:creationId xmlns:a16="http://schemas.microsoft.com/office/drawing/2014/main" id="{9108CB32-E052-4588-856D-2E822AD7B5AA}"/>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91088857-751D-460F-B86D-63A200E201F6}"/>
            </a:ext>
          </a:extLst>
        </xdr:cNvPr>
        <xdr:cNvSpPr/>
      </xdr:nvSpPr>
      <xdr:spPr>
        <a:xfrm>
          <a:off x="17878425"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22</xdr:col>
      <xdr:colOff>23806</xdr:colOff>
      <xdr:row>4</xdr:row>
      <xdr:rowOff>162028</xdr:rowOff>
    </xdr:from>
    <xdr:to>
      <xdr:col>23</xdr:col>
      <xdr:colOff>33332</xdr:colOff>
      <xdr:row>6</xdr:row>
      <xdr:rowOff>38203</xdr:rowOff>
    </xdr:to>
    <xdr:sp macro="" textlink="">
      <xdr:nvSpPr>
        <xdr:cNvPr id="2" name="Retângulo de cantos arredondados 4">
          <a:extLst>
            <a:ext uri="{FF2B5EF4-FFF2-40B4-BE49-F238E27FC236}">
              <a16:creationId xmlns:a16="http://schemas.microsoft.com/office/drawing/2014/main" id="{E4096181-E72F-483D-9429-F5BD92A0CAFE}"/>
            </a:ext>
          </a:extLst>
        </xdr:cNvPr>
        <xdr:cNvSpPr/>
      </xdr:nvSpPr>
      <xdr:spPr>
        <a:xfrm>
          <a:off x="57488131" y="1000228"/>
          <a:ext cx="809626"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105160</xdr:rowOff>
    </xdr:to>
    <xdr:pic>
      <xdr:nvPicPr>
        <xdr:cNvPr id="6" name="Picture 4" descr="logo_ABC_preto.png">
          <a:extLst>
            <a:ext uri="{FF2B5EF4-FFF2-40B4-BE49-F238E27FC236}">
              <a16:creationId xmlns:a16="http://schemas.microsoft.com/office/drawing/2014/main" id="{B95612CC-092A-4A9B-B88E-4FCC53F9C0E8}"/>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14</xdr:col>
      <xdr:colOff>71435</xdr:colOff>
      <xdr:row>4</xdr:row>
      <xdr:rowOff>150121</xdr:rowOff>
    </xdr:from>
    <xdr:to>
      <xdr:col>15</xdr:col>
      <xdr:colOff>57148</xdr:colOff>
      <xdr:row>6</xdr:row>
      <xdr:rowOff>26296</xdr:rowOff>
    </xdr:to>
    <xdr:sp macro="" textlink="">
      <xdr:nvSpPr>
        <xdr:cNvPr id="5" name="Retângulo de cantos arredondados 4">
          <a:extLst>
            <a:ext uri="{FF2B5EF4-FFF2-40B4-BE49-F238E27FC236}">
              <a16:creationId xmlns:a16="http://schemas.microsoft.com/office/drawing/2014/main" id="{F176A8EB-7599-47FB-B449-B56223F3705E}"/>
            </a:ext>
          </a:extLst>
        </xdr:cNvPr>
        <xdr:cNvSpPr/>
      </xdr:nvSpPr>
      <xdr:spPr>
        <a:xfrm>
          <a:off x="13346904" y="983559"/>
          <a:ext cx="783432"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763001</xdr:colOff>
      <xdr:row>4</xdr:row>
      <xdr:rowOff>114563</xdr:rowOff>
    </xdr:to>
    <xdr:pic>
      <xdr:nvPicPr>
        <xdr:cNvPr id="6" name="Picture 4" descr="logo_ABC_preto.png">
          <a:extLst>
            <a:ext uri="{FF2B5EF4-FFF2-40B4-BE49-F238E27FC236}">
              <a16:creationId xmlns:a16="http://schemas.microsoft.com/office/drawing/2014/main" id="{1AD0FC30-3F7A-41A8-9031-6E76F15685F3}"/>
            </a:ext>
          </a:extLst>
        </xdr:cNvPr>
        <xdr:cNvPicPr>
          <a:picLocks noChangeAspect="1"/>
        </xdr:cNvPicPr>
      </xdr:nvPicPr>
      <xdr:blipFill rotWithShape="1">
        <a:blip xmlns:r="http://schemas.openxmlformats.org/officeDocument/2006/relationships" r:embed="rId1" cstate="print"/>
        <a:srcRect l="14081" r="11993" b="22819"/>
        <a:stretch/>
      </xdr:blipFill>
      <xdr:spPr>
        <a:xfrm>
          <a:off x="178594" y="187098"/>
          <a:ext cx="873559" cy="746728"/>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1F03AFF3-60EA-45BA-AE0B-F6669503E2B6}"/>
            </a:ext>
          </a:extLst>
        </xdr:cNvPr>
        <xdr:cNvSpPr/>
      </xdr:nvSpPr>
      <xdr:spPr>
        <a:xfrm>
          <a:off x="929640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23805</xdr:colOff>
      <xdr:row>4</xdr:row>
      <xdr:rowOff>162026</xdr:rowOff>
    </xdr:from>
    <xdr:to>
      <xdr:col>31</xdr:col>
      <xdr:colOff>33331</xdr:colOff>
      <xdr:row>6</xdr:row>
      <xdr:rowOff>38201</xdr:rowOff>
    </xdr:to>
    <xdr:sp macro="" textlink="">
      <xdr:nvSpPr>
        <xdr:cNvPr id="8" name="Retângulo de cantos arredondados 4">
          <a:extLst>
            <a:ext uri="{FF2B5EF4-FFF2-40B4-BE49-F238E27FC236}">
              <a16:creationId xmlns:a16="http://schemas.microsoft.com/office/drawing/2014/main" id="{56F43276-0E9E-414F-8851-5401E51CE697}"/>
            </a:ext>
          </a:extLst>
        </xdr:cNvPr>
        <xdr:cNvSpPr/>
      </xdr:nvSpPr>
      <xdr:spPr>
        <a:xfrm>
          <a:off x="28146368" y="995464"/>
          <a:ext cx="807244"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23806</xdr:colOff>
      <xdr:row>4</xdr:row>
      <xdr:rowOff>162028</xdr:rowOff>
    </xdr:from>
    <xdr:to>
      <xdr:col>31</xdr:col>
      <xdr:colOff>33332</xdr:colOff>
      <xdr:row>6</xdr:row>
      <xdr:rowOff>38203</xdr:rowOff>
    </xdr:to>
    <xdr:sp macro="" textlink="">
      <xdr:nvSpPr>
        <xdr:cNvPr id="2" name="Retângulo de cantos arredondados 4">
          <a:extLst>
            <a:ext uri="{FF2B5EF4-FFF2-40B4-BE49-F238E27FC236}">
              <a16:creationId xmlns:a16="http://schemas.microsoft.com/office/drawing/2014/main" id="{1352F721-9B86-4048-BBD1-EE969A5D614A}"/>
            </a:ext>
          </a:extLst>
        </xdr:cNvPr>
        <xdr:cNvSpPr/>
      </xdr:nvSpPr>
      <xdr:spPr>
        <a:xfrm>
          <a:off x="57488131" y="1000228"/>
          <a:ext cx="809626"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108516</xdr:rowOff>
    </xdr:to>
    <xdr:pic>
      <xdr:nvPicPr>
        <xdr:cNvPr id="7" name="Picture 4" descr="logo_ABC_preto.png">
          <a:extLst>
            <a:ext uri="{FF2B5EF4-FFF2-40B4-BE49-F238E27FC236}">
              <a16:creationId xmlns:a16="http://schemas.microsoft.com/office/drawing/2014/main" id="{48F5A029-759B-44EE-BD0F-7F17678C1915}"/>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9" name="Retângulo de cantos arredondados 4">
          <a:extLst>
            <a:ext uri="{FF2B5EF4-FFF2-40B4-BE49-F238E27FC236}">
              <a16:creationId xmlns:a16="http://schemas.microsoft.com/office/drawing/2014/main" id="{32B1C4FF-55F9-4333-A9E4-7DEDDBAE7B0A}"/>
            </a:ext>
          </a:extLst>
        </xdr:cNvPr>
        <xdr:cNvSpPr/>
      </xdr:nvSpPr>
      <xdr:spPr>
        <a:xfrm>
          <a:off x="24174450"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23806</xdr:colOff>
      <xdr:row>4</xdr:row>
      <xdr:rowOff>162028</xdr:rowOff>
    </xdr:from>
    <xdr:to>
      <xdr:col>27</xdr:col>
      <xdr:colOff>33332</xdr:colOff>
      <xdr:row>6</xdr:row>
      <xdr:rowOff>38203</xdr:rowOff>
    </xdr:to>
    <xdr:sp macro="" textlink="">
      <xdr:nvSpPr>
        <xdr:cNvPr id="2" name="Retângulo de cantos arredondados 4">
          <a:extLst>
            <a:ext uri="{FF2B5EF4-FFF2-40B4-BE49-F238E27FC236}">
              <a16:creationId xmlns:a16="http://schemas.microsoft.com/office/drawing/2014/main" id="{B849CBE9-E32B-47D7-A623-B2F25488D01E}"/>
            </a:ext>
          </a:extLst>
        </xdr:cNvPr>
        <xdr:cNvSpPr/>
      </xdr:nvSpPr>
      <xdr:spPr>
        <a:xfrm>
          <a:off x="57488131" y="1000228"/>
          <a:ext cx="809626"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86093</xdr:rowOff>
    </xdr:to>
    <xdr:pic>
      <xdr:nvPicPr>
        <xdr:cNvPr id="6" name="Picture 4" descr="logo_ABC_preto.png">
          <a:extLst>
            <a:ext uri="{FF2B5EF4-FFF2-40B4-BE49-F238E27FC236}">
              <a16:creationId xmlns:a16="http://schemas.microsoft.com/office/drawing/2014/main" id="{4096753B-E44C-4527-9534-5CAF10D2BD7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27966"/>
        </a:xfrm>
        <a:prstGeom prst="rect">
          <a:avLst/>
        </a:prstGeom>
      </xdr:spPr>
    </xdr:pic>
    <xdr:clientData/>
  </xdr:twoCellAnchor>
  <xdr:twoCellAnchor>
    <xdr:from>
      <xdr:col>22</xdr:col>
      <xdr:colOff>35714</xdr:colOff>
      <xdr:row>4</xdr:row>
      <xdr:rowOff>162029</xdr:rowOff>
    </xdr:from>
    <xdr:to>
      <xdr:col>23</xdr:col>
      <xdr:colOff>45240</xdr:colOff>
      <xdr:row>6</xdr:row>
      <xdr:rowOff>38204</xdr:rowOff>
    </xdr:to>
    <xdr:sp macro="" textlink="">
      <xdr:nvSpPr>
        <xdr:cNvPr id="7" name="Retângulo de cantos arredondados 4">
          <a:extLst>
            <a:ext uri="{FF2B5EF4-FFF2-40B4-BE49-F238E27FC236}">
              <a16:creationId xmlns:a16="http://schemas.microsoft.com/office/drawing/2014/main" id="{11C2AF87-1562-465B-B12A-A4DB9518CB81}"/>
            </a:ext>
          </a:extLst>
        </xdr:cNvPr>
        <xdr:cNvSpPr/>
      </xdr:nvSpPr>
      <xdr:spPr>
        <a:xfrm>
          <a:off x="19704839" y="995467"/>
          <a:ext cx="783432"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21FF5660-7143-4CBD-83B4-C0CDCBC9D7E2}"/>
            </a:ext>
          </a:extLst>
        </xdr:cNvPr>
        <xdr:cNvSpPr/>
      </xdr:nvSpPr>
      <xdr:spPr>
        <a:xfrm>
          <a:off x="18707100"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107358</xdr:rowOff>
    </xdr:to>
    <xdr:pic>
      <xdr:nvPicPr>
        <xdr:cNvPr id="6" name="Picture 4" descr="logo_ABC_preto.png">
          <a:extLst>
            <a:ext uri="{FF2B5EF4-FFF2-40B4-BE49-F238E27FC236}">
              <a16:creationId xmlns:a16="http://schemas.microsoft.com/office/drawing/2014/main" id="{4AF8AEBC-AC5F-4F10-AF56-B66DFAEA0A7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873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AE1DD42E-C5FD-4261-AF6E-DF99B1840E50}"/>
            </a:ext>
          </a:extLst>
        </xdr:cNvPr>
        <xdr:cNvSpPr/>
      </xdr:nvSpPr>
      <xdr:spPr>
        <a:xfrm>
          <a:off x="1576387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66</xdr:col>
      <xdr:colOff>23806</xdr:colOff>
      <xdr:row>4</xdr:row>
      <xdr:rowOff>162028</xdr:rowOff>
    </xdr:from>
    <xdr:to>
      <xdr:col>67</xdr:col>
      <xdr:colOff>33332</xdr:colOff>
      <xdr:row>6</xdr:row>
      <xdr:rowOff>38203</xdr:rowOff>
    </xdr:to>
    <xdr:sp macro="" textlink="">
      <xdr:nvSpPr>
        <xdr:cNvPr id="8" name="Retângulo de cantos arredondados 4">
          <a:extLst>
            <a:ext uri="{FF2B5EF4-FFF2-40B4-BE49-F238E27FC236}">
              <a16:creationId xmlns:a16="http://schemas.microsoft.com/office/drawing/2014/main" id="{3C698D8B-7803-4889-8F15-E5AA0C7BA553}"/>
            </a:ext>
          </a:extLst>
        </xdr:cNvPr>
        <xdr:cNvSpPr/>
      </xdr:nvSpPr>
      <xdr:spPr>
        <a:xfrm>
          <a:off x="57340494" y="995466"/>
          <a:ext cx="807244"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113145</xdr:rowOff>
    </xdr:to>
    <xdr:pic>
      <xdr:nvPicPr>
        <xdr:cNvPr id="6" name="Picture 4" descr="logo_ABC_preto.png">
          <a:extLst>
            <a:ext uri="{FF2B5EF4-FFF2-40B4-BE49-F238E27FC236}">
              <a16:creationId xmlns:a16="http://schemas.microsoft.com/office/drawing/2014/main" id="{0F35FA6C-AE19-4FA6-B9DB-0F14D32864AC}"/>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66</xdr:col>
      <xdr:colOff>35717</xdr:colOff>
      <xdr:row>4</xdr:row>
      <xdr:rowOff>162028</xdr:rowOff>
    </xdr:from>
    <xdr:to>
      <xdr:col>67</xdr:col>
      <xdr:colOff>45242</xdr:colOff>
      <xdr:row>6</xdr:row>
      <xdr:rowOff>38203</xdr:rowOff>
    </xdr:to>
    <xdr:sp macro="" textlink="">
      <xdr:nvSpPr>
        <xdr:cNvPr id="7" name="Retângulo de cantos arredondados 4">
          <a:extLst>
            <a:ext uri="{FF2B5EF4-FFF2-40B4-BE49-F238E27FC236}">
              <a16:creationId xmlns:a16="http://schemas.microsoft.com/office/drawing/2014/main" id="{FCD60767-0B30-48C4-B546-F9D96DC66D5C}"/>
            </a:ext>
          </a:extLst>
        </xdr:cNvPr>
        <xdr:cNvSpPr/>
      </xdr:nvSpPr>
      <xdr:spPr>
        <a:xfrm>
          <a:off x="53613842" y="995466"/>
          <a:ext cx="783431"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DD2CE3D7-5F7A-4784-876C-CB91497CC3DE}"/>
            </a:ext>
          </a:extLst>
        </xdr:cNvPr>
        <xdr:cNvSpPr/>
      </xdr:nvSpPr>
      <xdr:spPr>
        <a:xfrm>
          <a:off x="53463825"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50071</xdr:rowOff>
    </xdr:to>
    <xdr:pic>
      <xdr:nvPicPr>
        <xdr:cNvPr id="2" name="Picture 4" descr="logo_ABC_preto.png">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57274"/>
        </a:xfrm>
        <a:prstGeom prst="rect">
          <a:avLst/>
        </a:prstGeom>
      </xdr:spPr>
    </xdr:pic>
    <xdr:clientData/>
  </xdr:twoCellAnchor>
  <xdr:twoCellAnchor>
    <xdr:from>
      <xdr:col>14</xdr:col>
      <xdr:colOff>0</xdr:colOff>
      <xdr:row>4</xdr:row>
      <xdr:rowOff>173934</xdr:rowOff>
    </xdr:from>
    <xdr:to>
      <xdr:col>15</xdr:col>
      <xdr:colOff>9525</xdr:colOff>
      <xdr:row>6</xdr:row>
      <xdr:rowOff>50109</xdr:rowOff>
    </xdr:to>
    <xdr:sp macro="" textlink="">
      <xdr:nvSpPr>
        <xdr:cNvPr id="6" name="Retângulo de cantos arredondados 4">
          <a:extLst>
            <a:ext uri="{FF2B5EF4-FFF2-40B4-BE49-F238E27FC236}">
              <a16:creationId xmlns:a16="http://schemas.microsoft.com/office/drawing/2014/main" id="{38E11A0B-F403-4790-8EBA-1D1AA9CCF085}"/>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19975</xdr:colOff>
      <xdr:row>0</xdr:row>
      <xdr:rowOff>26222</xdr:rowOff>
    </xdr:from>
    <xdr:to>
      <xdr:col>0</xdr:col>
      <xdr:colOff>893534</xdr:colOff>
      <xdr:row>4</xdr:row>
      <xdr:rowOff>50071</xdr:rowOff>
    </xdr:to>
    <xdr:pic>
      <xdr:nvPicPr>
        <xdr:cNvPr id="2" name="Picture 4" descr="logo_ABC_preto.png">
          <a:extLst>
            <a:ext uri="{FF2B5EF4-FFF2-40B4-BE49-F238E27FC236}">
              <a16:creationId xmlns:a16="http://schemas.microsoft.com/office/drawing/2014/main" id="{0E94CAFB-A151-48B7-A923-217387DDBEAE}"/>
            </a:ext>
          </a:extLst>
        </xdr:cNvPr>
        <xdr:cNvPicPr>
          <a:picLocks noChangeAspect="1"/>
        </xdr:cNvPicPr>
      </xdr:nvPicPr>
      <xdr:blipFill rotWithShape="1">
        <a:blip xmlns:r="http://schemas.openxmlformats.org/officeDocument/2006/relationships" r:embed="rId1" cstate="print"/>
        <a:srcRect l="14081" r="11993" b="22819"/>
        <a:stretch/>
      </xdr:blipFill>
      <xdr:spPr>
        <a:xfrm>
          <a:off x="19975" y="26222"/>
          <a:ext cx="873559" cy="757274"/>
        </a:xfrm>
        <a:prstGeom prst="rect">
          <a:avLst/>
        </a:prstGeom>
      </xdr:spPr>
    </xdr:pic>
    <xdr:clientData/>
  </xdr:twoCellAnchor>
  <xdr:twoCellAnchor>
    <xdr:from>
      <xdr:col>3</xdr:col>
      <xdr:colOff>0</xdr:colOff>
      <xdr:row>4</xdr:row>
      <xdr:rowOff>173934</xdr:rowOff>
    </xdr:from>
    <xdr:to>
      <xdr:col>4</xdr:col>
      <xdr:colOff>9525</xdr:colOff>
      <xdr:row>6</xdr:row>
      <xdr:rowOff>50109</xdr:rowOff>
    </xdr:to>
    <xdr:sp macro="" textlink="">
      <xdr:nvSpPr>
        <xdr:cNvPr id="5" name="Retângulo de cantos arredondados 4">
          <a:extLst>
            <a:ext uri="{FF2B5EF4-FFF2-40B4-BE49-F238E27FC236}">
              <a16:creationId xmlns:a16="http://schemas.microsoft.com/office/drawing/2014/main" id="{41B25F0E-7E81-40CE-AF08-5548FD68EA7E}"/>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0</xdr:colOff>
      <xdr:row>4</xdr:row>
      <xdr:rowOff>173934</xdr:rowOff>
    </xdr:from>
    <xdr:to>
      <xdr:col>13</xdr:col>
      <xdr:colOff>9525</xdr:colOff>
      <xdr:row>6</xdr:row>
      <xdr:rowOff>50109</xdr:rowOff>
    </xdr:to>
    <xdr:sp macro="" textlink="">
      <xdr:nvSpPr>
        <xdr:cNvPr id="6" name="Retângulo de cantos arredondados 4">
          <a:extLst>
            <a:ext uri="{FF2B5EF4-FFF2-40B4-BE49-F238E27FC236}">
              <a16:creationId xmlns:a16="http://schemas.microsoft.com/office/drawing/2014/main" id="{55BFF62A-3E6C-414A-B6F8-E407D6746732}"/>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50071</xdr:rowOff>
    </xdr:to>
    <xdr:pic>
      <xdr:nvPicPr>
        <xdr:cNvPr id="2" name="Picture 4" descr="logo_ABC_preto.png">
          <a:extLst>
            <a:ext uri="{FF2B5EF4-FFF2-40B4-BE49-F238E27FC236}">
              <a16:creationId xmlns:a16="http://schemas.microsoft.com/office/drawing/2014/main" id="{787F211A-0695-4FB6-AD3B-F7E4B3FB4150}"/>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57274"/>
        </a:xfrm>
        <a:prstGeom prst="rect">
          <a:avLst/>
        </a:prstGeom>
      </xdr:spPr>
    </xdr:pic>
    <xdr:clientData/>
  </xdr:twoCellAnchor>
  <xdr:twoCellAnchor>
    <xdr:from>
      <xdr:col>20</xdr:col>
      <xdr:colOff>0</xdr:colOff>
      <xdr:row>4</xdr:row>
      <xdr:rowOff>173934</xdr:rowOff>
    </xdr:from>
    <xdr:to>
      <xdr:col>21</xdr:col>
      <xdr:colOff>9525</xdr:colOff>
      <xdr:row>6</xdr:row>
      <xdr:rowOff>50109</xdr:rowOff>
    </xdr:to>
    <xdr:sp macro="" textlink="">
      <xdr:nvSpPr>
        <xdr:cNvPr id="5" name="Retângulo de cantos arredondados 4">
          <a:extLst>
            <a:ext uri="{FF2B5EF4-FFF2-40B4-BE49-F238E27FC236}">
              <a16:creationId xmlns:a16="http://schemas.microsoft.com/office/drawing/2014/main" id="{3D9F5B85-322C-47B2-BACC-B654F6783FB6}"/>
            </a:ext>
          </a:extLst>
        </xdr:cNvPr>
        <xdr:cNvSpPr/>
      </xdr:nvSpPr>
      <xdr:spPr>
        <a:xfrm>
          <a:off x="14030325" y="821634"/>
          <a:ext cx="714375"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0</xdr:colOff>
      <xdr:row>4</xdr:row>
      <xdr:rowOff>173934</xdr:rowOff>
    </xdr:from>
    <xdr:to>
      <xdr:col>4</xdr:col>
      <xdr:colOff>9525</xdr:colOff>
      <xdr:row>6</xdr:row>
      <xdr:rowOff>50109</xdr:rowOff>
    </xdr:to>
    <xdr:sp macro="" textlink="">
      <xdr:nvSpPr>
        <xdr:cNvPr id="6" name="Retângulo de cantos arredondados 4">
          <a:extLst>
            <a:ext uri="{FF2B5EF4-FFF2-40B4-BE49-F238E27FC236}">
              <a16:creationId xmlns:a16="http://schemas.microsoft.com/office/drawing/2014/main" id="{E2FBFC6D-22A1-41A9-9022-F6E7F4D79133}"/>
            </a:ext>
          </a:extLst>
        </xdr:cNvPr>
        <xdr:cNvSpPr/>
      </xdr:nvSpPr>
      <xdr:spPr>
        <a:xfrm>
          <a:off x="14030325" y="821634"/>
          <a:ext cx="714375"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795332</xdr:colOff>
      <xdr:row>4</xdr:row>
      <xdr:rowOff>166688</xdr:rowOff>
    </xdr:from>
    <xdr:to>
      <xdr:col>15</xdr:col>
      <xdr:colOff>27895</xdr:colOff>
      <xdr:row>6</xdr:row>
      <xdr:rowOff>37688</xdr:rowOff>
    </xdr:to>
    <xdr:sp macro="" textlink="">
      <xdr:nvSpPr>
        <xdr:cNvPr id="4" name="Retângulo de cantos arredondados 3">
          <a:extLst>
            <a:ext uri="{FF2B5EF4-FFF2-40B4-BE49-F238E27FC236}">
              <a16:creationId xmlns:a16="http://schemas.microsoft.com/office/drawing/2014/main" id="{F4713581-73E7-4A1A-A631-FBDC2FEBA78E}"/>
            </a:ext>
          </a:extLst>
        </xdr:cNvPr>
        <xdr:cNvSpPr/>
      </xdr:nvSpPr>
      <xdr:spPr>
        <a:xfrm>
          <a:off x="13785051" y="1000126"/>
          <a:ext cx="828000" cy="252000"/>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xdr:row>
      <xdr:rowOff>0</xdr:rowOff>
    </xdr:from>
    <xdr:to>
      <xdr:col>2</xdr:col>
      <xdr:colOff>757602</xdr:colOff>
      <xdr:row>4</xdr:row>
      <xdr:rowOff>106676</xdr:rowOff>
    </xdr:to>
    <xdr:pic>
      <xdr:nvPicPr>
        <xdr:cNvPr id="5" name="Picture 4" descr="logo_ABC_preto.png">
          <a:extLst>
            <a:ext uri="{FF2B5EF4-FFF2-40B4-BE49-F238E27FC236}">
              <a16:creationId xmlns:a16="http://schemas.microsoft.com/office/drawing/2014/main" id="{23E379C7-B70B-434C-A094-D348887F6B8E}"/>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21496</xdr:rowOff>
    </xdr:to>
    <xdr:pic>
      <xdr:nvPicPr>
        <xdr:cNvPr id="2" name="Picture 4" descr="logo_ABC_preto.png">
          <a:extLst>
            <a:ext uri="{FF2B5EF4-FFF2-40B4-BE49-F238E27FC236}">
              <a16:creationId xmlns:a16="http://schemas.microsoft.com/office/drawing/2014/main" id="{EA847615-1E70-4E82-B1B8-CD173C58F8AA}"/>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28699"/>
        </a:xfrm>
        <a:prstGeom prst="rect">
          <a:avLst/>
        </a:prstGeom>
      </xdr:spPr>
    </xdr:pic>
    <xdr:clientData/>
  </xdr:twoCellAnchor>
  <xdr:twoCellAnchor>
    <xdr:from>
      <xdr:col>15</xdr:col>
      <xdr:colOff>0</xdr:colOff>
      <xdr:row>4</xdr:row>
      <xdr:rowOff>173934</xdr:rowOff>
    </xdr:from>
    <xdr:to>
      <xdr:col>16</xdr:col>
      <xdr:colOff>9525</xdr:colOff>
      <xdr:row>6</xdr:row>
      <xdr:rowOff>50109</xdr:rowOff>
    </xdr:to>
    <xdr:sp macro="" textlink="">
      <xdr:nvSpPr>
        <xdr:cNvPr id="5" name="Retângulo de cantos arredondados 4">
          <a:extLst>
            <a:ext uri="{FF2B5EF4-FFF2-40B4-BE49-F238E27FC236}">
              <a16:creationId xmlns:a16="http://schemas.microsoft.com/office/drawing/2014/main" id="{3AE8808A-832B-4FFD-9D07-2EDEDAFB029C}"/>
            </a:ext>
          </a:extLst>
        </xdr:cNvPr>
        <xdr:cNvSpPr/>
      </xdr:nvSpPr>
      <xdr:spPr>
        <a:xfrm>
          <a:off x="22374225" y="821634"/>
          <a:ext cx="781050"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4</xdr:row>
      <xdr:rowOff>173934</xdr:rowOff>
    </xdr:from>
    <xdr:to>
      <xdr:col>3</xdr:col>
      <xdr:colOff>9525</xdr:colOff>
      <xdr:row>6</xdr:row>
      <xdr:rowOff>50109</xdr:rowOff>
    </xdr:to>
    <xdr:sp macro="" textlink="">
      <xdr:nvSpPr>
        <xdr:cNvPr id="6" name="Retângulo de cantos arredondados 4">
          <a:extLst>
            <a:ext uri="{FF2B5EF4-FFF2-40B4-BE49-F238E27FC236}">
              <a16:creationId xmlns:a16="http://schemas.microsoft.com/office/drawing/2014/main" id="{0C7AEEA3-4DEF-401F-99D0-5AA6E6CCDD79}"/>
            </a:ext>
          </a:extLst>
        </xdr:cNvPr>
        <xdr:cNvSpPr/>
      </xdr:nvSpPr>
      <xdr:spPr>
        <a:xfrm>
          <a:off x="22374225" y="821634"/>
          <a:ext cx="781050"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173934</xdr:rowOff>
    </xdr:from>
    <xdr:to>
      <xdr:col>6</xdr:col>
      <xdr:colOff>9525</xdr:colOff>
      <xdr:row>6</xdr:row>
      <xdr:rowOff>50109</xdr:rowOff>
    </xdr:to>
    <xdr:sp macro="" textlink="">
      <xdr:nvSpPr>
        <xdr:cNvPr id="5" name="Retângulo de cantos arredondados 4">
          <a:extLst>
            <a:ext uri="{FF2B5EF4-FFF2-40B4-BE49-F238E27FC236}">
              <a16:creationId xmlns:a16="http://schemas.microsoft.com/office/drawing/2014/main" id="{00000000-0008-0000-0100-000005000000}"/>
            </a:ext>
          </a:extLst>
        </xdr:cNvPr>
        <xdr:cNvSpPr/>
      </xdr:nvSpPr>
      <xdr:spPr>
        <a:xfrm>
          <a:off x="6708913" y="1010477"/>
          <a:ext cx="812938"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xdr:row>
      <xdr:rowOff>0</xdr:rowOff>
    </xdr:from>
    <xdr:to>
      <xdr:col>2</xdr:col>
      <xdr:colOff>759259</xdr:colOff>
      <xdr:row>4</xdr:row>
      <xdr:rowOff>113496</xdr:rowOff>
    </xdr:to>
    <xdr:pic>
      <xdr:nvPicPr>
        <xdr:cNvPr id="6" name="Picture 4" descr="logo_ABC_preto.png">
          <a:extLst>
            <a:ext uri="{FF2B5EF4-FFF2-40B4-BE49-F238E27FC236}">
              <a16:creationId xmlns:a16="http://schemas.microsoft.com/office/drawing/2014/main" id="{53FBB2C7-C3B5-402A-B941-73B1E4AA1F5E}"/>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3559" cy="757274"/>
        </a:xfrm>
        <a:prstGeom prst="rect">
          <a:avLst/>
        </a:prstGeom>
      </xdr:spPr>
    </xdr:pic>
    <xdr:clientData/>
  </xdr:twoCellAnchor>
  <xdr:twoCellAnchor>
    <xdr:from>
      <xdr:col>66</xdr:col>
      <xdr:colOff>59525</xdr:colOff>
      <xdr:row>4</xdr:row>
      <xdr:rowOff>162028</xdr:rowOff>
    </xdr:from>
    <xdr:to>
      <xdr:col>66</xdr:col>
      <xdr:colOff>887525</xdr:colOff>
      <xdr:row>6</xdr:row>
      <xdr:rowOff>33028</xdr:rowOff>
    </xdr:to>
    <xdr:sp macro="" textlink="">
      <xdr:nvSpPr>
        <xdr:cNvPr id="9" name="Retângulo de cantos arredondados 4">
          <a:extLst>
            <a:ext uri="{FF2B5EF4-FFF2-40B4-BE49-F238E27FC236}">
              <a16:creationId xmlns:a16="http://schemas.microsoft.com/office/drawing/2014/main" id="{6DFE142F-1505-4D99-B27E-5545A6746790}"/>
            </a:ext>
          </a:extLst>
        </xdr:cNvPr>
        <xdr:cNvSpPr/>
      </xdr:nvSpPr>
      <xdr:spPr>
        <a:xfrm>
          <a:off x="56090338" y="995466"/>
          <a:ext cx="828000" cy="252000"/>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112453</xdr:rowOff>
    </xdr:to>
    <xdr:pic>
      <xdr:nvPicPr>
        <xdr:cNvPr id="9" name="Picture 4" descr="logo_ABC_preto.png">
          <a:extLst>
            <a:ext uri="{FF2B5EF4-FFF2-40B4-BE49-F238E27FC236}">
              <a16:creationId xmlns:a16="http://schemas.microsoft.com/office/drawing/2014/main" id="{A8F8178F-F2FB-42FA-8C22-F990A8BD47AB}"/>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5" name="Retângulo de cantos arredondados 4">
          <a:extLst>
            <a:ext uri="{FF2B5EF4-FFF2-40B4-BE49-F238E27FC236}">
              <a16:creationId xmlns:a16="http://schemas.microsoft.com/office/drawing/2014/main" id="{C3E29F12-48B3-4C2C-9E43-3641F0C37ABB}"/>
            </a:ext>
          </a:extLst>
        </xdr:cNvPr>
        <xdr:cNvSpPr/>
      </xdr:nvSpPr>
      <xdr:spPr>
        <a:xfrm>
          <a:off x="51682650" y="1012134"/>
          <a:ext cx="8286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66</xdr:col>
      <xdr:colOff>59532</xdr:colOff>
      <xdr:row>4</xdr:row>
      <xdr:rowOff>173935</xdr:rowOff>
    </xdr:from>
    <xdr:to>
      <xdr:col>67</xdr:col>
      <xdr:colOff>69056</xdr:colOff>
      <xdr:row>6</xdr:row>
      <xdr:rowOff>50110</xdr:rowOff>
    </xdr:to>
    <xdr:sp macro="" textlink="">
      <xdr:nvSpPr>
        <xdr:cNvPr id="7" name="Retângulo de cantos arredondados 4">
          <a:extLst>
            <a:ext uri="{FF2B5EF4-FFF2-40B4-BE49-F238E27FC236}">
              <a16:creationId xmlns:a16="http://schemas.microsoft.com/office/drawing/2014/main" id="{0F3074DD-8521-4D87-9514-3171DEEF42F7}"/>
            </a:ext>
          </a:extLst>
        </xdr:cNvPr>
        <xdr:cNvSpPr/>
      </xdr:nvSpPr>
      <xdr:spPr>
        <a:xfrm>
          <a:off x="59840813" y="1007373"/>
          <a:ext cx="842962"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113496</xdr:rowOff>
    </xdr:to>
    <xdr:pic>
      <xdr:nvPicPr>
        <xdr:cNvPr id="7" name="Picture 4" descr="logo_ABC_preto.png">
          <a:extLst>
            <a:ext uri="{FF2B5EF4-FFF2-40B4-BE49-F238E27FC236}">
              <a16:creationId xmlns:a16="http://schemas.microsoft.com/office/drawing/2014/main" id="{79F5F33A-A0E2-4162-B429-E657651117E4}"/>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3D573CC9-2A93-474A-9EB2-D01741099E4D}"/>
            </a:ext>
          </a:extLst>
        </xdr:cNvPr>
        <xdr:cNvSpPr/>
      </xdr:nvSpPr>
      <xdr:spPr>
        <a:xfrm>
          <a:off x="55645050" y="1012134"/>
          <a:ext cx="8477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0</xdr:colOff>
      <xdr:row>4</xdr:row>
      <xdr:rowOff>173934</xdr:rowOff>
    </xdr:from>
    <xdr:to>
      <xdr:col>20</xdr:col>
      <xdr:colOff>9525</xdr:colOff>
      <xdr:row>6</xdr:row>
      <xdr:rowOff>50109</xdr:rowOff>
    </xdr:to>
    <xdr:sp macro="" textlink="">
      <xdr:nvSpPr>
        <xdr:cNvPr id="2" name="Retângulo de cantos arredondados 4">
          <a:extLst>
            <a:ext uri="{FF2B5EF4-FFF2-40B4-BE49-F238E27FC236}">
              <a16:creationId xmlns:a16="http://schemas.microsoft.com/office/drawing/2014/main" id="{EB072199-FF78-47DA-BA72-138634AF7B33}"/>
            </a:ext>
          </a:extLst>
        </xdr:cNvPr>
        <xdr:cNvSpPr/>
      </xdr:nvSpPr>
      <xdr:spPr>
        <a:xfrm>
          <a:off x="7419975" y="1012134"/>
          <a:ext cx="7143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108516</xdr:rowOff>
    </xdr:to>
    <xdr:pic>
      <xdr:nvPicPr>
        <xdr:cNvPr id="5" name="Picture 4" descr="logo_ABC_preto.png">
          <a:extLst>
            <a:ext uri="{FF2B5EF4-FFF2-40B4-BE49-F238E27FC236}">
              <a16:creationId xmlns:a16="http://schemas.microsoft.com/office/drawing/2014/main" id="{F1850C2E-6B68-4A9E-B5E0-22D928F3EC5F}"/>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6" name="Retângulo de cantos arredondados 4">
          <a:extLst>
            <a:ext uri="{FF2B5EF4-FFF2-40B4-BE49-F238E27FC236}">
              <a16:creationId xmlns:a16="http://schemas.microsoft.com/office/drawing/2014/main" id="{0169F715-12B0-4663-B3A4-CC2E951D908F}"/>
            </a:ext>
          </a:extLst>
        </xdr:cNvPr>
        <xdr:cNvSpPr/>
      </xdr:nvSpPr>
      <xdr:spPr>
        <a:xfrm>
          <a:off x="7417594" y="1007372"/>
          <a:ext cx="711994"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22</xdr:col>
      <xdr:colOff>35719</xdr:colOff>
      <xdr:row>4</xdr:row>
      <xdr:rowOff>173933</xdr:rowOff>
    </xdr:from>
    <xdr:to>
      <xdr:col>23</xdr:col>
      <xdr:colOff>45245</xdr:colOff>
      <xdr:row>6</xdr:row>
      <xdr:rowOff>50108</xdr:rowOff>
    </xdr:to>
    <xdr:sp macro="" textlink="">
      <xdr:nvSpPr>
        <xdr:cNvPr id="7" name="Retângulo de cantos arredondados 4">
          <a:extLst>
            <a:ext uri="{FF2B5EF4-FFF2-40B4-BE49-F238E27FC236}">
              <a16:creationId xmlns:a16="http://schemas.microsoft.com/office/drawing/2014/main" id="{C20F5546-9F52-46F6-9F3A-63ED2330A1A0}"/>
            </a:ext>
          </a:extLst>
        </xdr:cNvPr>
        <xdr:cNvSpPr/>
      </xdr:nvSpPr>
      <xdr:spPr>
        <a:xfrm>
          <a:off x="19395282" y="1007371"/>
          <a:ext cx="711994"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109467</xdr:rowOff>
    </xdr:to>
    <xdr:pic>
      <xdr:nvPicPr>
        <xdr:cNvPr id="4" name="Picture 4" descr="logo_ABC_preto.png">
          <a:extLst>
            <a:ext uri="{FF2B5EF4-FFF2-40B4-BE49-F238E27FC236}">
              <a16:creationId xmlns:a16="http://schemas.microsoft.com/office/drawing/2014/main" id="{786646CD-BB4D-432F-A292-4CC0E6C6DBD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16</xdr:col>
      <xdr:colOff>690562</xdr:colOff>
      <xdr:row>4</xdr:row>
      <xdr:rowOff>150122</xdr:rowOff>
    </xdr:from>
    <xdr:to>
      <xdr:col>18</xdr:col>
      <xdr:colOff>92868</xdr:colOff>
      <xdr:row>6</xdr:row>
      <xdr:rowOff>26297</xdr:rowOff>
    </xdr:to>
    <xdr:sp macro="" textlink="">
      <xdr:nvSpPr>
        <xdr:cNvPr id="6" name="Retângulo de cantos arredondados 4">
          <a:extLst>
            <a:ext uri="{FF2B5EF4-FFF2-40B4-BE49-F238E27FC236}">
              <a16:creationId xmlns:a16="http://schemas.microsoft.com/office/drawing/2014/main" id="{67AD33C5-8768-4F7B-BC09-31D6FBADD46A}"/>
            </a:ext>
          </a:extLst>
        </xdr:cNvPr>
        <xdr:cNvSpPr/>
      </xdr:nvSpPr>
      <xdr:spPr>
        <a:xfrm>
          <a:off x="16811625" y="983560"/>
          <a:ext cx="878681"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03BEE8E1-7B5E-4095-AA38-962D51F9C5D0}"/>
            </a:ext>
          </a:extLst>
        </xdr:cNvPr>
        <xdr:cNvSpPr/>
      </xdr:nvSpPr>
      <xdr:spPr>
        <a:xfrm>
          <a:off x="15878175" y="1012134"/>
          <a:ext cx="7143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112453</xdr:rowOff>
    </xdr:to>
    <xdr:pic>
      <xdr:nvPicPr>
        <xdr:cNvPr id="6" name="Picture 4" descr="logo_ABC_preto.png">
          <a:extLst>
            <a:ext uri="{FF2B5EF4-FFF2-40B4-BE49-F238E27FC236}">
              <a16:creationId xmlns:a16="http://schemas.microsoft.com/office/drawing/2014/main" id="{519985BF-3BA8-4F70-B66D-34D06B1D63BE}"/>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14</xdr:col>
      <xdr:colOff>47621</xdr:colOff>
      <xdr:row>4</xdr:row>
      <xdr:rowOff>150122</xdr:rowOff>
    </xdr:from>
    <xdr:to>
      <xdr:col>15</xdr:col>
      <xdr:colOff>45240</xdr:colOff>
      <xdr:row>6</xdr:row>
      <xdr:rowOff>26297</xdr:rowOff>
    </xdr:to>
    <xdr:sp macro="" textlink="">
      <xdr:nvSpPr>
        <xdr:cNvPr id="5" name="Retângulo de cantos arredondados 4">
          <a:extLst>
            <a:ext uri="{FF2B5EF4-FFF2-40B4-BE49-F238E27FC236}">
              <a16:creationId xmlns:a16="http://schemas.microsoft.com/office/drawing/2014/main" id="{433A17A7-D4F3-483A-A4F5-2E59EDB9298D}"/>
            </a:ext>
          </a:extLst>
        </xdr:cNvPr>
        <xdr:cNvSpPr/>
      </xdr:nvSpPr>
      <xdr:spPr>
        <a:xfrm>
          <a:off x="14597059" y="983560"/>
          <a:ext cx="795337"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111435</xdr:rowOff>
    </xdr:to>
    <xdr:pic>
      <xdr:nvPicPr>
        <xdr:cNvPr id="7" name="Picture 4" descr="logo_ABC_preto.png">
          <a:extLst>
            <a:ext uri="{FF2B5EF4-FFF2-40B4-BE49-F238E27FC236}">
              <a16:creationId xmlns:a16="http://schemas.microsoft.com/office/drawing/2014/main" id="{1A9BB2D0-570D-4D4C-8E62-AD5DFDF3B250}"/>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9" name="Retângulo de cantos arredondados 4">
          <a:extLst>
            <a:ext uri="{FF2B5EF4-FFF2-40B4-BE49-F238E27FC236}">
              <a16:creationId xmlns:a16="http://schemas.microsoft.com/office/drawing/2014/main" id="{D52FA629-AB0D-4B42-BEBD-DE55EC81C9C1}"/>
            </a:ext>
          </a:extLst>
        </xdr:cNvPr>
        <xdr:cNvSpPr/>
      </xdr:nvSpPr>
      <xdr:spPr>
        <a:xfrm>
          <a:off x="1057275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22</xdr:col>
      <xdr:colOff>23806</xdr:colOff>
      <xdr:row>4</xdr:row>
      <xdr:rowOff>162028</xdr:rowOff>
    </xdr:from>
    <xdr:to>
      <xdr:col>23</xdr:col>
      <xdr:colOff>33332</xdr:colOff>
      <xdr:row>6</xdr:row>
      <xdr:rowOff>38203</xdr:rowOff>
    </xdr:to>
    <xdr:sp macro="" textlink="">
      <xdr:nvSpPr>
        <xdr:cNvPr id="2" name="Retângulo de cantos arredondados 4">
          <a:extLst>
            <a:ext uri="{FF2B5EF4-FFF2-40B4-BE49-F238E27FC236}">
              <a16:creationId xmlns:a16="http://schemas.microsoft.com/office/drawing/2014/main" id="{803A071D-9671-4389-A516-91F8BC2FEA14}"/>
            </a:ext>
          </a:extLst>
        </xdr:cNvPr>
        <xdr:cNvSpPr/>
      </xdr:nvSpPr>
      <xdr:spPr>
        <a:xfrm>
          <a:off x="57488131" y="1000228"/>
          <a:ext cx="809626"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i@abcbrasil.com.br" TargetMode="External"/><Relationship Id="rId1" Type="http://schemas.openxmlformats.org/officeDocument/2006/relationships/hyperlink" Target="mailto:ri@abcbrasil.com.b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B4B5-FD45-4D7A-8518-668FD1F24A1F}">
  <sheetPr codeName="Planilha1">
    <tabColor theme="3" tint="0.39997558519241921"/>
    <pageSetUpPr autoPageBreaks="0"/>
  </sheetPr>
  <dimension ref="A1:P70"/>
  <sheetViews>
    <sheetView showGridLines="0" tabSelected="1" zoomScale="91" zoomScaleNormal="91" workbookViewId="0"/>
  </sheetViews>
  <sheetFormatPr defaultColWidth="9.140625" defaultRowHeight="15" x14ac:dyDescent="0.25"/>
  <cols>
    <col min="1" max="1" width="7.28515625" customWidth="1"/>
    <col min="2" max="2" width="4.7109375" style="23" customWidth="1"/>
    <col min="3" max="3" width="20.7109375" customWidth="1"/>
    <col min="4" max="4" width="11" customWidth="1"/>
    <col min="6" max="6" width="2.7109375" customWidth="1"/>
    <col min="8" max="8" width="4.7109375" customWidth="1"/>
  </cols>
  <sheetData>
    <row r="1" spans="2:13" ht="19.5" customHeight="1" x14ac:dyDescent="0.25"/>
    <row r="9" spans="2:13" ht="26.25" x14ac:dyDescent="0.4">
      <c r="B9" s="234" t="s">
        <v>13</v>
      </c>
      <c r="C9" s="234"/>
      <c r="D9" s="234"/>
      <c r="E9" s="234"/>
      <c r="F9" s="234"/>
      <c r="G9" s="234"/>
      <c r="H9" s="266"/>
      <c r="I9" s="266"/>
      <c r="J9" s="266"/>
      <c r="K9" s="266"/>
      <c r="L9" s="266"/>
      <c r="M9" s="266"/>
    </row>
    <row r="10" spans="2:13" ht="26.25" x14ac:dyDescent="0.4">
      <c r="B10" s="105"/>
      <c r="C10" s="105"/>
      <c r="D10" s="105"/>
      <c r="E10" s="105"/>
      <c r="F10" s="105"/>
      <c r="G10" s="105"/>
    </row>
    <row r="12" spans="2:13" ht="18.75" x14ac:dyDescent="0.3">
      <c r="B12" s="89" t="s">
        <v>14</v>
      </c>
      <c r="H12" s="89" t="s">
        <v>432</v>
      </c>
      <c r="L12" s="78"/>
    </row>
    <row r="13" spans="2:13" x14ac:dyDescent="0.25">
      <c r="B13" s="75"/>
      <c r="H13" s="75"/>
    </row>
    <row r="14" spans="2:13" x14ac:dyDescent="0.25">
      <c r="B14" s="75" t="s">
        <v>12</v>
      </c>
      <c r="H14" s="75" t="s">
        <v>799</v>
      </c>
    </row>
    <row r="15" spans="2:13" ht="5.0999999999999996" customHeight="1" x14ac:dyDescent="0.25">
      <c r="B15" s="75"/>
      <c r="H15" s="75"/>
    </row>
    <row r="16" spans="2:13" x14ac:dyDescent="0.25">
      <c r="B16" s="75"/>
      <c r="H16" s="75"/>
    </row>
    <row r="17" spans="1:12" ht="20.100000000000001" customHeight="1" x14ac:dyDescent="0.3">
      <c r="B17" s="77" t="s">
        <v>0</v>
      </c>
      <c r="C17" s="40" t="s">
        <v>337</v>
      </c>
      <c r="H17" s="77" t="s">
        <v>0</v>
      </c>
      <c r="I17" s="40" t="s">
        <v>436</v>
      </c>
    </row>
    <row r="18" spans="1:12" ht="5.0999999999999996" customHeight="1" x14ac:dyDescent="0.3">
      <c r="B18" s="77"/>
      <c r="H18" s="77"/>
    </row>
    <row r="19" spans="1:12" s="78" customFormat="1" ht="20.100000000000001" customHeight="1" x14ac:dyDescent="0.3">
      <c r="A19" s="76"/>
      <c r="B19" s="77" t="s">
        <v>1</v>
      </c>
      <c r="C19" s="40" t="s">
        <v>4</v>
      </c>
      <c r="D19" s="76"/>
      <c r="H19" s="77" t="s">
        <v>1</v>
      </c>
      <c r="I19" s="40" t="s">
        <v>487</v>
      </c>
      <c r="L19"/>
    </row>
    <row r="20" spans="1:12" s="78" customFormat="1" ht="5.0999999999999996" customHeight="1" x14ac:dyDescent="0.3">
      <c r="A20" s="76"/>
      <c r="B20" s="77"/>
      <c r="C20" s="40"/>
      <c r="D20" s="76"/>
      <c r="H20" s="77"/>
      <c r="I20" s="40"/>
    </row>
    <row r="21" spans="1:12" s="78" customFormat="1" ht="20.100000000000001" customHeight="1" x14ac:dyDescent="0.3">
      <c r="A21" s="76"/>
      <c r="B21" s="77" t="s">
        <v>2</v>
      </c>
      <c r="C21" s="40" t="s">
        <v>803</v>
      </c>
      <c r="D21" s="76"/>
      <c r="H21" s="77" t="s">
        <v>2</v>
      </c>
      <c r="I21" s="40" t="s">
        <v>810</v>
      </c>
    </row>
    <row r="22" spans="1:12" s="78" customFormat="1" ht="5.0999999999999996" customHeight="1" x14ac:dyDescent="0.3">
      <c r="A22" s="76"/>
      <c r="B22" s="77"/>
      <c r="C22" s="40"/>
      <c r="D22" s="76"/>
      <c r="H22" s="77"/>
      <c r="I22" s="40"/>
    </row>
    <row r="23" spans="1:12" s="78" customFormat="1" ht="20.100000000000001" customHeight="1" x14ac:dyDescent="0.3">
      <c r="A23" s="76"/>
      <c r="B23" s="77" t="s">
        <v>3</v>
      </c>
      <c r="C23" s="40" t="s">
        <v>804</v>
      </c>
      <c r="D23" s="76"/>
      <c r="H23" s="77" t="s">
        <v>3</v>
      </c>
      <c r="I23" s="40" t="s">
        <v>811</v>
      </c>
    </row>
    <row r="24" spans="1:12" s="78" customFormat="1" ht="5.0999999999999996" customHeight="1" x14ac:dyDescent="0.3">
      <c r="A24" s="76"/>
      <c r="B24" s="77"/>
      <c r="C24" s="40"/>
      <c r="D24" s="76"/>
      <c r="H24" s="77"/>
      <c r="I24" s="40"/>
    </row>
    <row r="25" spans="1:12" s="78" customFormat="1" ht="20.100000000000001" customHeight="1" x14ac:dyDescent="0.3">
      <c r="A25" s="76"/>
      <c r="B25" s="77" t="s">
        <v>9</v>
      </c>
      <c r="C25" s="40" t="s">
        <v>399</v>
      </c>
      <c r="D25" s="76"/>
      <c r="H25" s="77" t="s">
        <v>9</v>
      </c>
      <c r="I25" s="40" t="s">
        <v>667</v>
      </c>
    </row>
    <row r="26" spans="1:12" s="78" customFormat="1" ht="5.0999999999999996" customHeight="1" x14ac:dyDescent="0.3">
      <c r="A26" s="76"/>
      <c r="B26" s="77"/>
      <c r="C26" s="40"/>
      <c r="D26" s="76"/>
      <c r="H26" s="77"/>
      <c r="I26" s="40"/>
    </row>
    <row r="27" spans="1:12" s="78" customFormat="1" ht="20.100000000000001" customHeight="1" x14ac:dyDescent="0.3">
      <c r="A27" s="76"/>
      <c r="B27" s="77" t="s">
        <v>10</v>
      </c>
      <c r="C27" s="40" t="s">
        <v>805</v>
      </c>
      <c r="D27"/>
      <c r="H27" s="77" t="s">
        <v>10</v>
      </c>
      <c r="I27" s="40" t="s">
        <v>812</v>
      </c>
    </row>
    <row r="28" spans="1:12" s="78" customFormat="1" ht="5.0999999999999996" customHeight="1" x14ac:dyDescent="0.3">
      <c r="A28" s="76"/>
      <c r="B28" s="77"/>
      <c r="C28" s="40"/>
      <c r="D28" s="76"/>
      <c r="H28" s="77"/>
      <c r="I28" s="40"/>
    </row>
    <row r="29" spans="1:12" s="78" customFormat="1" ht="20.100000000000001" customHeight="1" x14ac:dyDescent="0.3">
      <c r="A29" s="76"/>
      <c r="B29" s="77" t="s">
        <v>11</v>
      </c>
      <c r="C29" s="40" t="s">
        <v>806</v>
      </c>
      <c r="D29" s="76"/>
      <c r="H29" s="77" t="s">
        <v>11</v>
      </c>
      <c r="I29" s="40" t="s">
        <v>700</v>
      </c>
    </row>
    <row r="30" spans="1:12" s="78" customFormat="1" ht="5.0999999999999996" customHeight="1" x14ac:dyDescent="0.3">
      <c r="A30" s="76"/>
      <c r="B30" s="77"/>
      <c r="C30" s="40"/>
      <c r="D30" s="76"/>
      <c r="H30" s="77"/>
      <c r="I30" s="40"/>
    </row>
    <row r="31" spans="1:12" s="78" customFormat="1" ht="20.100000000000001" customHeight="1" x14ac:dyDescent="0.3">
      <c r="A31" s="76"/>
      <c r="B31" s="77" t="s">
        <v>167</v>
      </c>
      <c r="C31" s="40" t="s">
        <v>807</v>
      </c>
      <c r="D31" s="76"/>
      <c r="H31" s="77" t="s">
        <v>167</v>
      </c>
      <c r="I31" s="40" t="s">
        <v>798</v>
      </c>
    </row>
    <row r="32" spans="1:12" s="78" customFormat="1" ht="5.0999999999999996" customHeight="1" x14ac:dyDescent="0.3">
      <c r="A32" s="76"/>
      <c r="B32" s="77"/>
      <c r="C32" s="40"/>
      <c r="D32" s="76"/>
      <c r="H32" s="77"/>
      <c r="I32" s="40"/>
    </row>
    <row r="33" spans="1:13" s="78" customFormat="1" ht="20.100000000000001" customHeight="1" x14ac:dyDescent="0.3">
      <c r="A33" s="76"/>
      <c r="B33" s="77" t="s">
        <v>190</v>
      </c>
      <c r="C33" s="40" t="s">
        <v>6</v>
      </c>
      <c r="D33" s="76"/>
      <c r="H33" s="77" t="s">
        <v>190</v>
      </c>
      <c r="I33" s="40" t="s">
        <v>711</v>
      </c>
      <c r="M33" s="79"/>
    </row>
    <row r="34" spans="1:13" s="78" customFormat="1" ht="5.0999999999999996" customHeight="1" x14ac:dyDescent="0.3">
      <c r="A34" s="76"/>
      <c r="B34" s="77"/>
      <c r="C34" s="40"/>
      <c r="D34" s="76"/>
      <c r="H34" s="77"/>
      <c r="I34" s="40"/>
    </row>
    <row r="35" spans="1:13" s="78" customFormat="1" ht="20.100000000000001" customHeight="1" x14ac:dyDescent="0.3">
      <c r="A35" s="76"/>
      <c r="B35" s="77" t="s">
        <v>422</v>
      </c>
      <c r="C35" s="40" t="s">
        <v>808</v>
      </c>
      <c r="D35" s="76"/>
      <c r="H35" s="77" t="s">
        <v>422</v>
      </c>
      <c r="I35" s="40" t="s">
        <v>813</v>
      </c>
      <c r="M35" s="79"/>
    </row>
    <row r="36" spans="1:13" s="78" customFormat="1" ht="5.0999999999999996" customHeight="1" x14ac:dyDescent="0.3">
      <c r="A36" s="76"/>
      <c r="B36" s="80"/>
      <c r="C36" s="40"/>
      <c r="D36" s="76"/>
      <c r="H36" s="80"/>
      <c r="I36" s="40"/>
    </row>
    <row r="37" spans="1:13" s="78" customFormat="1" ht="20.100000000000001" customHeight="1" x14ac:dyDescent="0.3">
      <c r="A37" s="76"/>
      <c r="B37" s="77" t="s">
        <v>423</v>
      </c>
      <c r="C37" s="40" t="s">
        <v>809</v>
      </c>
      <c r="D37" s="76"/>
      <c r="H37" s="77" t="s">
        <v>423</v>
      </c>
      <c r="I37" s="40" t="s">
        <v>814</v>
      </c>
    </row>
    <row r="38" spans="1:13" s="78" customFormat="1" ht="5.0999999999999996" customHeight="1" x14ac:dyDescent="0.3">
      <c r="A38" s="76"/>
      <c r="B38" s="80"/>
      <c r="C38" s="40"/>
      <c r="D38" s="76"/>
      <c r="H38" s="80"/>
      <c r="I38" s="40"/>
    </row>
    <row r="39" spans="1:13" s="78" customFormat="1" ht="20.100000000000001" customHeight="1" x14ac:dyDescent="0.3">
      <c r="A39" s="76"/>
      <c r="B39" s="77" t="s">
        <v>424</v>
      </c>
      <c r="C39" s="40" t="s">
        <v>8</v>
      </c>
      <c r="D39" s="76"/>
      <c r="H39" s="77" t="s">
        <v>424</v>
      </c>
      <c r="I39" s="40" t="s">
        <v>745</v>
      </c>
    </row>
    <row r="40" spans="1:13" s="78" customFormat="1" ht="5.0999999999999996" customHeight="1" x14ac:dyDescent="0.3">
      <c r="A40" s="76"/>
      <c r="C40" s="40"/>
      <c r="D40" s="76"/>
      <c r="I40" s="40"/>
    </row>
    <row r="41" spans="1:13" s="78" customFormat="1" ht="20.100000000000001" customHeight="1" x14ac:dyDescent="0.3">
      <c r="A41" s="76"/>
      <c r="B41" s="77" t="s">
        <v>425</v>
      </c>
      <c r="C41" s="40" t="s">
        <v>168</v>
      </c>
      <c r="D41" s="76"/>
      <c r="H41" s="77" t="s">
        <v>425</v>
      </c>
      <c r="I41" s="40" t="s">
        <v>815</v>
      </c>
    </row>
    <row r="42" spans="1:13" ht="8.25" customHeight="1" x14ac:dyDescent="0.25">
      <c r="B42" s="80"/>
      <c r="C42" s="1"/>
    </row>
    <row r="44" spans="1:13" s="1" customFormat="1" x14ac:dyDescent="0.25">
      <c r="B44" s="141" t="s">
        <v>434</v>
      </c>
    </row>
    <row r="45" spans="1:13" ht="5.0999999999999996" customHeight="1" x14ac:dyDescent="0.25"/>
    <row r="46" spans="1:13" x14ac:dyDescent="0.25">
      <c r="B46" s="233" t="s">
        <v>325</v>
      </c>
    </row>
    <row r="47" spans="1:13" x14ac:dyDescent="0.25">
      <c r="B47" s="233" t="s">
        <v>326</v>
      </c>
    </row>
    <row r="48" spans="1:13" ht="18.75" x14ac:dyDescent="0.3">
      <c r="B48" s="123"/>
    </row>
    <row r="49" spans="2:11" s="1" customFormat="1" x14ac:dyDescent="0.25">
      <c r="B49" s="141" t="s">
        <v>435</v>
      </c>
    </row>
    <row r="50" spans="2:11" ht="5.0999999999999996" customHeight="1" x14ac:dyDescent="0.25"/>
    <row r="51" spans="2:11" x14ac:dyDescent="0.25">
      <c r="B51" s="233" t="s">
        <v>800</v>
      </c>
    </row>
    <row r="52" spans="2:11" x14ac:dyDescent="0.25">
      <c r="B52" s="233" t="s">
        <v>801</v>
      </c>
    </row>
    <row r="53" spans="2:11" ht="18.75" x14ac:dyDescent="0.3">
      <c r="B53" s="123"/>
    </row>
    <row r="54" spans="2:11" ht="18.75" x14ac:dyDescent="0.3">
      <c r="B54" s="77"/>
      <c r="C54" s="40"/>
    </row>
    <row r="55" spans="2:11" ht="18.75" x14ac:dyDescent="0.3">
      <c r="B55" s="89" t="s">
        <v>816</v>
      </c>
      <c r="C55" s="40"/>
      <c r="J55" s="89" t="s">
        <v>821</v>
      </c>
      <c r="K55" s="40"/>
    </row>
    <row r="56" spans="2:11" ht="18.75" x14ac:dyDescent="0.3">
      <c r="B56" s="77"/>
      <c r="C56" s="40"/>
      <c r="J56" s="77"/>
      <c r="K56" s="40"/>
    </row>
    <row r="57" spans="2:11" ht="18.75" x14ac:dyDescent="0.3">
      <c r="B57" s="77" t="s">
        <v>0</v>
      </c>
      <c r="C57" s="40" t="s">
        <v>817</v>
      </c>
      <c r="J57" s="235" t="s">
        <v>0</v>
      </c>
      <c r="K57" s="40" t="s">
        <v>822</v>
      </c>
    </row>
    <row r="58" spans="2:11" ht="8.25" customHeight="1" x14ac:dyDescent="0.3">
      <c r="B58" s="77"/>
      <c r="C58" s="40"/>
      <c r="J58" s="235"/>
      <c r="K58" s="40"/>
    </row>
    <row r="59" spans="2:11" ht="18.75" x14ac:dyDescent="0.3">
      <c r="B59" s="77" t="s">
        <v>1</v>
      </c>
      <c r="C59" s="40" t="s">
        <v>818</v>
      </c>
      <c r="J59" s="235" t="s">
        <v>1</v>
      </c>
      <c r="K59" s="40" t="s">
        <v>823</v>
      </c>
    </row>
    <row r="60" spans="2:11" ht="8.25" customHeight="1" x14ac:dyDescent="0.3">
      <c r="B60" s="77"/>
      <c r="C60" s="40"/>
      <c r="J60" s="235"/>
      <c r="K60" s="40"/>
    </row>
    <row r="61" spans="2:11" ht="18.75" x14ac:dyDescent="0.3">
      <c r="B61" s="77" t="s">
        <v>2</v>
      </c>
      <c r="C61" s="40" t="s">
        <v>819</v>
      </c>
      <c r="J61" s="235" t="s">
        <v>2</v>
      </c>
      <c r="K61" s="40" t="s">
        <v>824</v>
      </c>
    </row>
    <row r="62" spans="2:11" ht="8.25" customHeight="1" x14ac:dyDescent="0.3">
      <c r="B62"/>
      <c r="C62" s="40"/>
      <c r="J62" s="3"/>
      <c r="K62" s="40"/>
    </row>
    <row r="63" spans="2:11" ht="18.75" customHeight="1" x14ac:dyDescent="0.3">
      <c r="B63" s="77" t="s">
        <v>3</v>
      </c>
      <c r="C63" s="40" t="s">
        <v>820</v>
      </c>
      <c r="J63" s="235" t="s">
        <v>3</v>
      </c>
      <c r="K63" s="40" t="s">
        <v>825</v>
      </c>
    </row>
    <row r="64" spans="2:11" ht="18.75" x14ac:dyDescent="0.3">
      <c r="B64" s="77"/>
      <c r="C64" s="40"/>
    </row>
    <row r="65" spans="2:16" ht="15.75" thickBot="1" x14ac:dyDescent="0.3">
      <c r="B65" s="81"/>
      <c r="C65" s="82"/>
      <c r="D65" s="82"/>
      <c r="E65" s="82"/>
      <c r="F65" s="82"/>
      <c r="G65" s="82"/>
      <c r="H65" s="82"/>
      <c r="I65" s="82"/>
      <c r="J65" s="82"/>
      <c r="K65" s="82"/>
      <c r="L65" s="82"/>
      <c r="M65" s="82"/>
      <c r="N65" s="82"/>
      <c r="O65" s="82"/>
      <c r="P65" s="82"/>
    </row>
    <row r="66" spans="2:16" ht="16.5" customHeight="1" thickTop="1" x14ac:dyDescent="0.25">
      <c r="B66" s="83" t="s">
        <v>296</v>
      </c>
      <c r="D66" s="84" t="s">
        <v>865</v>
      </c>
      <c r="G66" s="84" t="s">
        <v>866</v>
      </c>
    </row>
    <row r="67" spans="2:16" ht="6" customHeight="1" x14ac:dyDescent="0.25">
      <c r="B67" s="83"/>
      <c r="D67" s="84"/>
    </row>
    <row r="68" spans="2:16" x14ac:dyDescent="0.25">
      <c r="B68" s="83" t="s">
        <v>16</v>
      </c>
      <c r="D68" s="85" t="s">
        <v>15</v>
      </c>
    </row>
    <row r="69" spans="2:16" ht="5.0999999999999996" customHeight="1" x14ac:dyDescent="0.25"/>
    <row r="70" spans="2:16" x14ac:dyDescent="0.25">
      <c r="B70" s="84" t="s">
        <v>802</v>
      </c>
      <c r="F70" s="85" t="s">
        <v>15</v>
      </c>
    </row>
  </sheetData>
  <mergeCells count="1">
    <mergeCell ref="H9:M9"/>
  </mergeCells>
  <hyperlinks>
    <hyperlink ref="D68" r:id="rId1" xr:uid="{A9ED9BB2-1701-42CE-AF49-6AFED601F986}"/>
    <hyperlink ref="F70" r:id="rId2" xr:uid="{DFA53F69-DE93-459B-BC55-4F880A2BDEB3}"/>
    <hyperlink ref="C17" location="'Sumário - Summary'!A1" display="Sumário Executivo / Executive Summary" xr:uid="{B7453033-7CBA-4C23-B03A-06F7E84B2183}"/>
    <hyperlink ref="C19" location="'Balanço - Balance Sheet'!A1" display="Balanço Patrimonial / Balance Sheet" xr:uid="{57F6CD8F-75C3-48F8-8ED7-1606053F0104}"/>
    <hyperlink ref="C21" location="'DRE Contábil (Tri) - IS Quarter'!A1" display="DRE Contábil / Income Statement" xr:uid="{016114B9-DAC8-4BDB-B99E-0B41746C392B}"/>
    <hyperlink ref="C23" location="'DRE Ger. (Tri) - IS Mngmt Q'!A1" display="DRE Gerencial1 / Managerial Income Statement¹" xr:uid="{27BF447C-14F9-4AAD-9DB9-8D13DE9AD6B7}"/>
    <hyperlink ref="C25" location="'Provisões - Provisions'!A1" display="Provisões / Provisions" xr:uid="{37DCF9A5-C86E-42C1-B2CB-85E66246CB7E}"/>
    <hyperlink ref="C27" location="'Carteira Expandida - Exp Port'!A1" display="Carteira Expandida (Nova)² / Expanded Portfolio (New)²" xr:uid="{1A06D580-AE78-4268-8DB3-EAE86ECB5F84}"/>
    <hyperlink ref="C29" location="'Nível de Risco - Loan Ratings'!A1" display="Nível de Risco 2.682 / Loan Portfolio Ratings" xr:uid="{8413C36B-124D-47D4-8F82-4CDF99C2B023}"/>
    <hyperlink ref="C31" location="'Indicadores - Loan Indicators'!A1" display="Indicadores 2.682 / Loan Portfolio Indicators" xr:uid="{6F4E418E-2B3D-41D8-B371-FCBE23AD4065}"/>
    <hyperlink ref="C33" location="'Captação - Funding'!A1" display="Captação / Funding" xr:uid="{69E891C7-A66E-42A5-959E-E8EBAB68874A}"/>
    <hyperlink ref="C35" location="'Eficiência - Efficiency'!A1" display="Eficiência1 / Efficiency¹" xr:uid="{1D398652-6B67-4325-8B39-B49201415B48}"/>
    <hyperlink ref="C37" location="NIM!A1" display="NIM¹ / Net Interest Margin¹" xr:uid="{483BFDD1-0330-4A54-A9CF-2B1A0C6D2E6C}"/>
    <hyperlink ref="C39" location="'Adequação de Capital - Capital'!A1" display="Adequação de Capital / Capital Adequacy" xr:uid="{43EF1C6E-88C6-4A3E-B921-56A8070990E2}"/>
    <hyperlink ref="C41" location="'Dividendos e JCP - Dividends'!A1" display="Dividendos e JCP / Dividends &amp; IOC" xr:uid="{D8BDC864-1FDE-478F-B916-7AD8CBED0497}"/>
    <hyperlink ref="C57" location="'Carteira Exp - Exp Port'!A1" display="Carteira Expandida (Conceito Antigo - até Jan/21) / Expanded Portfolio (until Jan/21)" xr:uid="{181B2DAA-A7A9-47F5-926A-9D53DDD2A4C5}"/>
    <hyperlink ref="C59" location="'DRE Gerencial - Managerial IS'!A1" display="DRE Gerencial (Conceito Antigo - até Jun/20) / Managerial Income Statement (until Jun/20)" xr:uid="{742A34DF-2071-4725-8075-CD42862FCFAD}"/>
    <hyperlink ref="C61" location="'Eficiência - Efficiency '!A1" display="Eficiência (Conceito Antigo - até Jun/20) / Efficiency (until Jun/20)" xr:uid="{103C4F2A-C0E8-423F-8EA5-BAD0011511B3}"/>
    <hyperlink ref="C63" location="'NIM '!A1" display="NIM (Conceito Antigo - até Jun/20) / Net Interest Margin (until Jun/20)" xr:uid="{353DF2FE-3E2B-4EE4-A830-1180AFE22131}"/>
    <hyperlink ref="I17" location="'Sumário - Summary'!A1" display="Sumário Executivo / Executive Summary" xr:uid="{B0639F57-602D-4D48-A442-516186B78BB6}"/>
    <hyperlink ref="I19" location="'Balanço - Balance Sheet'!A1" display="Balanço Patrimonial / Balance Sheet" xr:uid="{098AB2B8-3FD6-4814-8C3B-E86651F500A6}"/>
    <hyperlink ref="I21" location="'DRE Contábil (Tri) - IS Quarter'!A1" display="DRE Contábil / Income Statement" xr:uid="{E0A0E44F-32D8-4B7A-8934-5E6293CAD556}"/>
    <hyperlink ref="I23" location="'DRE Ger. (Tri) - IS Mngmt Q'!A1" display="DRE Gerencial1 / Managerial Income Statement¹" xr:uid="{FB0C1AC6-4101-407F-9328-35BE8C8ADDDA}"/>
    <hyperlink ref="I25" location="'Provisões - Provisions'!A1" display="Provisões / Provisions" xr:uid="{8A9F397D-18A9-4E3B-9867-576B29CDEB57}"/>
    <hyperlink ref="I27" location="'Carteira Expandida - Exp Port'!A1" display="Carteira Expandida (Nova)² / Expanded Portfolio (New)²" xr:uid="{910DA668-FEBA-46E5-9AE9-39E3DC437FD9}"/>
    <hyperlink ref="I29" location="'Nível de Risco - Loan Ratings'!A1" display="Nível de Risco 2.682 / Loan Portfolio Ratings" xr:uid="{67C69DCC-4DA5-4802-9C40-41B7A4B23D45}"/>
    <hyperlink ref="I31" location="'Indicadores - Loan Indicators'!A1" display="Indicadores 2.682 / Loan Portfolio Indicators" xr:uid="{FFBB8DFC-82ED-4340-8B58-8D2A04782D0A}"/>
    <hyperlink ref="I33" location="'Captação - Funding'!A1" display="Captação / Funding" xr:uid="{3BC18219-C594-493F-917D-AF93FC01622F}"/>
    <hyperlink ref="I35" location="'Eficiência - Efficiency'!A1" display="Eficiência1 / Efficiency¹" xr:uid="{6841D5F5-727B-46E8-97DD-EE98C5A740E8}"/>
    <hyperlink ref="I37" location="NIM!A1" display="NIM¹ / Net Interest Margin¹" xr:uid="{A846F911-170F-46E9-99BF-1E4D67D6DB38}"/>
    <hyperlink ref="I39" location="'Adequação de Capital - Capital'!A1" display="Adequação de Capital / Capital Adequacy" xr:uid="{49C0D5C5-690B-414D-A4C7-719A73F9003F}"/>
    <hyperlink ref="I41" location="'Dividendos e JCP - Dividends'!A1" display="Dividendos e JCP / Dividends &amp; IOC" xr:uid="{E9557AFD-F515-43DE-B635-D64F46D5004C}"/>
    <hyperlink ref="K57" location="'Carteira Exp - Exp Port'!A1" display="Carteira Expandida (Conceito Antigo - até Jan/21) / Expanded Portfolio (until Jan/21)" xr:uid="{C26E5937-60E3-4C72-A131-82D24C5D394E}"/>
    <hyperlink ref="K59" location="'DRE Gerencial - Managerial IS'!A1" display="DRE Gerencial (Conceito Antigo - até Jun/20) / Managerial Income Statement (until Jun/20)" xr:uid="{FF472E70-E6BD-4B4E-8C8E-83B1C7B8C9B3}"/>
    <hyperlink ref="K61" location="'Eficiência - Efficiency '!A1" display="Eficiência (Conceito Antigo - até Jun/20) / Efficiency (until Jun/20)" xr:uid="{3D23ED00-E6E7-45DA-A2CB-776CAE864F83}"/>
    <hyperlink ref="K63" location="'NIM '!A1" display="NIM (Conceito Antigo - até Jun/20) / Net Interest Margin (until Jun/20)" xr:uid="{7FFB836D-DCF6-4F34-925B-22E1FC9038CA}"/>
  </hyperlinks>
  <pageMargins left="0.511811024" right="0.511811024" top="0.78740157499999996" bottom="0.78740157499999996" header="0.31496062000000002" footer="0.31496062000000002"/>
  <pageSetup paperSize="9" orientation="portrait" r:id="rId3"/>
  <headerFooter>
    <oddFooter>&amp;C&amp;1#&amp;"Calibri"&amp;10&amp;K000000Informação de uso publico</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1F844-DBAF-447A-A985-1A9316BD06AE}">
  <sheetPr codeName="Planilha10">
    <tabColor theme="3" tint="0.39997558519241921"/>
    <pageSetUpPr autoPageBreaks="0"/>
  </sheetPr>
  <dimension ref="B2:W50"/>
  <sheetViews>
    <sheetView showGridLines="0" zoomScale="80" zoomScaleNormal="80" workbookViewId="0">
      <pane xSplit="5" ySplit="9" topLeftCell="S10" activePane="bottomRight" state="frozen"/>
      <selection activeCell="D1" sqref="D1"/>
      <selection pane="topRight" activeCell="D1" sqref="D1"/>
      <selection pane="bottomLeft" activeCell="D1" sqref="D1"/>
      <selection pane="bottomRight" activeCell="W9" sqref="W9"/>
    </sheetView>
  </sheetViews>
  <sheetFormatPr defaultColWidth="12" defaultRowHeight="15" outlineLevelCol="1" x14ac:dyDescent="0.25"/>
  <cols>
    <col min="1" max="1" width="2.7109375" customWidth="1"/>
    <col min="2" max="2" width="1.7109375" customWidth="1" outlineLevel="1"/>
    <col min="3" max="3" width="55" customWidth="1" outlineLevel="1"/>
    <col min="4" max="4" width="1.7109375" customWidth="1"/>
    <col min="5" max="5" width="34.85546875" customWidth="1" outlineLevel="1"/>
    <col min="6" max="18" width="11.7109375" customWidth="1"/>
    <col min="20" max="21" width="11.7109375" customWidth="1"/>
    <col min="23" max="23" width="13.42578125" bestFit="1" customWidth="1"/>
  </cols>
  <sheetData>
    <row r="2" spans="2:23" x14ac:dyDescent="0.25">
      <c r="B2" t="s">
        <v>429</v>
      </c>
    </row>
    <row r="3" spans="2:23" ht="21" x14ac:dyDescent="0.35">
      <c r="C3" s="4"/>
      <c r="D3" s="4"/>
      <c r="E3" s="4"/>
    </row>
    <row r="4" spans="2:23" ht="15" customHeight="1" x14ac:dyDescent="0.25">
      <c r="C4" s="3"/>
      <c r="D4" s="3"/>
      <c r="E4" s="3"/>
    </row>
    <row r="5" spans="2:23" x14ac:dyDescent="0.25">
      <c r="C5" s="2"/>
      <c r="D5" s="2"/>
      <c r="E5" s="2"/>
    </row>
    <row r="6" spans="2:23" x14ac:dyDescent="0.25">
      <c r="F6" s="236" t="s">
        <v>486</v>
      </c>
      <c r="W6" s="252" t="s">
        <v>486</v>
      </c>
    </row>
    <row r="7" spans="2:23" ht="18.75" x14ac:dyDescent="0.3">
      <c r="B7" s="40" t="s">
        <v>400</v>
      </c>
      <c r="C7" s="40"/>
      <c r="D7" s="40"/>
      <c r="E7" s="40" t="s">
        <v>700</v>
      </c>
    </row>
    <row r="8" spans="2:23" ht="18.75" x14ac:dyDescent="0.25">
      <c r="B8" s="215" t="s">
        <v>434</v>
      </c>
      <c r="C8" s="216"/>
      <c r="D8" s="216"/>
      <c r="E8" s="215" t="s">
        <v>435</v>
      </c>
      <c r="F8" s="218" t="s">
        <v>182</v>
      </c>
      <c r="G8" s="218" t="s">
        <v>185</v>
      </c>
      <c r="H8" s="218" t="s">
        <v>242</v>
      </c>
      <c r="I8" s="218" t="s">
        <v>510</v>
      </c>
      <c r="J8" s="218" t="s">
        <v>290</v>
      </c>
      <c r="K8" s="218" t="s">
        <v>292</v>
      </c>
      <c r="L8" s="218" t="s">
        <v>511</v>
      </c>
      <c r="M8" s="218" t="s">
        <v>512</v>
      </c>
      <c r="N8" s="218" t="s">
        <v>322</v>
      </c>
      <c r="O8" s="218" t="s">
        <v>329</v>
      </c>
      <c r="P8" s="218" t="s">
        <v>513</v>
      </c>
      <c r="Q8" s="218" t="s">
        <v>514</v>
      </c>
      <c r="R8" s="218" t="s">
        <v>430</v>
      </c>
      <c r="S8" s="218" t="s">
        <v>827</v>
      </c>
      <c r="T8" s="218" t="s">
        <v>845</v>
      </c>
      <c r="U8" s="218" t="s">
        <v>851</v>
      </c>
      <c r="V8" s="218" t="s">
        <v>855</v>
      </c>
      <c r="W8" s="218" t="s">
        <v>862</v>
      </c>
    </row>
    <row r="9" spans="2:23" s="3" customFormat="1" x14ac:dyDescent="0.25">
      <c r="B9" s="154" t="s">
        <v>338</v>
      </c>
      <c r="C9" s="146"/>
      <c r="D9" s="146"/>
      <c r="E9" s="154" t="s">
        <v>433</v>
      </c>
      <c r="F9" s="155" t="s">
        <v>182</v>
      </c>
      <c r="G9" s="155" t="s">
        <v>185</v>
      </c>
      <c r="H9" s="155" t="s">
        <v>198</v>
      </c>
      <c r="I9" s="155" t="s">
        <v>285</v>
      </c>
      <c r="J9" s="155" t="s">
        <v>290</v>
      </c>
      <c r="K9" s="155" t="s">
        <v>292</v>
      </c>
      <c r="L9" s="155" t="s">
        <v>306</v>
      </c>
      <c r="M9" s="155" t="s">
        <v>309</v>
      </c>
      <c r="N9" s="155" t="s">
        <v>322</v>
      </c>
      <c r="O9" s="155" t="s">
        <v>329</v>
      </c>
      <c r="P9" s="155" t="s">
        <v>331</v>
      </c>
      <c r="Q9" s="155" t="s">
        <v>335</v>
      </c>
      <c r="R9" s="155" t="s">
        <v>430</v>
      </c>
      <c r="S9" s="155" t="s">
        <v>827</v>
      </c>
      <c r="T9" s="155" t="s">
        <v>846</v>
      </c>
      <c r="U9" s="155" t="s">
        <v>853</v>
      </c>
      <c r="V9" s="155" t="s">
        <v>855</v>
      </c>
      <c r="W9" s="155" t="s">
        <v>862</v>
      </c>
    </row>
    <row r="10" spans="2:23" ht="15" customHeight="1" x14ac:dyDescent="0.25">
      <c r="F10" s="9"/>
      <c r="G10" s="9"/>
      <c r="H10" s="9"/>
      <c r="I10" s="9"/>
      <c r="J10" s="9"/>
      <c r="K10" s="9"/>
      <c r="L10" s="9"/>
      <c r="M10" s="9"/>
      <c r="N10" s="9"/>
      <c r="O10" s="9"/>
      <c r="P10" s="9"/>
      <c r="Q10" s="9"/>
      <c r="R10" s="9"/>
      <c r="S10" s="9"/>
      <c r="T10" s="9"/>
      <c r="U10" s="9"/>
      <c r="V10" s="9"/>
      <c r="W10" s="9"/>
    </row>
    <row r="11" spans="2:23" ht="15" customHeight="1" x14ac:dyDescent="0.25">
      <c r="B11" s="148" t="s">
        <v>409</v>
      </c>
      <c r="C11" s="169"/>
      <c r="D11" s="169"/>
      <c r="E11" s="148" t="s">
        <v>701</v>
      </c>
      <c r="F11" s="188"/>
      <c r="G11" s="188"/>
      <c r="H11" s="188"/>
      <c r="I11" s="188"/>
      <c r="J11" s="188"/>
      <c r="K11" s="188"/>
      <c r="L11" s="188"/>
      <c r="M11" s="188"/>
      <c r="N11" s="188"/>
      <c r="O11" s="188"/>
      <c r="P11" s="188"/>
      <c r="Q11" s="188"/>
      <c r="R11" s="188"/>
      <c r="S11" s="188"/>
      <c r="T11" s="188"/>
      <c r="U11" s="188"/>
      <c r="V11" s="188"/>
      <c r="W11" s="188"/>
    </row>
    <row r="12" spans="2:23" ht="15" customHeight="1" x14ac:dyDescent="0.25">
      <c r="B12" s="141"/>
      <c r="C12" s="52"/>
      <c r="D12" s="52"/>
      <c r="E12" s="141"/>
      <c r="F12" s="33"/>
      <c r="G12" s="33"/>
      <c r="H12" s="33"/>
      <c r="I12" s="33"/>
      <c r="J12" s="33"/>
      <c r="K12" s="33"/>
      <c r="L12" s="33"/>
      <c r="M12" s="33"/>
      <c r="N12" s="33"/>
      <c r="O12" s="33"/>
      <c r="P12" s="33"/>
      <c r="Q12" s="33"/>
      <c r="R12" s="33"/>
      <c r="S12" s="33"/>
      <c r="T12" s="33"/>
      <c r="U12" s="33"/>
      <c r="V12" s="33"/>
      <c r="W12" s="33"/>
    </row>
    <row r="13" spans="2:23" ht="15" customHeight="1" x14ac:dyDescent="0.25">
      <c r="C13" s="75" t="s">
        <v>145</v>
      </c>
      <c r="D13" s="75"/>
      <c r="E13" s="75" t="s">
        <v>145</v>
      </c>
      <c r="F13" s="12">
        <v>1373.8901228799996</v>
      </c>
      <c r="G13" s="12">
        <v>1670.4039664200002</v>
      </c>
      <c r="H13" s="12">
        <v>1800.7180000000001</v>
      </c>
      <c r="I13" s="12">
        <v>3152.8072661200044</v>
      </c>
      <c r="J13" s="12">
        <v>2649.255912470001</v>
      </c>
      <c r="K13" s="12">
        <v>2389.665678169999</v>
      </c>
      <c r="L13" s="12">
        <v>2432.6109956199998</v>
      </c>
      <c r="M13" s="12">
        <v>3225.6976620199998</v>
      </c>
      <c r="N13" s="12">
        <v>3218.6420228100014</v>
      </c>
      <c r="O13" s="12">
        <v>3152.0477467100018</v>
      </c>
      <c r="P13" s="12">
        <v>3299.7504297800015</v>
      </c>
      <c r="Q13" s="12">
        <v>3754.0408239999979</v>
      </c>
      <c r="R13" s="12">
        <v>4287.4470366799997</v>
      </c>
      <c r="S13" s="12">
        <v>5742.9194015499988</v>
      </c>
      <c r="T13" s="12">
        <v>5659.90480553</v>
      </c>
      <c r="U13" s="12">
        <v>6809.0563262400028</v>
      </c>
      <c r="V13" s="12">
        <v>13911.097056820041</v>
      </c>
      <c r="W13" s="12">
        <v>12529.18565543001</v>
      </c>
    </row>
    <row r="14" spans="2:23" ht="15" customHeight="1" x14ac:dyDescent="0.25">
      <c r="C14" s="75" t="s">
        <v>146</v>
      </c>
      <c r="D14" s="75"/>
      <c r="E14" s="75" t="s">
        <v>146</v>
      </c>
      <c r="F14" s="12">
        <v>4686.9652970199995</v>
      </c>
      <c r="G14" s="12">
        <v>4698.7546938999958</v>
      </c>
      <c r="H14" s="12">
        <v>5138.7309999999998</v>
      </c>
      <c r="I14" s="12">
        <v>5262.5014225500054</v>
      </c>
      <c r="J14" s="12">
        <v>6009.0979033100029</v>
      </c>
      <c r="K14" s="12">
        <v>5659.0207417600013</v>
      </c>
      <c r="L14" s="12">
        <v>6540.0910667600019</v>
      </c>
      <c r="M14" s="12">
        <v>7240.6500661099999</v>
      </c>
      <c r="N14" s="12">
        <v>7942.1845254899999</v>
      </c>
      <c r="O14" s="12">
        <v>7415.5802854111598</v>
      </c>
      <c r="P14" s="12">
        <v>7801.3590837499987</v>
      </c>
      <c r="Q14" s="12">
        <v>8473.7339233200146</v>
      </c>
      <c r="R14" s="12">
        <v>7904.7153027100048</v>
      </c>
      <c r="S14" s="12">
        <v>7671.309414320006</v>
      </c>
      <c r="T14" s="12">
        <v>7926.3360311299866</v>
      </c>
      <c r="U14" s="12">
        <v>6744.3018886599857</v>
      </c>
      <c r="V14" s="12">
        <v>4019.6406048500012</v>
      </c>
      <c r="W14" s="12">
        <v>4550.3659780600074</v>
      </c>
    </row>
    <row r="15" spans="2:23" ht="15" customHeight="1" x14ac:dyDescent="0.25">
      <c r="C15" s="75" t="s">
        <v>147</v>
      </c>
      <c r="D15" s="75"/>
      <c r="E15" s="75" t="s">
        <v>147</v>
      </c>
      <c r="F15" s="12">
        <v>4724.0908076499945</v>
      </c>
      <c r="G15" s="12">
        <v>5051.3094883700114</v>
      </c>
      <c r="H15" s="12">
        <v>6051.5029999999997</v>
      </c>
      <c r="I15" s="12">
        <v>6426.835</v>
      </c>
      <c r="J15" s="12">
        <v>6471.1088234200088</v>
      </c>
      <c r="K15" s="12">
        <v>7109.8935363899964</v>
      </c>
      <c r="L15" s="12">
        <v>6991.8161634100006</v>
      </c>
      <c r="M15" s="12">
        <v>7664.9714498899903</v>
      </c>
      <c r="N15" s="12">
        <v>7539.8405096799997</v>
      </c>
      <c r="O15" s="12">
        <v>7758.049700569999</v>
      </c>
      <c r="P15" s="12">
        <v>8246.739719059995</v>
      </c>
      <c r="Q15" s="12">
        <v>8316.0737413999977</v>
      </c>
      <c r="R15" s="12">
        <v>8181.6360692900007</v>
      </c>
      <c r="S15" s="12">
        <v>7881.4705446500047</v>
      </c>
      <c r="T15" s="12">
        <v>8508.0143088199929</v>
      </c>
      <c r="U15" s="12">
        <v>7975.6286368199981</v>
      </c>
      <c r="V15" s="12">
        <v>2673.168864480002</v>
      </c>
      <c r="W15" s="12">
        <v>2722.8036074800002</v>
      </c>
    </row>
    <row r="16" spans="2:23" ht="15" customHeight="1" x14ac:dyDescent="0.25">
      <c r="C16" s="75" t="s">
        <v>148</v>
      </c>
      <c r="D16" s="75"/>
      <c r="E16" s="75" t="s">
        <v>148</v>
      </c>
      <c r="F16" s="12">
        <v>1576.4854582599996</v>
      </c>
      <c r="G16" s="12">
        <v>1463.8715526200006</v>
      </c>
      <c r="H16" s="12">
        <v>1497.107</v>
      </c>
      <c r="I16" s="12">
        <v>1632.114</v>
      </c>
      <c r="J16" s="12">
        <v>1995.545429660001</v>
      </c>
      <c r="K16" s="12">
        <v>2081.6171725000008</v>
      </c>
      <c r="L16" s="12">
        <v>2259.4662673999997</v>
      </c>
      <c r="M16" s="12">
        <v>1888.9957477999999</v>
      </c>
      <c r="N16" s="12">
        <v>1814.2819704599997</v>
      </c>
      <c r="O16" s="12">
        <v>1592.1872786200006</v>
      </c>
      <c r="P16" s="12">
        <v>1582.9849913499997</v>
      </c>
      <c r="Q16" s="12">
        <v>1768.11743161</v>
      </c>
      <c r="R16" s="12">
        <v>1828.2243080999986</v>
      </c>
      <c r="S16" s="12">
        <v>2228.5159852599986</v>
      </c>
      <c r="T16" s="12">
        <v>2717.7958295600001</v>
      </c>
      <c r="U16" s="12">
        <v>2973.7079094300002</v>
      </c>
      <c r="V16" s="12">
        <v>2130.8977401199986</v>
      </c>
      <c r="W16" s="12">
        <v>2106.0925663499993</v>
      </c>
    </row>
    <row r="17" spans="2:23" ht="15" customHeight="1" x14ac:dyDescent="0.25">
      <c r="C17" s="75" t="s">
        <v>149</v>
      </c>
      <c r="D17" s="75"/>
      <c r="E17" s="75" t="s">
        <v>149</v>
      </c>
      <c r="F17" s="12">
        <v>265.70965277000005</v>
      </c>
      <c r="G17" s="12">
        <v>320.57326985999993</v>
      </c>
      <c r="H17" s="12">
        <v>289.20999999999998</v>
      </c>
      <c r="I17" s="12">
        <v>280.935</v>
      </c>
      <c r="J17" s="12">
        <v>269.98002735999995</v>
      </c>
      <c r="K17" s="12">
        <v>502.84552206999996</v>
      </c>
      <c r="L17" s="12">
        <v>514.90464108000003</v>
      </c>
      <c r="M17" s="12">
        <v>202.03686624000002</v>
      </c>
      <c r="N17" s="12">
        <v>268.12058993999995</v>
      </c>
      <c r="O17" s="12">
        <v>271.03190063</v>
      </c>
      <c r="P17" s="12">
        <v>278.12727102000008</v>
      </c>
      <c r="Q17" s="12">
        <v>304.82900684999998</v>
      </c>
      <c r="R17" s="12">
        <v>309.43706005000007</v>
      </c>
      <c r="S17" s="12">
        <v>371.98281842</v>
      </c>
      <c r="T17" s="12">
        <v>381.46224153000009</v>
      </c>
      <c r="U17" s="12">
        <v>382.43419457999988</v>
      </c>
      <c r="V17" s="12">
        <v>471.56694812999996</v>
      </c>
      <c r="W17" s="12">
        <v>723.88032492999946</v>
      </c>
    </row>
    <row r="18" spans="2:23" ht="15" customHeight="1" x14ac:dyDescent="0.25">
      <c r="C18" s="75" t="s">
        <v>150</v>
      </c>
      <c r="D18" s="75"/>
      <c r="E18" s="75" t="s">
        <v>150</v>
      </c>
      <c r="F18" s="12">
        <v>295.84460705999999</v>
      </c>
      <c r="G18" s="12">
        <v>267.04116418000007</v>
      </c>
      <c r="H18" s="12">
        <v>141.352</v>
      </c>
      <c r="I18" s="12">
        <v>182.59800000000001</v>
      </c>
      <c r="J18" s="12">
        <v>114.53130017000001</v>
      </c>
      <c r="K18" s="12">
        <v>115.54124867000002</v>
      </c>
      <c r="L18" s="12">
        <v>139.85646672999999</v>
      </c>
      <c r="M18" s="12">
        <v>322.88037044999999</v>
      </c>
      <c r="N18" s="12">
        <v>332.08587704000007</v>
      </c>
      <c r="O18" s="12">
        <v>180.00112490000001</v>
      </c>
      <c r="P18" s="12">
        <v>210.74787251000001</v>
      </c>
      <c r="Q18" s="12">
        <v>150.11078499999999</v>
      </c>
      <c r="R18" s="12">
        <v>157.83141249999997</v>
      </c>
      <c r="S18" s="12">
        <v>179.87274573000002</v>
      </c>
      <c r="T18" s="12">
        <v>143.10726172999998</v>
      </c>
      <c r="U18" s="12">
        <v>519.32416455000021</v>
      </c>
      <c r="V18" s="12">
        <v>147.22880040999999</v>
      </c>
      <c r="W18" s="12">
        <v>160.15905782999999</v>
      </c>
    </row>
    <row r="19" spans="2:23" ht="15" customHeight="1" x14ac:dyDescent="0.25">
      <c r="C19" s="75" t="s">
        <v>151</v>
      </c>
      <c r="D19" s="75"/>
      <c r="E19" s="75" t="s">
        <v>151</v>
      </c>
      <c r="F19" s="12">
        <v>43.4106466</v>
      </c>
      <c r="G19" s="12">
        <v>42.654991489999993</v>
      </c>
      <c r="H19" s="12">
        <v>158.643</v>
      </c>
      <c r="I19" s="12">
        <v>107.449</v>
      </c>
      <c r="J19" s="12">
        <v>199.13189313999999</v>
      </c>
      <c r="K19" s="12">
        <v>99.018078820000014</v>
      </c>
      <c r="L19" s="12">
        <v>54.330509380000002</v>
      </c>
      <c r="M19" s="12">
        <v>136.26234740000001</v>
      </c>
      <c r="N19" s="12">
        <v>120.24751423999999</v>
      </c>
      <c r="O19" s="12">
        <v>243.54845849</v>
      </c>
      <c r="P19" s="12">
        <v>154.70208405</v>
      </c>
      <c r="Q19" s="12">
        <v>59.876340419999991</v>
      </c>
      <c r="R19" s="12">
        <v>59.737455610000005</v>
      </c>
      <c r="S19" s="12">
        <v>64.916052589999993</v>
      </c>
      <c r="T19" s="12">
        <v>91.657211240000024</v>
      </c>
      <c r="U19" s="12">
        <v>112.68187978</v>
      </c>
      <c r="V19" s="12">
        <v>87.758111909999997</v>
      </c>
      <c r="W19" s="12">
        <v>97.233112919999982</v>
      </c>
    </row>
    <row r="20" spans="2:23" ht="15" customHeight="1" x14ac:dyDescent="0.25">
      <c r="C20" s="75" t="s">
        <v>152</v>
      </c>
      <c r="D20" s="75"/>
      <c r="E20" s="75" t="s">
        <v>152</v>
      </c>
      <c r="F20" s="12">
        <v>47.085909140000012</v>
      </c>
      <c r="G20" s="12">
        <v>58.969200330000007</v>
      </c>
      <c r="H20" s="12">
        <v>40.888000000000005</v>
      </c>
      <c r="I20" s="12">
        <v>69.793999999999997</v>
      </c>
      <c r="J20" s="12">
        <v>71.546722080000009</v>
      </c>
      <c r="K20" s="12">
        <v>177.23692637000002</v>
      </c>
      <c r="L20" s="12">
        <v>97.597742389999993</v>
      </c>
      <c r="M20" s="12">
        <v>108.49735803999999</v>
      </c>
      <c r="N20" s="12">
        <v>97.631193330000002</v>
      </c>
      <c r="O20" s="12">
        <v>88.84370075999999</v>
      </c>
      <c r="P20" s="12">
        <v>89.028756159999986</v>
      </c>
      <c r="Q20" s="12">
        <v>69.732965229999991</v>
      </c>
      <c r="R20" s="12">
        <v>70.398906879999998</v>
      </c>
      <c r="S20" s="12">
        <v>73.570927900000001</v>
      </c>
      <c r="T20" s="12">
        <v>83.677978499999995</v>
      </c>
      <c r="U20" s="12">
        <v>87.812836539999992</v>
      </c>
      <c r="V20" s="12">
        <v>489.10210251000007</v>
      </c>
      <c r="W20" s="12">
        <v>482.53915301000012</v>
      </c>
    </row>
    <row r="21" spans="2:23" ht="15" customHeight="1" x14ac:dyDescent="0.25">
      <c r="C21" s="75" t="s">
        <v>153</v>
      </c>
      <c r="D21" s="75"/>
      <c r="E21" s="75" t="s">
        <v>153</v>
      </c>
      <c r="F21" s="12">
        <v>51.321284749999997</v>
      </c>
      <c r="G21" s="12">
        <v>59.664686400000001</v>
      </c>
      <c r="H21" s="12">
        <v>73.619</v>
      </c>
      <c r="I21" s="12">
        <v>84.299522479999993</v>
      </c>
      <c r="J21" s="12">
        <v>76.437464559999995</v>
      </c>
      <c r="K21" s="12">
        <v>83.897450390000003</v>
      </c>
      <c r="L21" s="12">
        <v>200.56952791999998</v>
      </c>
      <c r="M21" s="12">
        <v>150.27369535</v>
      </c>
      <c r="N21" s="12">
        <v>138.55867004000001</v>
      </c>
      <c r="O21" s="12">
        <v>165.80217417</v>
      </c>
      <c r="P21" s="12">
        <v>241.39223817000001</v>
      </c>
      <c r="Q21" s="12">
        <v>356.68276397</v>
      </c>
      <c r="R21" s="12">
        <v>264.94299419999999</v>
      </c>
      <c r="S21" s="12">
        <v>115.32206162000001</v>
      </c>
      <c r="T21" s="12">
        <v>124.19406504000001</v>
      </c>
      <c r="U21" s="12">
        <v>164.92046851999999</v>
      </c>
      <c r="V21" s="12">
        <v>132.32845574000001</v>
      </c>
      <c r="W21" s="12">
        <v>120.85722473</v>
      </c>
    </row>
    <row r="22" spans="2:23" s="1" customFormat="1" ht="15" customHeight="1" x14ac:dyDescent="0.25">
      <c r="B22" s="189"/>
      <c r="C22" s="189" t="s">
        <v>221</v>
      </c>
      <c r="D22" s="189"/>
      <c r="E22" s="189" t="s">
        <v>221</v>
      </c>
      <c r="F22" s="191">
        <f t="shared" ref="F22:U22" si="0">SUM(F13:F21)</f>
        <v>13064.803786129993</v>
      </c>
      <c r="G22" s="191">
        <f t="shared" si="0"/>
        <v>13633.243013570011</v>
      </c>
      <c r="H22" s="191">
        <f t="shared" si="0"/>
        <v>15191.771000000001</v>
      </c>
      <c r="I22" s="191">
        <f t="shared" si="0"/>
        <v>17199.333211150017</v>
      </c>
      <c r="J22" s="191">
        <f t="shared" si="0"/>
        <v>17856.635476170013</v>
      </c>
      <c r="K22" s="191">
        <f t="shared" si="0"/>
        <v>18218.736355139998</v>
      </c>
      <c r="L22" s="191">
        <f t="shared" si="0"/>
        <v>19231.243380690004</v>
      </c>
      <c r="M22" s="191">
        <f t="shared" si="0"/>
        <v>20940.265563299989</v>
      </c>
      <c r="N22" s="191">
        <f t="shared" si="0"/>
        <v>21471.592873030004</v>
      </c>
      <c r="O22" s="191">
        <f t="shared" si="0"/>
        <v>20867.092370261165</v>
      </c>
      <c r="P22" s="191">
        <f t="shared" si="0"/>
        <v>21904.832445849996</v>
      </c>
      <c r="Q22" s="191">
        <f t="shared" si="0"/>
        <v>23253.197781800009</v>
      </c>
      <c r="R22" s="191">
        <f t="shared" si="0"/>
        <v>23064.370546020004</v>
      </c>
      <c r="S22" s="191">
        <f t="shared" si="0"/>
        <v>24329.879952040013</v>
      </c>
      <c r="T22" s="191">
        <f t="shared" si="0"/>
        <v>25636.149733079979</v>
      </c>
      <c r="U22" s="191">
        <f t="shared" si="0"/>
        <v>25769.868305119984</v>
      </c>
      <c r="V22" s="191">
        <f>SUM(V13:V21)</f>
        <v>24062.788684970044</v>
      </c>
      <c r="W22" s="191">
        <f>SUM(W13:W21)</f>
        <v>23493.116680740011</v>
      </c>
    </row>
    <row r="23" spans="2:23" ht="15" customHeight="1" x14ac:dyDescent="0.25">
      <c r="F23" s="122"/>
      <c r="G23" s="122"/>
      <c r="H23" s="122"/>
      <c r="I23" s="122"/>
      <c r="J23" s="122"/>
      <c r="K23" s="122"/>
      <c r="L23" s="122"/>
      <c r="M23" s="122"/>
      <c r="N23" s="122"/>
      <c r="O23" s="122"/>
      <c r="P23" s="122"/>
      <c r="Q23" s="122"/>
      <c r="R23" s="122"/>
      <c r="S23" s="122"/>
      <c r="T23" s="122"/>
      <c r="U23" s="122"/>
      <c r="V23" s="122"/>
    </row>
    <row r="24" spans="2:23" ht="15" customHeight="1" x14ac:dyDescent="0.25">
      <c r="B24" s="141" t="s">
        <v>280</v>
      </c>
      <c r="C24" s="52"/>
      <c r="D24" s="52"/>
      <c r="E24" s="141" t="s">
        <v>702</v>
      </c>
    </row>
    <row r="25" spans="2:23" ht="5.0999999999999996" customHeight="1" x14ac:dyDescent="0.25">
      <c r="B25" s="141"/>
      <c r="C25" s="52"/>
      <c r="D25" s="52"/>
      <c r="E25" s="141"/>
    </row>
    <row r="26" spans="2:23" ht="15" customHeight="1" x14ac:dyDescent="0.25">
      <c r="C26" s="75" t="s">
        <v>379</v>
      </c>
      <c r="D26" s="75"/>
      <c r="E26" s="75" t="s">
        <v>379</v>
      </c>
      <c r="F26" s="33">
        <f xml:space="preserve"> SUM( F13:F16)</f>
        <v>12361.431685809994</v>
      </c>
      <c r="G26" s="33">
        <f t="shared" ref="G26:Q26" si="1" xml:space="preserve"> SUM( G13:G16)</f>
        <v>12884.339701310009</v>
      </c>
      <c r="H26" s="33">
        <f t="shared" si="1"/>
        <v>14488.058999999999</v>
      </c>
      <c r="I26" s="33">
        <f t="shared" si="1"/>
        <v>16474.257688670012</v>
      </c>
      <c r="J26" s="33">
        <f t="shared" si="1"/>
        <v>17125.008068860014</v>
      </c>
      <c r="K26" s="33">
        <f t="shared" si="1"/>
        <v>17240.197128819997</v>
      </c>
      <c r="L26" s="33">
        <f t="shared" si="1"/>
        <v>18223.984493190001</v>
      </c>
      <c r="M26" s="33">
        <f t="shared" si="1"/>
        <v>20020.314925819992</v>
      </c>
      <c r="N26" s="33">
        <f t="shared" si="1"/>
        <v>20514.949028440002</v>
      </c>
      <c r="O26" s="33">
        <f t="shared" si="1"/>
        <v>19917.865011311162</v>
      </c>
      <c r="P26" s="33">
        <f t="shared" si="1"/>
        <v>20930.834223939994</v>
      </c>
      <c r="Q26" s="33">
        <f t="shared" si="1"/>
        <v>22311.965920330011</v>
      </c>
      <c r="R26" s="33">
        <f t="shared" ref="R26" si="2" xml:space="preserve"> SUM( R13:R16)</f>
        <v>22202.022716780004</v>
      </c>
      <c r="S26" s="33">
        <f xml:space="preserve"> SUM( S13:S16)</f>
        <v>23524.215345780009</v>
      </c>
      <c r="T26" s="33">
        <f xml:space="preserve"> SUM( T13:T16)</f>
        <v>24812.05097503998</v>
      </c>
      <c r="U26" s="33">
        <f xml:space="preserve"> SUM( U13:U16)</f>
        <v>24502.694761149985</v>
      </c>
      <c r="V26" s="33">
        <f xml:space="preserve"> SUM( V13:V16)</f>
        <v>22734.804266270043</v>
      </c>
      <c r="W26" s="33">
        <f xml:space="preserve"> SUM( W13:W16)</f>
        <v>21908.447807320015</v>
      </c>
    </row>
    <row r="27" spans="2:23" ht="15" customHeight="1" x14ac:dyDescent="0.25">
      <c r="C27" s="75" t="s">
        <v>380</v>
      </c>
      <c r="D27" s="75"/>
      <c r="E27" s="75" t="s">
        <v>380</v>
      </c>
      <c r="F27" s="33">
        <f xml:space="preserve"> SUM( F17:F21)</f>
        <v>703.37210032000007</v>
      </c>
      <c r="G27" s="33">
        <f t="shared" ref="G27:Q27" si="3" xml:space="preserve"> SUM( G17:G21)</f>
        <v>748.90331226000012</v>
      </c>
      <c r="H27" s="33">
        <f t="shared" si="3"/>
        <v>703.7120000000001</v>
      </c>
      <c r="I27" s="33">
        <f t="shared" si="3"/>
        <v>725.0755224799999</v>
      </c>
      <c r="J27" s="33">
        <f t="shared" si="3"/>
        <v>731.62740730999985</v>
      </c>
      <c r="K27" s="33">
        <f t="shared" si="3"/>
        <v>978.53922632000001</v>
      </c>
      <c r="L27" s="33">
        <f t="shared" si="3"/>
        <v>1007.2588874999999</v>
      </c>
      <c r="M27" s="33">
        <f t="shared" si="3"/>
        <v>919.95063747999995</v>
      </c>
      <c r="N27" s="33">
        <f t="shared" si="3"/>
        <v>956.64384458999996</v>
      </c>
      <c r="O27" s="33">
        <f t="shared" si="3"/>
        <v>949.22735895000005</v>
      </c>
      <c r="P27" s="33">
        <f t="shared" si="3"/>
        <v>973.99822190999998</v>
      </c>
      <c r="Q27" s="33">
        <f t="shared" si="3"/>
        <v>941.23186147000001</v>
      </c>
      <c r="R27" s="33">
        <f t="shared" ref="R27" si="4" xml:space="preserve"> SUM( R17:R21)</f>
        <v>862.34782924000001</v>
      </c>
      <c r="S27" s="33">
        <f xml:space="preserve"> SUM( S17:S21)</f>
        <v>805.66460625999991</v>
      </c>
      <c r="T27" s="33">
        <f xml:space="preserve"> SUM( T17:T21)</f>
        <v>824.09875804000012</v>
      </c>
      <c r="U27" s="33">
        <f xml:space="preserve"> SUM( U17:U21)</f>
        <v>1267.1735439700001</v>
      </c>
      <c r="V27" s="33">
        <f xml:space="preserve"> SUM( V17:V21)</f>
        <v>1327.9844187000001</v>
      </c>
      <c r="W27" s="33">
        <f xml:space="preserve"> SUM( W17:W21)</f>
        <v>1584.6688734199995</v>
      </c>
    </row>
    <row r="28" spans="2:23" ht="15" customHeight="1" x14ac:dyDescent="0.25">
      <c r="F28" s="122"/>
      <c r="G28" s="122"/>
      <c r="H28" s="122"/>
      <c r="I28" s="122"/>
      <c r="J28" s="122"/>
      <c r="K28" s="122"/>
      <c r="L28" s="122"/>
      <c r="M28" s="122"/>
      <c r="N28" s="122"/>
      <c r="O28" s="122"/>
      <c r="P28" s="122"/>
      <c r="Q28" s="122"/>
      <c r="R28" s="122"/>
      <c r="S28" s="122"/>
      <c r="T28" s="122"/>
      <c r="U28" s="122"/>
      <c r="V28" s="122"/>
      <c r="W28" s="122"/>
    </row>
    <row r="29" spans="2:23" ht="15" customHeight="1" x14ac:dyDescent="0.25">
      <c r="B29" s="144" t="s">
        <v>381</v>
      </c>
      <c r="C29" s="133"/>
      <c r="D29" s="133"/>
      <c r="E29" s="144" t="s">
        <v>670</v>
      </c>
    </row>
    <row r="30" spans="2:23" ht="5.0999999999999996" customHeight="1" x14ac:dyDescent="0.25">
      <c r="B30" s="144"/>
      <c r="C30" s="133"/>
      <c r="D30" s="133"/>
      <c r="E30" s="144"/>
    </row>
    <row r="31" spans="2:23" ht="15" customHeight="1" x14ac:dyDescent="0.25">
      <c r="C31" s="75" t="s">
        <v>379</v>
      </c>
      <c r="D31" s="75"/>
      <c r="E31" s="75" t="s">
        <v>379</v>
      </c>
      <c r="F31" s="120">
        <f t="shared" ref="F31:Q31" si="5" xml:space="preserve"> F26 / F$22</f>
        <v>0.94616282710141264</v>
      </c>
      <c r="G31" s="120">
        <f t="shared" si="5"/>
        <v>0.94506785278348138</v>
      </c>
      <c r="H31" s="120">
        <f t="shared" si="5"/>
        <v>0.95367808006058008</v>
      </c>
      <c r="I31" s="120">
        <f t="shared" si="5"/>
        <v>0.95784281206843813</v>
      </c>
      <c r="J31" s="120">
        <f t="shared" si="5"/>
        <v>0.9590277010310051</v>
      </c>
      <c r="K31" s="120">
        <f t="shared" si="5"/>
        <v>0.94628940189674959</v>
      </c>
      <c r="L31" s="120">
        <f t="shared" si="5"/>
        <v>0.94762382922617538</v>
      </c>
      <c r="M31" s="120">
        <f t="shared" si="5"/>
        <v>0.95606786195241444</v>
      </c>
      <c r="N31" s="120">
        <f t="shared" si="5"/>
        <v>0.95544607005884408</v>
      </c>
      <c r="O31" s="120">
        <f t="shared" si="5"/>
        <v>0.95451079900797298</v>
      </c>
      <c r="P31" s="120">
        <f t="shared" si="5"/>
        <v>0.95553500697538862</v>
      </c>
      <c r="Q31" s="120">
        <f t="shared" si="5"/>
        <v>0.9595224764222885</v>
      </c>
      <c r="R31" s="120">
        <f t="shared" ref="R31:T31" si="6" xml:space="preserve"> R26 / R$22</f>
        <v>0.96261125672086434</v>
      </c>
      <c r="S31" s="120">
        <f t="shared" si="6"/>
        <v>0.96688579607264147</v>
      </c>
      <c r="T31" s="120">
        <f t="shared" si="6"/>
        <v>0.9678540355466636</v>
      </c>
      <c r="U31" s="120">
        <f t="shared" ref="U31:V31" si="7" xml:space="preserve"> U26 / U$22</f>
        <v>0.95082731782070318</v>
      </c>
      <c r="V31" s="120">
        <f t="shared" si="7"/>
        <v>0.9448116992553951</v>
      </c>
      <c r="W31" s="120">
        <f t="shared" ref="W31" si="8" xml:space="preserve"> W26 / W$22</f>
        <v>0.93254752466627255</v>
      </c>
    </row>
    <row r="32" spans="2:23" ht="15" customHeight="1" x14ac:dyDescent="0.25">
      <c r="C32" s="75" t="s">
        <v>380</v>
      </c>
      <c r="D32" s="75"/>
      <c r="E32" s="75" t="s">
        <v>380</v>
      </c>
      <c r="F32" s="120">
        <f t="shared" ref="F32:Q32" si="9" xml:space="preserve"> F27 / F$22</f>
        <v>5.3837172898587429E-2</v>
      </c>
      <c r="G32" s="120">
        <f t="shared" si="9"/>
        <v>5.4932147216518498E-2</v>
      </c>
      <c r="H32" s="120">
        <f t="shared" si="9"/>
        <v>4.6321919939419837E-2</v>
      </c>
      <c r="I32" s="120">
        <f t="shared" si="9"/>
        <v>4.215718793156159E-2</v>
      </c>
      <c r="J32" s="120">
        <f t="shared" si="9"/>
        <v>4.0972298968994986E-2</v>
      </c>
      <c r="K32" s="120">
        <f t="shared" si="9"/>
        <v>5.3710598103250323E-2</v>
      </c>
      <c r="L32" s="120">
        <f t="shared" si="9"/>
        <v>5.2376170773824407E-2</v>
      </c>
      <c r="M32" s="120">
        <f t="shared" si="9"/>
        <v>4.3932138047585695E-2</v>
      </c>
      <c r="N32" s="120">
        <f t="shared" si="9"/>
        <v>4.4553929941155847E-2</v>
      </c>
      <c r="O32" s="120">
        <f t="shared" si="9"/>
        <v>4.548920099202685E-2</v>
      </c>
      <c r="P32" s="120">
        <f t="shared" si="9"/>
        <v>4.4464993024611328E-2</v>
      </c>
      <c r="Q32" s="120">
        <f t="shared" si="9"/>
        <v>4.0477523577711561E-2</v>
      </c>
      <c r="R32" s="120">
        <f t="shared" ref="R32:T32" si="10" xml:space="preserve"> R27 / R$22</f>
        <v>3.7388743279135668E-2</v>
      </c>
      <c r="S32" s="120">
        <f t="shared" si="10"/>
        <v>3.3114203927358324E-2</v>
      </c>
      <c r="T32" s="120">
        <f t="shared" si="10"/>
        <v>3.2145964453336465E-2</v>
      </c>
      <c r="U32" s="120">
        <f t="shared" ref="U32:V32" si="11" xml:space="preserve"> U27 / U$22</f>
        <v>4.9172682179296844E-2</v>
      </c>
      <c r="V32" s="120">
        <f t="shared" si="11"/>
        <v>5.5188300744604797E-2</v>
      </c>
      <c r="W32" s="120">
        <f t="shared" ref="W32" si="12" xml:space="preserve"> W27 / W$22</f>
        <v>6.7452475333727571E-2</v>
      </c>
    </row>
    <row r="33" spans="2:23" ht="15" customHeight="1" x14ac:dyDescent="0.25"/>
    <row r="34" spans="2:23" ht="15" customHeight="1" x14ac:dyDescent="0.25"/>
    <row r="35" spans="2:23" ht="15" customHeight="1" x14ac:dyDescent="0.25">
      <c r="B35" s="148" t="s">
        <v>382</v>
      </c>
      <c r="C35" s="169"/>
      <c r="D35" s="169"/>
      <c r="E35" s="148" t="s">
        <v>703</v>
      </c>
      <c r="F35" s="188"/>
      <c r="G35" s="188"/>
      <c r="H35" s="188"/>
      <c r="I35" s="188"/>
      <c r="J35" s="188"/>
      <c r="K35" s="188"/>
      <c r="L35" s="188"/>
      <c r="M35" s="188"/>
      <c r="N35" s="188"/>
      <c r="O35" s="188"/>
      <c r="P35" s="188"/>
      <c r="Q35" s="188"/>
      <c r="R35" s="188"/>
      <c r="S35" s="188"/>
      <c r="T35" s="188"/>
      <c r="U35" s="188"/>
      <c r="V35" s="188"/>
      <c r="W35" s="188"/>
    </row>
    <row r="36" spans="2:23" ht="15" customHeight="1" x14ac:dyDescent="0.25">
      <c r="B36" s="141"/>
      <c r="C36" s="52"/>
      <c r="D36" s="52"/>
      <c r="E36" s="52"/>
      <c r="F36" s="33"/>
      <c r="G36" s="33"/>
      <c r="H36" s="33"/>
      <c r="I36" s="33"/>
      <c r="J36" s="33"/>
      <c r="K36" s="33"/>
      <c r="L36" s="33"/>
      <c r="M36" s="33"/>
      <c r="N36" s="33"/>
      <c r="O36" s="33"/>
      <c r="P36" s="33"/>
      <c r="Q36" s="33"/>
      <c r="R36" s="33"/>
      <c r="S36" s="33"/>
      <c r="T36" s="33"/>
      <c r="U36" s="33"/>
      <c r="V36" s="33"/>
      <c r="W36" s="33"/>
    </row>
    <row r="37" spans="2:23" ht="15" customHeight="1" x14ac:dyDescent="0.25">
      <c r="C37" s="75" t="s">
        <v>145</v>
      </c>
      <c r="D37" s="75"/>
      <c r="E37" s="75" t="s">
        <v>145</v>
      </c>
      <c r="F37" s="12"/>
      <c r="G37" s="12"/>
      <c r="H37" s="12"/>
      <c r="I37" s="12"/>
      <c r="J37" s="12"/>
      <c r="K37" s="12"/>
      <c r="L37" s="12"/>
      <c r="M37" s="12"/>
      <c r="N37" s="237"/>
      <c r="O37" s="237"/>
      <c r="P37" s="237"/>
      <c r="Q37" s="237"/>
      <c r="R37" s="237"/>
      <c r="S37" s="12">
        <v>2.7389999999999999</v>
      </c>
      <c r="T37" s="12">
        <v>3.1320000000000001</v>
      </c>
      <c r="U37" s="12">
        <v>2.9340000000000002</v>
      </c>
      <c r="V37" s="12">
        <v>21.132999999999999</v>
      </c>
      <c r="W37" s="12">
        <v>20.416</v>
      </c>
    </row>
    <row r="38" spans="2:23" ht="15" customHeight="1" x14ac:dyDescent="0.25">
      <c r="C38" s="75" t="s">
        <v>146</v>
      </c>
      <c r="D38" s="75"/>
      <c r="E38" s="75" t="s">
        <v>146</v>
      </c>
      <c r="F38" s="12"/>
      <c r="G38" s="12"/>
      <c r="H38" s="12"/>
      <c r="I38" s="12"/>
      <c r="J38" s="12"/>
      <c r="K38" s="12"/>
      <c r="L38" s="12"/>
      <c r="M38" s="12"/>
      <c r="N38" s="12">
        <v>39.710753599999997</v>
      </c>
      <c r="O38" s="12">
        <v>37.076999999999998</v>
      </c>
      <c r="P38" s="12">
        <v>39.008000000000003</v>
      </c>
      <c r="Q38" s="12">
        <v>42.371000000000002</v>
      </c>
      <c r="R38" s="12">
        <v>39.523000000000003</v>
      </c>
      <c r="S38" s="12">
        <v>39.182855999999994</v>
      </c>
      <c r="T38" s="12">
        <v>40.344999999999999</v>
      </c>
      <c r="U38" s="12">
        <v>34.218923120150002</v>
      </c>
      <c r="V38" s="12">
        <v>25.302816149999998</v>
      </c>
      <c r="W38" s="12">
        <v>28.562223657250001</v>
      </c>
    </row>
    <row r="39" spans="2:23" ht="15" customHeight="1" x14ac:dyDescent="0.25">
      <c r="C39" s="75" t="s">
        <v>147</v>
      </c>
      <c r="D39" s="75"/>
      <c r="E39" s="75" t="s">
        <v>147</v>
      </c>
      <c r="F39" s="12"/>
      <c r="G39" s="12"/>
      <c r="H39" s="12"/>
      <c r="I39" s="12"/>
      <c r="J39" s="12"/>
      <c r="K39" s="12"/>
      <c r="L39" s="12"/>
      <c r="M39" s="12"/>
      <c r="N39" s="12">
        <v>75.398236981600007</v>
      </c>
      <c r="O39" s="12">
        <v>77.635272735699999</v>
      </c>
      <c r="P39" s="12">
        <v>82.467145701500002</v>
      </c>
      <c r="Q39" s="12">
        <v>83.160737413999982</v>
      </c>
      <c r="R39" s="12">
        <v>81.816896641</v>
      </c>
      <c r="S39" s="12">
        <v>79.89105732809999</v>
      </c>
      <c r="T39" s="12">
        <v>90.006435999999994</v>
      </c>
      <c r="U39" s="12">
        <v>81.129612442400003</v>
      </c>
      <c r="V39" s="12">
        <v>31.513685120000002</v>
      </c>
      <c r="W39" s="12">
        <v>36.213690962200005</v>
      </c>
    </row>
    <row r="40" spans="2:23" ht="15" customHeight="1" x14ac:dyDescent="0.25">
      <c r="C40" s="75" t="s">
        <v>148</v>
      </c>
      <c r="D40" s="75"/>
      <c r="E40" s="75" t="s">
        <v>148</v>
      </c>
      <c r="F40" s="12"/>
      <c r="G40" s="12"/>
      <c r="H40" s="12"/>
      <c r="I40" s="12"/>
      <c r="J40" s="12"/>
      <c r="K40" s="12"/>
      <c r="L40" s="12"/>
      <c r="M40" s="12"/>
      <c r="N40" s="12">
        <v>54.428070399999996</v>
      </c>
      <c r="O40" s="12">
        <v>47.601229599999996</v>
      </c>
      <c r="P40" s="12">
        <v>47.489678240000003</v>
      </c>
      <c r="Q40" s="12">
        <v>53.043522948300001</v>
      </c>
      <c r="R40" s="12">
        <v>54.846929760000002</v>
      </c>
      <c r="S40" s="12">
        <v>66.183798800000005</v>
      </c>
      <c r="T40" s="12">
        <v>77.832904999999997</v>
      </c>
      <c r="U40" s="12">
        <v>92.934527259900008</v>
      </c>
      <c r="V40" s="12">
        <v>64.921941279999999</v>
      </c>
      <c r="W40" s="12">
        <v>62.804899148899999</v>
      </c>
    </row>
    <row r="41" spans="2:23" ht="15" customHeight="1" x14ac:dyDescent="0.25">
      <c r="C41" s="75" t="s">
        <v>149</v>
      </c>
      <c r="D41" s="75"/>
      <c r="E41" s="75" t="s">
        <v>149</v>
      </c>
      <c r="F41" s="12"/>
      <c r="G41" s="12"/>
      <c r="H41" s="12"/>
      <c r="I41" s="12"/>
      <c r="J41" s="12"/>
      <c r="K41" s="12"/>
      <c r="L41" s="12"/>
      <c r="M41" s="12"/>
      <c r="N41" s="12">
        <v>30.853000000000002</v>
      </c>
      <c r="O41" s="12">
        <v>31.181999999999999</v>
      </c>
      <c r="P41" s="12">
        <v>28.834</v>
      </c>
      <c r="Q41" s="12">
        <v>30.482900685000001</v>
      </c>
      <c r="R41" s="12">
        <v>30.943999999999999</v>
      </c>
      <c r="S41" s="12">
        <v>36.249000000000002</v>
      </c>
      <c r="T41" s="12">
        <v>37.350999999999999</v>
      </c>
      <c r="U41" s="12">
        <v>38.749000000000002</v>
      </c>
      <c r="V41" s="12">
        <v>55.795999999999999</v>
      </c>
      <c r="W41" s="12">
        <v>91.411000000000001</v>
      </c>
    </row>
    <row r="42" spans="2:23" ht="15" customHeight="1" x14ac:dyDescent="0.25">
      <c r="C42" s="75" t="s">
        <v>150</v>
      </c>
      <c r="D42" s="75"/>
      <c r="E42" s="75" t="s">
        <v>150</v>
      </c>
      <c r="F42" s="12"/>
      <c r="G42" s="12"/>
      <c r="H42" s="12"/>
      <c r="I42" s="12"/>
      <c r="J42" s="12"/>
      <c r="K42" s="12"/>
      <c r="L42" s="12"/>
      <c r="M42" s="12"/>
      <c r="N42" s="12">
        <v>114.48399999999999</v>
      </c>
      <c r="O42" s="12">
        <v>54.807000000000002</v>
      </c>
      <c r="P42" s="12">
        <v>63.415999999999997</v>
      </c>
      <c r="Q42" s="12">
        <v>45.033000000000001</v>
      </c>
      <c r="R42" s="12">
        <v>47.738999999999997</v>
      </c>
      <c r="S42" s="12">
        <v>54.368000000000002</v>
      </c>
      <c r="T42" s="12">
        <v>43.357999999999997</v>
      </c>
      <c r="U42" s="12">
        <v>155.798</v>
      </c>
      <c r="V42" s="12">
        <v>44.247</v>
      </c>
      <c r="W42" s="12">
        <v>48.728000000000002</v>
      </c>
    </row>
    <row r="43" spans="2:23" ht="15" customHeight="1" x14ac:dyDescent="0.25">
      <c r="C43" s="75" t="s">
        <v>151</v>
      </c>
      <c r="D43" s="75"/>
      <c r="E43" s="75" t="s">
        <v>151</v>
      </c>
      <c r="F43" s="12"/>
      <c r="G43" s="12"/>
      <c r="H43" s="12"/>
      <c r="I43" s="12"/>
      <c r="J43" s="12"/>
      <c r="K43" s="12"/>
      <c r="L43" s="12"/>
      <c r="M43" s="12"/>
      <c r="N43" s="12">
        <v>60.927999999999997</v>
      </c>
      <c r="O43" s="12">
        <v>145.541</v>
      </c>
      <c r="P43" s="12">
        <v>87.073999999999998</v>
      </c>
      <c r="Q43" s="12">
        <v>29.937999999999999</v>
      </c>
      <c r="R43" s="12">
        <v>29.869</v>
      </c>
      <c r="S43" s="12">
        <v>32.457999999999998</v>
      </c>
      <c r="T43" s="12">
        <v>42.829000000000001</v>
      </c>
      <c r="U43" s="12">
        <v>56.341000000000001</v>
      </c>
      <c r="V43" s="12">
        <v>43.878999999999998</v>
      </c>
      <c r="W43" s="12">
        <v>48.616999999999997</v>
      </c>
    </row>
    <row r="44" spans="2:23" ht="15" customHeight="1" x14ac:dyDescent="0.25">
      <c r="C44" s="75" t="s">
        <v>152</v>
      </c>
      <c r="D44" s="75"/>
      <c r="E44" s="75" t="s">
        <v>152</v>
      </c>
      <c r="F44" s="12"/>
      <c r="G44" s="12"/>
      <c r="H44" s="12"/>
      <c r="I44" s="12"/>
      <c r="J44" s="12"/>
      <c r="K44" s="12"/>
      <c r="L44" s="12"/>
      <c r="M44" s="12"/>
      <c r="N44" s="12">
        <v>68.341999999999999</v>
      </c>
      <c r="O44" s="12">
        <v>64.37</v>
      </c>
      <c r="P44" s="12">
        <v>64.534000000000006</v>
      </c>
      <c r="Q44" s="12">
        <v>48.813000000000002</v>
      </c>
      <c r="R44" s="12">
        <v>49.279000000000003</v>
      </c>
      <c r="S44" s="12">
        <v>51.5</v>
      </c>
      <c r="T44" s="12">
        <v>58.573999999999998</v>
      </c>
      <c r="U44" s="12">
        <v>61.469000000000001</v>
      </c>
      <c r="V44" s="12">
        <v>342.37099999999998</v>
      </c>
      <c r="W44" s="12">
        <v>337.77699999999999</v>
      </c>
    </row>
    <row r="45" spans="2:23" ht="15" customHeight="1" x14ac:dyDescent="0.25">
      <c r="C45" s="75" t="s">
        <v>153</v>
      </c>
      <c r="D45" s="75"/>
      <c r="E45" s="75" t="s">
        <v>153</v>
      </c>
      <c r="F45" s="12"/>
      <c r="G45" s="12"/>
      <c r="H45" s="12"/>
      <c r="I45" s="12"/>
      <c r="J45" s="12"/>
      <c r="K45" s="12"/>
      <c r="L45" s="12"/>
      <c r="M45" s="12"/>
      <c r="N45" s="12">
        <v>138.559</v>
      </c>
      <c r="O45" s="12">
        <v>165.80199999999999</v>
      </c>
      <c r="P45" s="12">
        <v>241.392</v>
      </c>
      <c r="Q45" s="12">
        <v>356.68299999999999</v>
      </c>
      <c r="R45" s="12">
        <v>264.94299999999998</v>
      </c>
      <c r="S45" s="12">
        <v>115.322</v>
      </c>
      <c r="T45" s="12">
        <v>124.194</v>
      </c>
      <c r="U45" s="12">
        <v>164.92</v>
      </c>
      <c r="V45" s="12">
        <v>132.328</v>
      </c>
      <c r="W45" s="12">
        <v>120.857</v>
      </c>
    </row>
    <row r="46" spans="2:23" ht="15" customHeight="1" x14ac:dyDescent="0.25">
      <c r="C46" s="75" t="s">
        <v>832</v>
      </c>
      <c r="D46" s="75"/>
      <c r="E46" s="75" t="s">
        <v>833</v>
      </c>
      <c r="F46" s="12"/>
      <c r="G46" s="12"/>
      <c r="H46" s="12"/>
      <c r="I46" s="12"/>
      <c r="J46" s="12"/>
      <c r="K46" s="12"/>
      <c r="L46" s="12"/>
      <c r="M46" s="12"/>
      <c r="N46" s="12">
        <v>38.5</v>
      </c>
      <c r="O46" s="12">
        <v>33.392000000000003</v>
      </c>
      <c r="P46" s="12">
        <v>37.5</v>
      </c>
      <c r="Q46" s="12">
        <v>34.200000000000003</v>
      </c>
      <c r="R46" s="12">
        <v>50.4</v>
      </c>
      <c r="S46" s="12">
        <v>80.5</v>
      </c>
      <c r="T46" s="12">
        <v>70</v>
      </c>
      <c r="U46" s="12">
        <v>9.5</v>
      </c>
      <c r="V46" s="12">
        <v>0</v>
      </c>
      <c r="W46" s="12">
        <v>0</v>
      </c>
    </row>
    <row r="47" spans="2:23" ht="15" customHeight="1" x14ac:dyDescent="0.25">
      <c r="B47" s="189"/>
      <c r="C47" s="189" t="s">
        <v>221</v>
      </c>
      <c r="D47" s="189"/>
      <c r="E47" s="189" t="s">
        <v>221</v>
      </c>
      <c r="F47" s="190"/>
      <c r="G47" s="191"/>
      <c r="H47" s="191"/>
      <c r="I47" s="191"/>
      <c r="J47" s="191"/>
      <c r="K47" s="191"/>
      <c r="L47" s="191"/>
      <c r="M47" s="191"/>
      <c r="N47" s="191">
        <f>SUM(N37:N46)</f>
        <v>621.20306098159995</v>
      </c>
      <c r="O47" s="191">
        <f t="shared" ref="O47:R47" si="13">SUM(O37:O46)</f>
        <v>657.40750233569997</v>
      </c>
      <c r="P47" s="191">
        <f t="shared" si="13"/>
        <v>691.71482394150007</v>
      </c>
      <c r="Q47" s="191">
        <f t="shared" si="13"/>
        <v>723.72516104729993</v>
      </c>
      <c r="R47" s="191">
        <f t="shared" si="13"/>
        <v>649.36082640099994</v>
      </c>
      <c r="S47" s="191">
        <f>SUM(S37:S46)</f>
        <v>558.39371212809999</v>
      </c>
      <c r="T47" s="191">
        <f>SUM(T37:T46)</f>
        <v>587.62234100000001</v>
      </c>
      <c r="U47" s="191">
        <f>SUM(U37:U46)</f>
        <v>697.99406282245002</v>
      </c>
      <c r="V47" s="191">
        <f>SUM(V37:V46)</f>
        <v>761.49244254999996</v>
      </c>
      <c r="W47" s="191">
        <f>SUM(W37:W46)</f>
        <v>795.38681376834995</v>
      </c>
    </row>
    <row r="48" spans="2:23" ht="15" customHeight="1" x14ac:dyDescent="0.25"/>
    <row r="49" spans="19:19" ht="15" customHeight="1" x14ac:dyDescent="0.25">
      <c r="S49" s="238"/>
    </row>
    <row r="50" spans="19:19" ht="15" customHeight="1" x14ac:dyDescent="0.25"/>
  </sheetData>
  <phoneticPr fontId="34" type="noConversion"/>
  <hyperlinks>
    <hyperlink ref="F6" location="'Índice - Index'!A1" display="Index" xr:uid="{897649D2-812A-441D-A252-C0E9480AEC93}"/>
    <hyperlink ref="W6" location="'Índice - Index'!A1" display="Index" xr:uid="{F394D500-8F0D-493B-AC17-F1F9B0388FFB}"/>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M26:S27 T26:T27 U26:U28 F26:K27 L26:L27 V26:V27 W26:W27" formulaRange="1"/>
    <ignoredError sqref="W31:W32"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45F8-116A-4AB3-ADDF-409B6B72551E}">
  <sheetPr codeName="Planilha11">
    <tabColor theme="3" tint="0.39997558519241921"/>
    <pageSetUpPr autoPageBreaks="0"/>
  </sheetPr>
  <dimension ref="B2:P92"/>
  <sheetViews>
    <sheetView showGridLines="0" zoomScale="80" zoomScaleNormal="80" workbookViewId="0">
      <pane xSplit="5" ySplit="9" topLeftCell="K10" activePane="bottomRight" state="frozen"/>
      <selection activeCell="D1" sqref="D1"/>
      <selection pane="topRight" activeCell="D1" sqref="D1"/>
      <selection pane="bottomLeft" activeCell="D1" sqref="D1"/>
      <selection pane="bottomRight" activeCell="O9" sqref="O9"/>
    </sheetView>
  </sheetViews>
  <sheetFormatPr defaultColWidth="12" defaultRowHeight="15" outlineLevelCol="1" x14ac:dyDescent="0.25"/>
  <cols>
    <col min="1" max="1" width="2.7109375" customWidth="1"/>
    <col min="2" max="2" width="1.7109375" customWidth="1" outlineLevel="1"/>
    <col min="3" max="3" width="45.7109375" customWidth="1" outlineLevel="1"/>
    <col min="4" max="4" width="1.7109375" customWidth="1"/>
    <col min="5" max="5" width="40.7109375" customWidth="1" outlineLevel="1"/>
    <col min="6" max="10" width="11.7109375" customWidth="1"/>
    <col min="12" max="13" width="11.7109375" customWidth="1"/>
    <col min="16" max="16" width="13.42578125" bestFit="1" customWidth="1"/>
  </cols>
  <sheetData>
    <row r="2" spans="2:15" x14ac:dyDescent="0.25">
      <c r="B2" t="s">
        <v>429</v>
      </c>
    </row>
    <row r="3" spans="2:15" ht="21" x14ac:dyDescent="0.35">
      <c r="C3" s="4"/>
      <c r="D3" s="4"/>
      <c r="E3" s="4"/>
    </row>
    <row r="4" spans="2:15" ht="15" customHeight="1" x14ac:dyDescent="0.25">
      <c r="C4" s="3"/>
      <c r="D4" s="3"/>
      <c r="E4" s="3"/>
    </row>
    <row r="5" spans="2:15" x14ac:dyDescent="0.25">
      <c r="C5" s="2"/>
      <c r="D5" s="2"/>
      <c r="E5" s="2"/>
    </row>
    <row r="6" spans="2:15" x14ac:dyDescent="0.25">
      <c r="F6" s="6"/>
      <c r="O6" s="252" t="s">
        <v>486</v>
      </c>
    </row>
    <row r="7" spans="2:15" ht="18.75" x14ac:dyDescent="0.3">
      <c r="B7" s="40" t="s">
        <v>401</v>
      </c>
      <c r="C7" s="40"/>
      <c r="D7" s="40"/>
      <c r="E7" s="40" t="s">
        <v>798</v>
      </c>
    </row>
    <row r="8" spans="2:15" ht="18.75" x14ac:dyDescent="0.25">
      <c r="B8" s="215" t="s">
        <v>434</v>
      </c>
      <c r="C8" s="216"/>
      <c r="D8" s="216"/>
      <c r="E8" s="215" t="s">
        <v>435</v>
      </c>
      <c r="F8" s="218" t="s">
        <v>322</v>
      </c>
      <c r="G8" s="218" t="s">
        <v>329</v>
      </c>
      <c r="H8" s="218" t="s">
        <v>513</v>
      </c>
      <c r="I8" s="218" t="s">
        <v>514</v>
      </c>
      <c r="J8" s="218" t="s">
        <v>430</v>
      </c>
      <c r="K8" s="218" t="s">
        <v>827</v>
      </c>
      <c r="L8" s="218" t="s">
        <v>845</v>
      </c>
      <c r="M8" s="218" t="s">
        <v>851</v>
      </c>
      <c r="N8" s="218" t="s">
        <v>855</v>
      </c>
      <c r="O8" s="218" t="s">
        <v>862</v>
      </c>
    </row>
    <row r="9" spans="2:15" s="3" customFormat="1" x14ac:dyDescent="0.25">
      <c r="B9" s="154" t="s">
        <v>338</v>
      </c>
      <c r="C9" s="146"/>
      <c r="D9" s="146"/>
      <c r="E9" s="154" t="s">
        <v>433</v>
      </c>
      <c r="F9" s="155" t="s">
        <v>322</v>
      </c>
      <c r="G9" s="155" t="s">
        <v>329</v>
      </c>
      <c r="H9" s="155" t="s">
        <v>331</v>
      </c>
      <c r="I9" s="155" t="s">
        <v>335</v>
      </c>
      <c r="J9" s="155" t="s">
        <v>430</v>
      </c>
      <c r="K9" s="155" t="s">
        <v>827</v>
      </c>
      <c r="L9" s="155" t="s">
        <v>846</v>
      </c>
      <c r="M9" s="218" t="s">
        <v>853</v>
      </c>
      <c r="N9" s="218" t="s">
        <v>855</v>
      </c>
      <c r="O9" s="218" t="s">
        <v>862</v>
      </c>
    </row>
    <row r="10" spans="2:15" ht="15" customHeight="1" x14ac:dyDescent="0.25"/>
    <row r="11" spans="2:15" ht="15" customHeight="1" x14ac:dyDescent="0.25">
      <c r="B11" s="148" t="s">
        <v>383</v>
      </c>
      <c r="C11" s="169"/>
      <c r="D11" s="169"/>
      <c r="E11" s="148" t="s">
        <v>704</v>
      </c>
      <c r="F11" s="192"/>
      <c r="G11" s="192"/>
      <c r="H11" s="192"/>
      <c r="I11" s="192"/>
      <c r="J11" s="192"/>
      <c r="K11" s="192"/>
      <c r="L11" s="192"/>
      <c r="M11" s="192"/>
      <c r="N11" s="192"/>
      <c r="O11" s="192"/>
    </row>
    <row r="12" spans="2:15" ht="15" customHeight="1" x14ac:dyDescent="0.25"/>
    <row r="13" spans="2:15" ht="15" customHeight="1" x14ac:dyDescent="0.25">
      <c r="B13" s="141" t="s">
        <v>280</v>
      </c>
      <c r="C13" s="52"/>
      <c r="D13" s="52"/>
      <c r="E13" s="141" t="s">
        <v>702</v>
      </c>
    </row>
    <row r="14" spans="2:15" ht="5.0999999999999996" customHeight="1" x14ac:dyDescent="0.25">
      <c r="B14" s="141"/>
      <c r="C14" s="52"/>
      <c r="D14" s="52"/>
      <c r="E14" s="141"/>
      <c r="F14" s="134"/>
      <c r="G14" s="134"/>
      <c r="H14" s="134"/>
      <c r="I14" s="134"/>
      <c r="J14" s="134"/>
      <c r="K14" s="134"/>
      <c r="L14" s="134"/>
      <c r="M14" s="134"/>
      <c r="N14" s="134"/>
      <c r="O14" s="134"/>
    </row>
    <row r="15" spans="2:15" ht="15" customHeight="1" x14ac:dyDescent="0.25">
      <c r="C15" s="75" t="s">
        <v>328</v>
      </c>
      <c r="D15" s="75"/>
      <c r="E15" s="75" t="s">
        <v>328</v>
      </c>
      <c r="F15" s="130">
        <v>250.31732521999973</v>
      </c>
      <c r="G15" s="130">
        <v>244.25800098999997</v>
      </c>
      <c r="H15" s="130">
        <v>239.59303319110003</v>
      </c>
      <c r="I15" s="130">
        <v>257.57481703765012</v>
      </c>
      <c r="J15" s="130">
        <v>245.00032287159993</v>
      </c>
      <c r="K15" s="130">
        <v>159.21209121471429</v>
      </c>
      <c r="L15" s="130">
        <v>155.33999411071446</v>
      </c>
      <c r="M15" s="130">
        <v>262.34504781939995</v>
      </c>
      <c r="N15" s="130">
        <v>402.2715735299991</v>
      </c>
      <c r="O15" s="130">
        <v>377.84648365999982</v>
      </c>
    </row>
    <row r="16" spans="2:15" ht="15" customHeight="1" x14ac:dyDescent="0.25">
      <c r="C16" s="75" t="s">
        <v>140</v>
      </c>
      <c r="D16" s="75"/>
      <c r="E16" s="75" t="s">
        <v>140</v>
      </c>
      <c r="F16" s="130">
        <v>293.99504343159992</v>
      </c>
      <c r="G16" s="130">
        <v>330.86434945569982</v>
      </c>
      <c r="H16" s="130">
        <v>362.50443303150024</v>
      </c>
      <c r="I16" s="130">
        <v>365.67542521559869</v>
      </c>
      <c r="J16" s="130">
        <v>276.17613197999964</v>
      </c>
      <c r="K16" s="130">
        <v>255.23663578408679</v>
      </c>
      <c r="L16" s="130">
        <v>257.49686753548559</v>
      </c>
      <c r="M16" s="130">
        <v>249.6867452020503</v>
      </c>
      <c r="N16" s="130">
        <v>181.40146051299999</v>
      </c>
      <c r="O16" s="130">
        <v>222.12048005115014</v>
      </c>
    </row>
    <row r="17" spans="2:15" ht="15" customHeight="1" x14ac:dyDescent="0.25">
      <c r="C17" s="193" t="s">
        <v>188</v>
      </c>
      <c r="D17" s="75"/>
      <c r="E17" s="193" t="s">
        <v>188</v>
      </c>
      <c r="F17" s="130">
        <f xml:space="preserve"> SUM( F20:F21)</f>
        <v>76.890387570000001</v>
      </c>
      <c r="G17" s="130">
        <f xml:space="preserve"> SUM( G20:G21)</f>
        <v>82.285926409999988</v>
      </c>
      <c r="H17" s="130">
        <f xml:space="preserve"> SUM( H20:H21)</f>
        <v>89.616310229999826</v>
      </c>
      <c r="I17" s="130">
        <v>100.47283364999998</v>
      </c>
      <c r="J17" s="130">
        <v>128.18394238000002</v>
      </c>
      <c r="K17" s="130">
        <v>143.93888970999976</v>
      </c>
      <c r="L17" s="130">
        <v>174.78558719000065</v>
      </c>
      <c r="M17" s="130">
        <v>185.99523272999986</v>
      </c>
      <c r="N17" s="130">
        <v>177.81990303000043</v>
      </c>
      <c r="O17" s="130">
        <v>195.4111109132005</v>
      </c>
    </row>
    <row r="18" spans="2:15" ht="15" customHeight="1" x14ac:dyDescent="0.25">
      <c r="B18" s="170"/>
      <c r="C18" s="170" t="s">
        <v>221</v>
      </c>
      <c r="D18" s="170"/>
      <c r="E18" s="170" t="s">
        <v>221</v>
      </c>
      <c r="F18" s="172">
        <f t="shared" ref="F18:J18" si="0" xml:space="preserve"> SUM( F15:F17)</f>
        <v>621.20275622159966</v>
      </c>
      <c r="G18" s="172">
        <f t="shared" si="0"/>
        <v>657.4082768556998</v>
      </c>
      <c r="H18" s="172">
        <f t="shared" si="0"/>
        <v>691.71377645260009</v>
      </c>
      <c r="I18" s="172">
        <f t="shared" si="0"/>
        <v>723.72307590324885</v>
      </c>
      <c r="J18" s="172">
        <f t="shared" si="0"/>
        <v>649.36039723159956</v>
      </c>
      <c r="K18" s="172">
        <f xml:space="preserve"> SUM( K15:K17)</f>
        <v>558.38761670880081</v>
      </c>
      <c r="L18" s="172">
        <f xml:space="preserve"> SUM( L15:L17)</f>
        <v>587.62244883620076</v>
      </c>
      <c r="M18" s="172">
        <f xml:space="preserve"> SUM( M15:M17)</f>
        <v>698.0270257514502</v>
      </c>
      <c r="N18" s="172">
        <f xml:space="preserve"> SUM( N15:N17)</f>
        <v>761.49293707299955</v>
      </c>
      <c r="O18" s="172">
        <f xml:space="preserve"> SUM( O15:O17)</f>
        <v>795.37807462435035</v>
      </c>
    </row>
    <row r="19" spans="2:15" ht="15" customHeight="1" x14ac:dyDescent="0.25"/>
    <row r="20" spans="2:15" ht="15" customHeight="1" x14ac:dyDescent="0.25">
      <c r="C20" s="27" t="s">
        <v>384</v>
      </c>
      <c r="D20" s="27"/>
      <c r="E20" s="27" t="s">
        <v>708</v>
      </c>
      <c r="F20" s="130">
        <v>38.390387570000001</v>
      </c>
      <c r="G20" s="130">
        <v>48.893856989999989</v>
      </c>
      <c r="H20" s="130">
        <v>52.116310229999826</v>
      </c>
      <c r="I20" s="130">
        <v>66.272833649999981</v>
      </c>
      <c r="J20" s="130">
        <v>77.783942380000013</v>
      </c>
      <c r="K20" s="130">
        <v>115.63888970999975</v>
      </c>
      <c r="L20" s="130">
        <v>154.78558719000065</v>
      </c>
      <c r="M20" s="130">
        <v>176.49523272999986</v>
      </c>
      <c r="N20" s="130">
        <v>177.81990303000043</v>
      </c>
      <c r="O20" s="130">
        <v>195.4111109132005</v>
      </c>
    </row>
    <row r="21" spans="2:15" ht="15" customHeight="1" x14ac:dyDescent="0.25">
      <c r="C21" s="27" t="s">
        <v>830</v>
      </c>
      <c r="D21" s="27"/>
      <c r="E21" s="27" t="s">
        <v>831</v>
      </c>
      <c r="F21" s="130">
        <v>38.5</v>
      </c>
      <c r="G21" s="130">
        <v>33.392069419999999</v>
      </c>
      <c r="H21" s="130">
        <v>37.5</v>
      </c>
      <c r="I21" s="130">
        <v>34.200000000000003</v>
      </c>
      <c r="J21" s="130">
        <v>50.400000000000006</v>
      </c>
      <c r="K21" s="130">
        <v>28.300000000000008</v>
      </c>
      <c r="L21" s="130">
        <v>20</v>
      </c>
      <c r="M21" s="130">
        <v>9.5</v>
      </c>
      <c r="N21" s="130">
        <v>0</v>
      </c>
      <c r="O21" s="130">
        <v>0</v>
      </c>
    </row>
    <row r="22" spans="2:15" ht="15" customHeight="1" x14ac:dyDescent="0.25"/>
    <row r="23" spans="2:15" ht="15" customHeight="1" x14ac:dyDescent="0.25">
      <c r="B23" s="144" t="s">
        <v>412</v>
      </c>
      <c r="C23" s="133"/>
      <c r="D23" s="133"/>
      <c r="E23" s="144" t="s">
        <v>670</v>
      </c>
    </row>
    <row r="24" spans="2:15" ht="5.0999999999999996" customHeight="1" x14ac:dyDescent="0.25">
      <c r="B24" s="144"/>
      <c r="C24" s="133"/>
      <c r="D24" s="133"/>
      <c r="E24" s="144"/>
    </row>
    <row r="25" spans="2:15" ht="15" customHeight="1" x14ac:dyDescent="0.25">
      <c r="C25" s="75" t="s">
        <v>328</v>
      </c>
      <c r="D25" s="75"/>
      <c r="E25" s="75" t="s">
        <v>328</v>
      </c>
      <c r="F25" s="120">
        <f xml:space="preserve"> IFERROR( F15 / 'Carteira Expandida - Exp Port'!N$14, 0 )</f>
        <v>5.8092382163319189E-2</v>
      </c>
      <c r="G25" s="120">
        <f xml:space="preserve"> IFERROR( G15 / 'Carteira Expandida - Exp Port'!O$14, 0 )</f>
        <v>6.520504753020169E-2</v>
      </c>
      <c r="H25" s="120">
        <f xml:space="preserve"> IFERROR( H15 / 'Carteira Expandida - Exp Port'!P$14, 0 )</f>
        <v>6.53270919338763E-2</v>
      </c>
      <c r="I25" s="120">
        <f xml:space="preserve"> IFERROR( I15 / 'Carteira Expandida - Exp Port'!Q$14, 0 )</f>
        <v>6.1190603669195764E-2</v>
      </c>
      <c r="J25" s="120">
        <f xml:space="preserve"> IFERROR( J15 / 'Carteira Expandida - Exp Port'!R$14, 0 )</f>
        <v>6.0007661943891989E-2</v>
      </c>
      <c r="K25" s="120">
        <f xml:space="preserve"> IFERROR( K15 / 'Carteira Expandida - Exp Port'!S$14, 0 )</f>
        <v>3.5027527651978065E-2</v>
      </c>
      <c r="L25" s="120">
        <f xml:space="preserve"> IFERROR( L15 / 'Carteira Expandida - Exp Port'!T$14, 0 )</f>
        <v>3.6371239108224949E-2</v>
      </c>
      <c r="M25" s="120">
        <f xml:space="preserve"> IFERROR( M15 / 'Carteira Expandida - Exp Port'!U$14, 0 )</f>
        <v>5.8690523116119678E-2</v>
      </c>
      <c r="N25" s="120">
        <f xml:space="preserve"> IFERROR( N15 / 'Carteira Expandida - Exp Port'!V$14, 0 )</f>
        <v>0.11607135574867386</v>
      </c>
      <c r="O25" s="120">
        <f xml:space="preserve"> IFERROR( O15 / 'Carteira Expandida - Exp Port'!W$14, 0 )</f>
        <v>0.11037403821804184</v>
      </c>
    </row>
    <row r="26" spans="2:15" ht="15" customHeight="1" x14ac:dyDescent="0.25">
      <c r="C26" s="75" t="s">
        <v>140</v>
      </c>
      <c r="D26" s="75"/>
      <c r="E26" s="75" t="s">
        <v>140</v>
      </c>
      <c r="F26" s="120">
        <f xml:space="preserve"> IFERROR( F16 / 'Carteira Expandida - Exp Port'!N$15, 0 )</f>
        <v>1.9647454863630242E-2</v>
      </c>
      <c r="G26" s="120">
        <f xml:space="preserve"> IFERROR( G16 / 'Carteira Expandida - Exp Port'!O$15, 0 )</f>
        <v>2.2439246405264218E-2</v>
      </c>
      <c r="H26" s="120">
        <f xml:space="preserve"> IFERROR( H16 / 'Carteira Expandida - Exp Port'!P$15, 0 )</f>
        <v>2.319334665315936E-2</v>
      </c>
      <c r="I26" s="120">
        <f xml:space="preserve"> IFERROR( I16 / 'Carteira Expandida - Exp Port'!Q$15, 0 )</f>
        <v>2.2672197422328805E-2</v>
      </c>
      <c r="J26" s="120">
        <f xml:space="preserve"> IFERROR( J16 / 'Carteira Expandida - Exp Port'!R$15, 0 )</f>
        <v>1.7089128807975317E-2</v>
      </c>
      <c r="K26" s="120">
        <f xml:space="preserve"> IFERROR( K16 / 'Carteira Expandida - Exp Port'!S$15, 0 )</f>
        <v>1.5357698992155316E-2</v>
      </c>
      <c r="L26" s="120">
        <f xml:space="preserve"> IFERROR( L16 / 'Carteira Expandida - Exp Port'!T$15, 0 )</f>
        <v>1.4704647283013269E-2</v>
      </c>
      <c r="M26" s="120">
        <f xml:space="preserve"> IFERROR( M16 / 'Carteira Expandida - Exp Port'!U$15, 0 )</f>
        <v>1.4508811750658858E-2</v>
      </c>
      <c r="N26" s="120">
        <f xml:space="preserve"> IFERROR( N16 / 'Carteira Expandida - Exp Port'!V$15, 0 )</f>
        <v>1.08664923266056E-2</v>
      </c>
      <c r="O26" s="120">
        <f xml:space="preserve"> IFERROR( O16 / 'Carteira Expandida - Exp Port'!W$15, 0 )</f>
        <v>1.3700486254767686E-2</v>
      </c>
    </row>
    <row r="27" spans="2:15" ht="15" customHeight="1" x14ac:dyDescent="0.25">
      <c r="C27" s="75" t="s">
        <v>188</v>
      </c>
      <c r="D27" s="75"/>
      <c r="E27" s="75" t="s">
        <v>188</v>
      </c>
      <c r="F27" s="120">
        <f xml:space="preserve"> IFERROR( F17 / 'Carteira Expandida - Exp Port'!N$16, 0 )</f>
        <v>3.4964125934555335E-2</v>
      </c>
      <c r="G27" s="120">
        <f xml:space="preserve"> IFERROR( G17 / 'Carteira Expandida - Exp Port'!O$16, 0 )</f>
        <v>3.4629234645682794E-2</v>
      </c>
      <c r="H27" s="120">
        <f xml:space="preserve"> IFERROR( H17 / 'Carteira Expandida - Exp Port'!P$16, 0 )</f>
        <v>3.4367769955566993E-2</v>
      </c>
      <c r="I27" s="120">
        <f xml:space="preserve"> IFERROR( I17 / 'Carteira Expandida - Exp Port'!Q$16, 0 )</f>
        <v>3.4467420380947057E-2</v>
      </c>
      <c r="J27" s="120">
        <f xml:space="preserve"> IFERROR( J17 / 'Carteira Expandida - Exp Port'!R$16, 0 )</f>
        <v>4.5445177850235018E-2</v>
      </c>
      <c r="K27" s="120">
        <f xml:space="preserve"> IFERROR( K17 / 'Carteira Expandida - Exp Port'!S$16, 0 )</f>
        <v>4.5477175057363484E-2</v>
      </c>
      <c r="L27" s="120">
        <f xml:space="preserve"> IFERROR( L17 / 'Carteira Expandida - Exp Port'!T$16, 0 )</f>
        <v>4.5352497952161133E-2</v>
      </c>
      <c r="M27" s="120">
        <f xml:space="preserve"> IFERROR( M17 / 'Carteira Expandida - Exp Port'!U$16, 0 )</f>
        <v>4.5469180245090626E-2</v>
      </c>
      <c r="N27" s="120">
        <f xml:space="preserve"> IFERROR( N17 / 'Carteira Expandida - Exp Port'!V$16, 0 )</f>
        <v>4.5555033906692369E-2</v>
      </c>
      <c r="O27" s="120">
        <f xml:space="preserve"> IFERROR( O17 / 'Carteira Expandida - Exp Port'!W$16, 0 )</f>
        <v>5.066150939238203E-2</v>
      </c>
    </row>
    <row r="28" spans="2:15" ht="15" customHeight="1" x14ac:dyDescent="0.25">
      <c r="B28" s="170"/>
      <c r="C28" s="170" t="s">
        <v>221</v>
      </c>
      <c r="D28" s="170"/>
      <c r="E28" s="170" t="s">
        <v>221</v>
      </c>
      <c r="F28" s="194">
        <f xml:space="preserve"> IFERROR( F18 / 'Carteira Expandida - Exp Port'!N$13, 0 )</f>
        <v>2.8931377373584522E-2</v>
      </c>
      <c r="G28" s="194">
        <f xml:space="preserve"> IFERROR( G18 / 'Carteira Expandida - Exp Port'!O$13, 0 )</f>
        <v>3.1504546258328214E-2</v>
      </c>
      <c r="H28" s="194">
        <f xml:space="preserve"> IFERROR( H18 / 'Carteira Expandida - Exp Port'!P$13, 0 )</f>
        <v>3.1578135927885151E-2</v>
      </c>
      <c r="I28" s="194">
        <f xml:space="preserve"> IFERROR( I18 / 'Carteira Expandida - Exp Port'!Q$13, 0 )</f>
        <v>3.1123593524401083E-2</v>
      </c>
      <c r="J28" s="194">
        <f xml:space="preserve"> IFERROR( J18 / 'Carteira Expandida - Exp Port'!R$13, 0 )</f>
        <v>2.8154264862157864E-2</v>
      </c>
      <c r="K28" s="194">
        <f xml:space="preserve"> IFERROR( K18 / 'Carteira Expandida - Exp Port'!S$13, 0 )</f>
        <v>2.2950693460449298E-2</v>
      </c>
      <c r="L28" s="194">
        <f xml:space="preserve"> IFERROR( L18 / 'Carteira Expandida - Exp Port'!T$13, 0 )</f>
        <v>2.2921634291983926E-2</v>
      </c>
      <c r="M28" s="194">
        <f xml:space="preserve"> IFERROR( M18 / 'Carteira Expandida - Exp Port'!U$13, 0 )</f>
        <v>2.7086945788262588E-2</v>
      </c>
      <c r="N28" s="194">
        <f xml:space="preserve"> IFERROR( N18 / 'Carteira Expandida - Exp Port'!V$13, 0 )</f>
        <v>3.1646080055078539E-2</v>
      </c>
      <c r="O28" s="194">
        <f xml:space="preserve"> IFERROR( O18 / 'Carteira Expandida - Exp Port'!W$13, 0 )</f>
        <v>3.3855792121290251E-2</v>
      </c>
    </row>
    <row r="29" spans="2:15" ht="15" customHeight="1" x14ac:dyDescent="0.25"/>
    <row r="30" spans="2:15" ht="15" customHeight="1" x14ac:dyDescent="0.25"/>
    <row r="31" spans="2:15" ht="15" customHeight="1" x14ac:dyDescent="0.25">
      <c r="B31" s="148" t="s">
        <v>410</v>
      </c>
      <c r="C31" s="169"/>
      <c r="D31" s="169"/>
      <c r="E31" s="148" t="s">
        <v>705</v>
      </c>
      <c r="F31" s="192"/>
      <c r="G31" s="192"/>
      <c r="H31" s="192"/>
      <c r="I31" s="192"/>
      <c r="J31" s="192"/>
      <c r="K31" s="192"/>
      <c r="L31" s="192"/>
      <c r="M31" s="192"/>
      <c r="N31" s="192"/>
      <c r="O31" s="192"/>
    </row>
    <row r="32" spans="2:15" ht="15" customHeight="1" x14ac:dyDescent="0.25"/>
    <row r="33" spans="2:16" ht="15" customHeight="1" x14ac:dyDescent="0.25">
      <c r="B33" s="141" t="s">
        <v>280</v>
      </c>
      <c r="C33" s="52"/>
      <c r="D33" s="52"/>
      <c r="E33" s="141" t="s">
        <v>702</v>
      </c>
    </row>
    <row r="34" spans="2:16" ht="5.0999999999999996" customHeight="1" x14ac:dyDescent="0.25">
      <c r="B34" s="141"/>
      <c r="C34" s="52"/>
      <c r="D34" s="52"/>
      <c r="E34" s="141"/>
    </row>
    <row r="35" spans="2:16" ht="15" customHeight="1" x14ac:dyDescent="0.25">
      <c r="C35" s="75" t="s">
        <v>328</v>
      </c>
      <c r="D35" s="75"/>
      <c r="E35" s="75" t="s">
        <v>328</v>
      </c>
      <c r="F35" s="130">
        <v>7.1546556799999994</v>
      </c>
      <c r="G35" s="130">
        <v>117.56263147999999</v>
      </c>
      <c r="H35" s="130">
        <v>79.592081490000012</v>
      </c>
      <c r="I35" s="130">
        <v>79.310771640000013</v>
      </c>
      <c r="J35" s="130">
        <v>51.352601700000001</v>
      </c>
      <c r="K35" s="130">
        <v>8.4377083899999992</v>
      </c>
      <c r="L35" s="130">
        <v>8.4638055100000003</v>
      </c>
      <c r="M35" s="130">
        <v>8.2020446700000011</v>
      </c>
      <c r="N35" s="130">
        <v>0.16516045999999998</v>
      </c>
      <c r="O35" s="130">
        <v>93.428678570000017</v>
      </c>
    </row>
    <row r="36" spans="2:16" ht="15" customHeight="1" x14ac:dyDescent="0.25">
      <c r="C36" s="75" t="s">
        <v>140</v>
      </c>
      <c r="D36" s="75"/>
      <c r="E36" s="75" t="s">
        <v>140</v>
      </c>
      <c r="F36" s="130">
        <v>31.361144810000006</v>
      </c>
      <c r="G36" s="130">
        <v>111.89342593000001</v>
      </c>
      <c r="H36" s="130">
        <v>169.60395175999997</v>
      </c>
      <c r="I36" s="130">
        <v>158.51931350999996</v>
      </c>
      <c r="J36" s="130">
        <v>61.17215490000001</v>
      </c>
      <c r="K36" s="130">
        <v>18.599207889999999</v>
      </c>
      <c r="L36" s="130">
        <v>9.6206828400000024</v>
      </c>
      <c r="M36" s="130">
        <v>18.249283030000001</v>
      </c>
      <c r="N36" s="130">
        <v>37.344850460000004</v>
      </c>
      <c r="O36" s="130">
        <v>62.274283610000026</v>
      </c>
    </row>
    <row r="37" spans="2:16" ht="15" customHeight="1" x14ac:dyDescent="0.25">
      <c r="C37" s="75" t="s">
        <v>188</v>
      </c>
      <c r="D37" s="75"/>
      <c r="E37" s="75" t="s">
        <v>188</v>
      </c>
      <c r="F37" s="130">
        <v>15.227610780000001</v>
      </c>
      <c r="G37" s="130">
        <v>19.89656463</v>
      </c>
      <c r="H37" s="130">
        <v>18.156604220000002</v>
      </c>
      <c r="I37" s="130">
        <v>23.3077653</v>
      </c>
      <c r="J37" s="130">
        <v>33.638901899999986</v>
      </c>
      <c r="K37" s="130">
        <v>63.190192059999973</v>
      </c>
      <c r="L37" s="130">
        <v>69.267318420000038</v>
      </c>
      <c r="M37" s="130">
        <v>102.17206442000003</v>
      </c>
      <c r="N37" s="130">
        <v>115.93106228000003</v>
      </c>
      <c r="O37" s="130">
        <v>120.8039973299999</v>
      </c>
    </row>
    <row r="38" spans="2:16" s="1" customFormat="1" ht="15" customHeight="1" x14ac:dyDescent="0.25">
      <c r="B38" s="170"/>
      <c r="C38" s="170" t="s">
        <v>221</v>
      </c>
      <c r="D38" s="170"/>
      <c r="E38" s="170" t="s">
        <v>221</v>
      </c>
      <c r="F38" s="172">
        <f xml:space="preserve"> SUM( F35:F37)</f>
        <v>53.743411270000003</v>
      </c>
      <c r="G38" s="172">
        <f t="shared" ref="G38:I38" si="1" xml:space="preserve"> SUM( G35:G37)</f>
        <v>249.35262204</v>
      </c>
      <c r="H38" s="172">
        <f t="shared" si="1"/>
        <v>267.35263746999999</v>
      </c>
      <c r="I38" s="172">
        <f t="shared" si="1"/>
        <v>261.13785044999997</v>
      </c>
      <c r="J38" s="172">
        <f t="shared" ref="J38" si="2" xml:space="preserve"> SUM( J35:J37)</f>
        <v>146.1636585</v>
      </c>
      <c r="K38" s="172">
        <f xml:space="preserve"> SUM( K35:K37)</f>
        <v>90.227108339999972</v>
      </c>
      <c r="L38" s="172">
        <f xml:space="preserve"> SUM( L35:L37)</f>
        <v>87.351806770000039</v>
      </c>
      <c r="M38" s="172">
        <f xml:space="preserve"> SUM( M35:M37)</f>
        <v>128.62339212000003</v>
      </c>
      <c r="N38" s="172">
        <f xml:space="preserve"> SUM( N35:N37)</f>
        <v>153.44107320000003</v>
      </c>
      <c r="O38" s="172">
        <f xml:space="preserve"> SUM( O35:O37)</f>
        <v>276.50695950999994</v>
      </c>
      <c r="P38"/>
    </row>
    <row r="39" spans="2:16" ht="15" customHeight="1" x14ac:dyDescent="0.25"/>
    <row r="40" spans="2:16" ht="15" customHeight="1" x14ac:dyDescent="0.25">
      <c r="B40" s="144" t="s">
        <v>381</v>
      </c>
      <c r="C40" s="133"/>
      <c r="D40" s="133"/>
      <c r="E40" s="144" t="s">
        <v>670</v>
      </c>
    </row>
    <row r="41" spans="2:16" ht="5.0999999999999996" customHeight="1" x14ac:dyDescent="0.25">
      <c r="B41" s="144"/>
      <c r="C41" s="133"/>
      <c r="D41" s="133"/>
      <c r="E41" s="144"/>
    </row>
    <row r="42" spans="2:16" ht="15" customHeight="1" x14ac:dyDescent="0.25">
      <c r="C42" s="75" t="s">
        <v>328</v>
      </c>
      <c r="D42" s="75"/>
      <c r="E42" s="75" t="s">
        <v>328</v>
      </c>
      <c r="F42" s="120">
        <f xml:space="preserve"> IFERROR( F35 / 'Carteira Expandida - Exp Port'!N$14, 0 )</f>
        <v>1.6604164000403533E-3</v>
      </c>
      <c r="G42" s="120">
        <f xml:space="preserve"> IFERROR( G35 / 'Carteira Expandida - Exp Port'!O$14, 0 )</f>
        <v>3.1383524561567268E-2</v>
      </c>
      <c r="H42" s="120">
        <f xml:space="preserve"> IFERROR( H35 / 'Carteira Expandida - Exp Port'!P$14, 0 )</f>
        <v>2.1701462498530392E-2</v>
      </c>
      <c r="I42" s="120">
        <f xml:space="preserve"> IFERROR( I35 / 'Carteira Expandida - Exp Port'!Q$14, 0 )</f>
        <v>1.884141489426721E-2</v>
      </c>
      <c r="J42" s="120">
        <f xml:space="preserve"> IFERROR( J35 / 'Carteira Expandida - Exp Port'!R$14, 0 )</f>
        <v>1.2577736741873256E-2</v>
      </c>
      <c r="K42" s="120">
        <f xml:space="preserve"> IFERROR( K35 / 'Carteira Expandida - Exp Port'!S$14, 0 )</f>
        <v>1.856341824889852E-3</v>
      </c>
      <c r="L42" s="120">
        <f xml:space="preserve"> IFERROR( L35 / 'Carteira Expandida - Exp Port'!T$14, 0 )</f>
        <v>1.9817117654215804E-3</v>
      </c>
      <c r="M42" s="120">
        <f xml:space="preserve"> IFERROR( M35 / 'Carteira Expandida - Exp Port'!U$14, 0 )</f>
        <v>1.8349204465847894E-3</v>
      </c>
      <c r="N42" s="120">
        <f xml:space="preserve"> IFERROR( N35 / 'Carteira Expandida - Exp Port'!V$14, 0 )</f>
        <v>4.7655364608667779E-5</v>
      </c>
      <c r="O42" s="120">
        <f xml:space="preserve"> IFERROR( O35 / 'Carteira Expandida - Exp Port'!W$14, 0 )</f>
        <v>2.7291773207093112E-2</v>
      </c>
    </row>
    <row r="43" spans="2:16" ht="15" customHeight="1" x14ac:dyDescent="0.25">
      <c r="C43" s="75" t="s">
        <v>140</v>
      </c>
      <c r="D43" s="75"/>
      <c r="E43" s="75" t="s">
        <v>140</v>
      </c>
      <c r="F43" s="120">
        <f xml:space="preserve"> IFERROR( F36 / 'Carteira Expandida - Exp Port'!N$15, 0 )</f>
        <v>2.0958403581712174E-3</v>
      </c>
      <c r="G43" s="120">
        <f xml:space="preserve"> IFERROR( G36 / 'Carteira Expandida - Exp Port'!O$15, 0 )</f>
        <v>7.5886210155398683E-3</v>
      </c>
      <c r="H43" s="120">
        <f xml:space="preserve"> IFERROR( H36 / 'Carteira Expandida - Exp Port'!P$15, 0 )</f>
        <v>1.0851407289062242E-2</v>
      </c>
      <c r="I43" s="120">
        <f xml:space="preserve"> IFERROR( I36 / 'Carteira Expandida - Exp Port'!Q$15, 0 )</f>
        <v>9.8283366158165436E-3</v>
      </c>
      <c r="J43" s="120">
        <f xml:space="preserve"> IFERROR( J36 / 'Carteira Expandida - Exp Port'!R$15, 0 )</f>
        <v>3.7851889193061183E-3</v>
      </c>
      <c r="K43" s="120">
        <f xml:space="preserve"> IFERROR( K36 / 'Carteira Expandida - Exp Port'!S$15, 0 )</f>
        <v>1.1191223994535546E-3</v>
      </c>
      <c r="L43" s="120">
        <f xml:space="preserve"> IFERROR( L36 / 'Carteira Expandida - Exp Port'!T$15, 0 )</f>
        <v>5.4939987867791298E-4</v>
      </c>
      <c r="M43" s="120">
        <f xml:space="preserve"> IFERROR( M36 / 'Carteira Expandida - Exp Port'!U$15, 0 )</f>
        <v>1.0604303878946517E-3</v>
      </c>
      <c r="N43" s="120">
        <f xml:space="preserve"> IFERROR( N36 / 'Carteira Expandida - Exp Port'!V$15, 0 )</f>
        <v>2.2370687083456079E-3</v>
      </c>
      <c r="O43" s="120">
        <f xml:space="preserve"> IFERROR( O36 / 'Carteira Expandida - Exp Port'!W$15, 0 )</f>
        <v>3.8411044601913201E-3</v>
      </c>
    </row>
    <row r="44" spans="2:16" ht="15" customHeight="1" x14ac:dyDescent="0.25">
      <c r="C44" s="75" t="s">
        <v>188</v>
      </c>
      <c r="D44" s="75"/>
      <c r="E44" s="75" t="s">
        <v>188</v>
      </c>
      <c r="F44" s="120">
        <f xml:space="preserve"> IFERROR( F37 / 'Carteira Expandida - Exp Port'!N$16, 0 )</f>
        <v>6.9244039186251221E-3</v>
      </c>
      <c r="G44" s="120">
        <f xml:space="preserve"> IFERROR( G37 / 'Carteira Expandida - Exp Port'!O$16, 0 )</f>
        <v>8.3732763945831949E-3</v>
      </c>
      <c r="H44" s="120">
        <f xml:space="preserve"> IFERROR( H37 / 'Carteira Expandida - Exp Port'!P$16, 0 )</f>
        <v>6.9630404934742218E-3</v>
      </c>
      <c r="I44" s="120">
        <f xml:space="preserve"> IFERROR( I37 / 'Carteira Expandida - Exp Port'!Q$16, 0 )</f>
        <v>7.9957787150113941E-3</v>
      </c>
      <c r="J44" s="120">
        <f xml:space="preserve"> IFERROR( J37 / 'Carteira Expandida - Exp Port'!R$16, 0 )</f>
        <v>1.1926032630516352E-2</v>
      </c>
      <c r="K44" s="120">
        <f xml:space="preserve"> IFERROR( K37 / 'Carteira Expandida - Exp Port'!S$16, 0 )</f>
        <v>1.9964801951792434E-2</v>
      </c>
      <c r="L44" s="120">
        <f xml:space="preserve"> IFERROR( L37 / 'Carteira Expandida - Exp Port'!T$16, 0 )</f>
        <v>1.7973140504885202E-2</v>
      </c>
      <c r="M44" s="120">
        <f xml:space="preserve"> IFERROR( M37 / 'Carteira Expandida - Exp Port'!U$16, 0 )</f>
        <v>2.4977414447336387E-2</v>
      </c>
      <c r="N44" s="120">
        <f xml:space="preserve"> IFERROR( N37 / 'Carteira Expandida - Exp Port'!V$16, 0 )</f>
        <v>2.9699956995889568E-2</v>
      </c>
      <c r="O44" s="120">
        <f xml:space="preserve"> IFERROR( O37 / 'Carteira Expandida - Exp Port'!W$16, 0 )</f>
        <v>3.1319165101566675E-2</v>
      </c>
    </row>
    <row r="45" spans="2:16" ht="15" customHeight="1" x14ac:dyDescent="0.25">
      <c r="B45" s="170"/>
      <c r="C45" s="170" t="s">
        <v>221</v>
      </c>
      <c r="D45" s="170"/>
      <c r="E45" s="170" t="s">
        <v>221</v>
      </c>
      <c r="F45" s="194">
        <f xml:space="preserve"> IFERROR( F38 / 'Carteira Expandida - Exp Port'!N$13, 0 )</f>
        <v>2.5030006664063503E-3</v>
      </c>
      <c r="G45" s="194">
        <f xml:space="preserve"> IFERROR( G38 / 'Carteira Expandida - Exp Port'!O$13, 0 )</f>
        <v>1.1949562383466819E-2</v>
      </c>
      <c r="H45" s="194">
        <f xml:space="preserve"> IFERROR( H38 / 'Carteira Expandida - Exp Port'!P$13, 0 )</f>
        <v>1.2205189796859257E-2</v>
      </c>
      <c r="I45" s="194">
        <f xml:space="preserve"> IFERROR( I38 / 'Carteira Expandida - Exp Port'!Q$13, 0 )</f>
        <v>1.1230190913973526E-2</v>
      </c>
      <c r="J45" s="194">
        <f xml:space="preserve"> IFERROR( J38 / 'Carteira Expandida - Exp Port'!R$13, 0 )</f>
        <v>6.337205613669873E-3</v>
      </c>
      <c r="K45" s="194">
        <f xml:space="preserve"> IFERROR( K38 / 'Carteira Expandida - Exp Port'!S$13, 0 )</f>
        <v>3.708489664472622E-3</v>
      </c>
      <c r="L45" s="194">
        <f xml:space="preserve"> IFERROR( L38 / 'Carteira Expandida - Exp Port'!T$13, 0 )</f>
        <v>3.4073684106035759E-3</v>
      </c>
      <c r="M45" s="194">
        <f xml:space="preserve"> IFERROR( M38 / 'Carteira Expandida - Exp Port'!U$13, 0 )</f>
        <v>4.9912320310323511E-3</v>
      </c>
      <c r="N45" s="194">
        <f xml:space="preserve"> IFERROR( N38 / 'Carteira Expandida - Exp Port'!V$13, 0 )</f>
        <v>6.3766953701356139E-3</v>
      </c>
      <c r="O45" s="194">
        <f xml:space="preserve"> IFERROR( O38 / 'Carteira Expandida - Exp Port'!W$13, 0 )</f>
        <v>1.1769701026372726E-2</v>
      </c>
    </row>
    <row r="46" spans="2:16" ht="15" customHeight="1" x14ac:dyDescent="0.25"/>
    <row r="47" spans="2:16" ht="15" customHeight="1" x14ac:dyDescent="0.25">
      <c r="B47" s="1" t="s">
        <v>434</v>
      </c>
    </row>
    <row r="48" spans="2:16" ht="5.0999999999999996" customHeight="1" x14ac:dyDescent="0.25"/>
    <row r="49" spans="2:15" ht="15" customHeight="1" x14ac:dyDescent="0.25">
      <c r="B49" s="75" t="s">
        <v>411</v>
      </c>
    </row>
    <row r="50" spans="2:15" ht="15" customHeight="1" x14ac:dyDescent="0.25"/>
    <row r="51" spans="2:15" ht="15" customHeight="1" x14ac:dyDescent="0.25">
      <c r="B51" s="1" t="s">
        <v>435</v>
      </c>
    </row>
    <row r="52" spans="2:15" ht="5.0999999999999996" customHeight="1" x14ac:dyDescent="0.25"/>
    <row r="53" spans="2:15" ht="15" customHeight="1" x14ac:dyDescent="0.25">
      <c r="B53" s="75" t="s">
        <v>706</v>
      </c>
    </row>
    <row r="54" spans="2:15" ht="15" customHeight="1" x14ac:dyDescent="0.25"/>
    <row r="55" spans="2:15" ht="15" customHeight="1" x14ac:dyDescent="0.25"/>
    <row r="56" spans="2:15" ht="15" customHeight="1" x14ac:dyDescent="0.25">
      <c r="B56" s="148" t="s">
        <v>386</v>
      </c>
      <c r="C56" s="169"/>
      <c r="D56" s="169"/>
      <c r="E56" s="148" t="s">
        <v>707</v>
      </c>
      <c r="F56" s="150"/>
      <c r="G56" s="150"/>
      <c r="H56" s="150"/>
      <c r="I56" s="150"/>
      <c r="J56" s="150"/>
      <c r="K56" s="150"/>
      <c r="L56" s="150"/>
      <c r="M56" s="150"/>
      <c r="N56" s="150"/>
      <c r="O56" s="150"/>
    </row>
    <row r="57" spans="2:15" ht="15" customHeight="1" x14ac:dyDescent="0.25"/>
    <row r="58" spans="2:15" ht="15" customHeight="1" x14ac:dyDescent="0.25">
      <c r="B58" s="170"/>
      <c r="C58" s="170" t="s">
        <v>221</v>
      </c>
      <c r="D58" s="170"/>
      <c r="E58" s="170" t="s">
        <v>221</v>
      </c>
      <c r="F58" s="194">
        <f t="shared" ref="F58:J58" si="3" xml:space="preserve"> IFERROR( F28 / F45, 0 )</f>
        <v>11.558677455376934</v>
      </c>
      <c r="G58" s="194">
        <f t="shared" si="3"/>
        <v>2.6364602524622396</v>
      </c>
      <c r="H58" s="194">
        <f t="shared" si="3"/>
        <v>2.5872711898352541</v>
      </c>
      <c r="I58" s="194">
        <f t="shared" si="3"/>
        <v>2.7714215869362069</v>
      </c>
      <c r="J58" s="194">
        <f t="shared" si="3"/>
        <v>4.4426939219751373</v>
      </c>
      <c r="K58" s="194">
        <f xml:space="preserve"> IFERROR( K28 / K45, 0 )</f>
        <v>6.1886901506878207</v>
      </c>
      <c r="L58" s="194">
        <f t="shared" ref="L58:M58" si="4" xml:space="preserve"> IFERROR( L28 / L45, 0 )</f>
        <v>6.7270783577886206</v>
      </c>
      <c r="M58" s="194">
        <f t="shared" si="4"/>
        <v>5.4269057458865753</v>
      </c>
      <c r="N58" s="194">
        <f t="shared" ref="N58:O58" si="5" xml:space="preserve"> IFERROR( N28 / N45, 0 )</f>
        <v>4.9627711876105378</v>
      </c>
      <c r="O58" s="194">
        <f t="shared" si="5"/>
        <v>2.8765209961942579</v>
      </c>
    </row>
    <row r="59" spans="2:15" ht="15" customHeight="1" x14ac:dyDescent="0.25"/>
    <row r="60" spans="2:15" ht="15" customHeight="1" x14ac:dyDescent="0.25"/>
    <row r="61" spans="2:15" ht="15" customHeight="1" x14ac:dyDescent="0.25">
      <c r="B61" s="148" t="s">
        <v>385</v>
      </c>
      <c r="C61" s="169"/>
      <c r="D61" s="169"/>
      <c r="E61" s="148" t="s">
        <v>385</v>
      </c>
      <c r="F61" s="150"/>
      <c r="G61" s="150"/>
      <c r="H61" s="150"/>
      <c r="I61" s="150"/>
      <c r="J61" s="150"/>
      <c r="K61" s="150"/>
      <c r="L61" s="150"/>
      <c r="M61" s="150"/>
      <c r="N61" s="150"/>
      <c r="O61" s="150"/>
    </row>
    <row r="62" spans="2:15" ht="15" customHeight="1" x14ac:dyDescent="0.25"/>
    <row r="63" spans="2:15" ht="15" customHeight="1" x14ac:dyDescent="0.25">
      <c r="C63" s="75" t="s">
        <v>328</v>
      </c>
      <c r="D63" s="75"/>
      <c r="E63" s="75" t="s">
        <v>328</v>
      </c>
      <c r="F63" s="255">
        <v>-48.21843324000001</v>
      </c>
      <c r="G63" s="255">
        <f t="shared" ref="G63:J65" si="6" xml:space="preserve"> ( G35 - F35 ) + G78</f>
        <v>110.40797579999999</v>
      </c>
      <c r="H63" s="255">
        <f t="shared" si="6"/>
        <v>-37.970549989999981</v>
      </c>
      <c r="I63" s="255">
        <f t="shared" si="6"/>
        <v>-0.27489532999999955</v>
      </c>
      <c r="J63" s="255">
        <f xml:space="preserve"> ( J35 - I35 ) + J78</f>
        <v>-27.958169940000012</v>
      </c>
      <c r="K63" s="255">
        <f xml:space="preserve"> ( K35 - J35 ) + K78</f>
        <v>19.812780829999994</v>
      </c>
      <c r="L63" s="255">
        <f t="shared" ref="L63:O65" si="7" xml:space="preserve"> ( L35 - K35 ) + L78</f>
        <v>2.6097120000001084E-2</v>
      </c>
      <c r="M63" s="255">
        <f t="shared" si="7"/>
        <v>0.4922232300000009</v>
      </c>
      <c r="N63" s="255">
        <f t="shared" si="7"/>
        <v>-0.40532067000000183</v>
      </c>
      <c r="O63" s="255">
        <f xml:space="preserve"> ( O35 - N35 ) + O78</f>
        <v>107.21110313000003</v>
      </c>
    </row>
    <row r="64" spans="2:15" ht="15" customHeight="1" x14ac:dyDescent="0.25">
      <c r="C64" s="75" t="s">
        <v>140</v>
      </c>
      <c r="D64" s="75"/>
      <c r="E64" s="75" t="s">
        <v>140</v>
      </c>
      <c r="F64" s="255">
        <v>7.8922222800000057</v>
      </c>
      <c r="G64" s="255">
        <f t="shared" si="6"/>
        <v>91.959433109999992</v>
      </c>
      <c r="H64" s="255">
        <f t="shared" si="6"/>
        <v>57.710525829999966</v>
      </c>
      <c r="I64" s="255">
        <f t="shared" si="6"/>
        <v>-0.52918002000001252</v>
      </c>
      <c r="J64" s="255">
        <f xml:space="preserve"> ( J36 - I36 ) + J79</f>
        <v>-2.0018674099999458</v>
      </c>
      <c r="K64" s="255">
        <f xml:space="preserve"> ( K36 - J36 ) + K79</f>
        <v>15.54799366999999</v>
      </c>
      <c r="L64" s="255">
        <f t="shared" si="7"/>
        <v>6.576763770000003</v>
      </c>
      <c r="M64" s="255">
        <f t="shared" si="7"/>
        <v>8.7558941099999981</v>
      </c>
      <c r="N64" s="255">
        <f t="shared" si="7"/>
        <v>19.095567430000003</v>
      </c>
      <c r="O64" s="255">
        <f t="shared" si="7"/>
        <v>29.508811390000023</v>
      </c>
    </row>
    <row r="65" spans="2:16" ht="15" customHeight="1" x14ac:dyDescent="0.25">
      <c r="C65" s="75" t="s">
        <v>188</v>
      </c>
      <c r="D65" s="75"/>
      <c r="E65" s="75" t="s">
        <v>188</v>
      </c>
      <c r="F65" s="255">
        <v>2.684228120000002</v>
      </c>
      <c r="G65" s="255">
        <f t="shared" si="6"/>
        <v>7.85625207</v>
      </c>
      <c r="H65" s="255">
        <f t="shared" si="6"/>
        <v>1.0513575400000015</v>
      </c>
      <c r="I65" s="255">
        <f t="shared" si="6"/>
        <v>5.964312119999998</v>
      </c>
      <c r="J65" s="255">
        <f t="shared" si="6"/>
        <v>12.369525829999986</v>
      </c>
      <c r="K65" s="255">
        <f xml:space="preserve"> ( K37 - J37 ) + K80</f>
        <v>33.503811409999983</v>
      </c>
      <c r="L65" s="255">
        <f t="shared" si="7"/>
        <v>15.430744590000065</v>
      </c>
      <c r="M65" s="255">
        <f t="shared" si="7"/>
        <v>40.543111939999989</v>
      </c>
      <c r="N65" s="255">
        <f t="shared" si="7"/>
        <v>47.864061890000009</v>
      </c>
      <c r="O65" s="255">
        <f t="shared" si="7"/>
        <v>20.817491479999866</v>
      </c>
    </row>
    <row r="66" spans="2:16" ht="15" customHeight="1" x14ac:dyDescent="0.25">
      <c r="B66" s="170"/>
      <c r="C66" s="170" t="s">
        <v>221</v>
      </c>
      <c r="D66" s="170"/>
      <c r="E66" s="170" t="s">
        <v>221</v>
      </c>
      <c r="F66" s="256">
        <f t="shared" ref="F66:J66" si="8" xml:space="preserve"> SUM( F63:F65)</f>
        <v>-37.641982840000004</v>
      </c>
      <c r="G66" s="256">
        <f t="shared" si="8"/>
        <v>210.22366098000001</v>
      </c>
      <c r="H66" s="256">
        <f t="shared" si="8"/>
        <v>20.791333379999987</v>
      </c>
      <c r="I66" s="256">
        <f t="shared" si="8"/>
        <v>5.1602367699999858</v>
      </c>
      <c r="J66" s="256">
        <f t="shared" si="8"/>
        <v>-17.590511519999971</v>
      </c>
      <c r="K66" s="256">
        <f xml:space="preserve"> SUM( K63:K65)</f>
        <v>68.86458590999996</v>
      </c>
      <c r="L66" s="256">
        <f t="shared" ref="L66:M66" si="9" xml:space="preserve"> SUM( L63:L65)</f>
        <v>22.03360548000007</v>
      </c>
      <c r="M66" s="256">
        <f t="shared" si="9"/>
        <v>49.791229279999989</v>
      </c>
      <c r="N66" s="256">
        <f t="shared" ref="N66:O66" si="10" xml:space="preserve"> SUM( N63:N65)</f>
        <v>66.55430865000001</v>
      </c>
      <c r="O66" s="256">
        <f t="shared" si="10"/>
        <v>157.53740599999992</v>
      </c>
    </row>
    <row r="67" spans="2:16" ht="15" customHeight="1" x14ac:dyDescent="0.25"/>
    <row r="68" spans="2:16" ht="15" customHeight="1" x14ac:dyDescent="0.25">
      <c r="B68" s="144" t="s">
        <v>412</v>
      </c>
      <c r="E68" s="144" t="s">
        <v>670</v>
      </c>
    </row>
    <row r="69" spans="2:16" ht="5.0999999999999996" customHeight="1" x14ac:dyDescent="0.25">
      <c r="C69" s="144"/>
      <c r="D69" s="144"/>
      <c r="F69" s="135"/>
      <c r="G69" s="135"/>
      <c r="H69" s="135"/>
      <c r="I69" s="135"/>
      <c r="J69" s="135"/>
      <c r="K69" s="135"/>
      <c r="L69" s="135"/>
      <c r="M69" s="135"/>
      <c r="N69" s="135"/>
      <c r="O69" s="135"/>
    </row>
    <row r="70" spans="2:16" ht="15" customHeight="1" x14ac:dyDescent="0.25">
      <c r="C70" s="75" t="s">
        <v>328</v>
      </c>
      <c r="D70" s="75"/>
      <c r="E70" s="75" t="s">
        <v>328</v>
      </c>
      <c r="F70" s="257">
        <f xml:space="preserve"> IFERROR( F63 / 'Carteira Expandida - Exp Port'!N$14, 0 )</f>
        <v>-1.1190290758471123E-2</v>
      </c>
      <c r="G70" s="257">
        <f xml:space="preserve"> IFERROR( G63 / 'Carteira Expandida - Exp Port'!O$14, 0 )</f>
        <v>2.9473578267952397E-2</v>
      </c>
      <c r="H70" s="257">
        <f xml:space="preserve"> IFERROR( H63 / 'Carteira Expandida - Exp Port'!P$14, 0 )</f>
        <v>-1.0352995564767181E-2</v>
      </c>
      <c r="I70" s="257">
        <f xml:space="preserve"> IFERROR( I63 / 'Carteira Expandida - Exp Port'!Q$14, 0 )</f>
        <v>-6.5305340723910904E-5</v>
      </c>
      <c r="J70" s="257">
        <f xml:space="preserve"> IFERROR( J63 / 'Carteira Expandida - Exp Port'!R$14, 0 )</f>
        <v>-6.8477640791055486E-3</v>
      </c>
      <c r="K70" s="257">
        <f xml:space="preserve"> IFERROR( K63 / 'Carteira Expandida - Exp Port'!S$14, 0 )</f>
        <v>4.3589197471785189E-3</v>
      </c>
      <c r="L70" s="257">
        <f xml:space="preserve"> IFERROR( L63 / 'Carteira Expandida - Exp Port'!T$14, 0 )</f>
        <v>6.1103684018397273E-6</v>
      </c>
      <c r="M70" s="257">
        <f xml:space="preserve"> IFERROR( M63 / 'Carteira Expandida - Exp Port'!U$14, 0 )</f>
        <v>1.1011772129387939E-4</v>
      </c>
      <c r="N70" s="257">
        <f xml:space="preserve"> IFERROR( N63 / 'Carteira Expandida - Exp Port'!V$14, 0 )</f>
        <v>-1.169511414068452E-4</v>
      </c>
      <c r="O70" s="257">
        <f xml:space="preserve"> IFERROR( O63 / 'Carteira Expandida - Exp Port'!W$14, 0 )</f>
        <v>3.1317804732879574E-2</v>
      </c>
    </row>
    <row r="71" spans="2:16" ht="15" customHeight="1" x14ac:dyDescent="0.25">
      <c r="C71" s="75" t="s">
        <v>140</v>
      </c>
      <c r="D71" s="75"/>
      <c r="E71" s="75" t="s">
        <v>140</v>
      </c>
      <c r="F71" s="257">
        <f xml:space="preserve"> IFERROR( F64 / 'Carteira Expandida - Exp Port'!N$15, 0 )</f>
        <v>5.2743093628418057E-4</v>
      </c>
      <c r="G71" s="257">
        <f xml:space="preserve"> IFERROR( G64 / 'Carteira Expandida - Exp Port'!O$15, 0 )</f>
        <v>6.2366960424667609E-3</v>
      </c>
      <c r="H71" s="257">
        <f xml:space="preserve"> IFERROR( H64 / 'Carteira Expandida - Exp Port'!P$15, 0 )</f>
        <v>3.6923692764744371E-3</v>
      </c>
      <c r="I71" s="257">
        <f xml:space="preserve"> IFERROR( I64 / 'Carteira Expandida - Exp Port'!Q$15, 0 )</f>
        <v>-3.2809625854180591E-5</v>
      </c>
      <c r="J71" s="257">
        <f xml:space="preserve"> IFERROR( J64 / 'Carteira Expandida - Exp Port'!R$15, 0 )</f>
        <v>-1.2387084206268221E-4</v>
      </c>
      <c r="K71" s="257">
        <f xml:space="preserve"> IFERROR( K64 / 'Carteira Expandida - Exp Port'!S$15, 0 )</f>
        <v>9.355295174701693E-4</v>
      </c>
      <c r="L71" s="257">
        <f xml:space="preserve"> IFERROR( L64 / 'Carteira Expandida - Exp Port'!T$15, 0 )</f>
        <v>3.7557346785285919E-4</v>
      </c>
      <c r="M71" s="257">
        <f xml:space="preserve"> IFERROR( M64 / 'Carteira Expandida - Exp Port'!U$15, 0 )</f>
        <v>5.0878799852948492E-4</v>
      </c>
      <c r="N71" s="257">
        <f xml:space="preserve"> IFERROR( N64 / 'Carteira Expandida - Exp Port'!V$15, 0 )</f>
        <v>1.1438818428664438E-3</v>
      </c>
      <c r="O71" s="257">
        <f xml:space="preserve"> IFERROR( O64 / 'Carteira Expandida - Exp Port'!W$15, 0 )</f>
        <v>1.8201161133369074E-3</v>
      </c>
    </row>
    <row r="72" spans="2:16" ht="15" customHeight="1" x14ac:dyDescent="0.25">
      <c r="C72" s="75" t="s">
        <v>188</v>
      </c>
      <c r="D72" s="75"/>
      <c r="E72" s="75" t="s">
        <v>188</v>
      </c>
      <c r="F72" s="257">
        <f xml:space="preserve"> IFERROR( F65 / 'Carteira Expandida - Exp Port'!N$16, 0 )</f>
        <v>1.2205906744755764E-3</v>
      </c>
      <c r="G72" s="257">
        <f xml:space="preserve"> IFERROR( G65 / 'Carteira Expandida - Exp Port'!O$16, 0 )</f>
        <v>3.3062275438464155E-3</v>
      </c>
      <c r="H72" s="257">
        <f xml:space="preserve"> IFERROR( H65 / 'Carteira Expandida - Exp Port'!P$16, 0 )</f>
        <v>4.0319461918300565E-4</v>
      </c>
      <c r="I72" s="257">
        <f xml:space="preserve"> IFERROR( I65 / 'Carteira Expandida - Exp Port'!Q$16, 0 )</f>
        <v>2.0460700236577581E-3</v>
      </c>
      <c r="J72" s="257">
        <f xml:space="preserve"> IFERROR( J65 / 'Carteira Expandida - Exp Port'!R$16, 0 )</f>
        <v>4.3853800314627616E-3</v>
      </c>
      <c r="K72" s="257">
        <f xml:space="preserve"> IFERROR( K65 / 'Carteira Expandida - Exp Port'!S$16, 0 )</f>
        <v>1.0585455394655649E-2</v>
      </c>
      <c r="L72" s="257">
        <f xml:space="preserve"> IFERROR( L65 / 'Carteira Expandida - Exp Port'!T$16, 0 )</f>
        <v>4.0038931336916078E-3</v>
      </c>
      <c r="M72" s="257">
        <f xml:space="preserve"> IFERROR( M65 / 'Carteira Expandida - Exp Port'!U$16, 0 )</f>
        <v>9.9113404007123602E-3</v>
      </c>
      <c r="N72" s="257">
        <f xml:space="preserve"> IFERROR( N65 / 'Carteira Expandida - Exp Port'!V$16, 0 )</f>
        <v>1.2262119847985203E-2</v>
      </c>
      <c r="O72" s="257">
        <f xml:space="preserve"> IFERROR( O65 / 'Carteira Expandida - Exp Port'!W$16, 0 )</f>
        <v>5.3970602552293372E-3</v>
      </c>
    </row>
    <row r="73" spans="2:16" ht="15" customHeight="1" x14ac:dyDescent="0.25">
      <c r="B73" s="170"/>
      <c r="C73" s="170" t="s">
        <v>221</v>
      </c>
      <c r="D73" s="170"/>
      <c r="E73" s="170" t="s">
        <v>221</v>
      </c>
      <c r="F73" s="258">
        <f xml:space="preserve"> IFERROR( F66 / 'Carteira Expandida - Exp Port'!N$13, 0 )</f>
        <v>-1.7531062116626303E-3</v>
      </c>
      <c r="G73" s="258">
        <f xml:space="preserve"> IFERROR( G66 / 'Carteira Expandida - Exp Port'!O$13, 0 )</f>
        <v>1.0074410811522621E-2</v>
      </c>
      <c r="H73" s="258">
        <f xml:space="preserve"> IFERROR( H66 / 'Carteira Expandida - Exp Port'!P$13, 0 )</f>
        <v>9.4916651069563561E-4</v>
      </c>
      <c r="I73" s="258">
        <f xml:space="preserve"> IFERROR( I66 / 'Carteira Expandida - Exp Port'!Q$13, 0 )</f>
        <v>2.2191514553920134E-4</v>
      </c>
      <c r="J73" s="258">
        <f xml:space="preserve"> IFERROR( J66 / 'Carteira Expandida - Exp Port'!R$13, 0 )</f>
        <v>-7.6267034840174302E-4</v>
      </c>
      <c r="K73" s="258">
        <f xml:space="preserve"> IFERROR( K66 / 'Carteira Expandida - Exp Port'!S$13, 0 )</f>
        <v>2.8304531730427157E-3</v>
      </c>
      <c r="L73" s="258">
        <f xml:space="preserve"> IFERROR( L66 / 'Carteira Expandida - Exp Port'!T$13, 0 )</f>
        <v>8.5947405165794771E-4</v>
      </c>
      <c r="M73" s="258">
        <f xml:space="preserve"> IFERROR( M66 / 'Carteira Expandida - Exp Port'!U$13, 0 )</f>
        <v>1.932149155380336E-3</v>
      </c>
      <c r="N73" s="258">
        <f xml:space="preserve"> IFERROR( N66 / 'Carteira Expandida - Exp Port'!V$13, 0 )</f>
        <v>2.7658601636464026E-3</v>
      </c>
      <c r="O73" s="258">
        <f xml:space="preserve"> IFERROR( O66 / 'Carteira Expandida - Exp Port'!W$13, 0 )</f>
        <v>6.7056835472643472E-3</v>
      </c>
    </row>
    <row r="74" spans="2:16" ht="15" customHeight="1" x14ac:dyDescent="0.25"/>
    <row r="75" spans="2:16" ht="15" customHeight="1" x14ac:dyDescent="0.25"/>
    <row r="76" spans="2:16" s="1" customFormat="1" ht="15" customHeight="1" x14ac:dyDescent="0.25">
      <c r="B76" s="148" t="s">
        <v>413</v>
      </c>
      <c r="C76" s="169"/>
      <c r="D76" s="169"/>
      <c r="E76" s="148" t="s">
        <v>413</v>
      </c>
      <c r="F76" s="150"/>
      <c r="G76" s="150"/>
      <c r="H76" s="150"/>
      <c r="I76" s="150"/>
      <c r="J76" s="150"/>
      <c r="K76" s="150"/>
      <c r="L76" s="150"/>
      <c r="M76" s="150"/>
      <c r="N76" s="150"/>
      <c r="O76" s="150"/>
      <c r="P76"/>
    </row>
    <row r="77" spans="2:16" ht="15" customHeight="1" x14ac:dyDescent="0.25">
      <c r="B77" s="52"/>
      <c r="C77" s="52"/>
      <c r="D77" s="52"/>
      <c r="E77" s="52"/>
    </row>
    <row r="78" spans="2:16" ht="15" customHeight="1" x14ac:dyDescent="0.25">
      <c r="C78" s="75" t="s">
        <v>328</v>
      </c>
      <c r="D78" s="75"/>
      <c r="E78" s="75" t="s">
        <v>328</v>
      </c>
      <c r="F78" s="130">
        <v>0</v>
      </c>
      <c r="G78" s="130">
        <v>0</v>
      </c>
      <c r="H78" s="130">
        <v>0</v>
      </c>
      <c r="I78" s="130">
        <v>6.4145199999999999E-3</v>
      </c>
      <c r="J78" s="130">
        <v>0</v>
      </c>
      <c r="K78" s="130">
        <v>62.727674139999998</v>
      </c>
      <c r="L78" s="130">
        <v>0</v>
      </c>
      <c r="M78" s="130">
        <v>0.75398407000000001</v>
      </c>
      <c r="N78" s="130">
        <v>7.6315635400000001</v>
      </c>
      <c r="O78" s="130">
        <v>13.94758502</v>
      </c>
    </row>
    <row r="79" spans="2:16" ht="15" customHeight="1" x14ac:dyDescent="0.25">
      <c r="C79" s="75" t="s">
        <v>140</v>
      </c>
      <c r="D79" s="75"/>
      <c r="E79" s="75" t="s">
        <v>140</v>
      </c>
      <c r="F79" s="130">
        <v>9.8827517900000004</v>
      </c>
      <c r="G79" s="130">
        <v>11.42715199</v>
      </c>
      <c r="H79" s="130">
        <v>0</v>
      </c>
      <c r="I79" s="130">
        <v>10.555458229999999</v>
      </c>
      <c r="J79" s="130">
        <v>95.345291200000005</v>
      </c>
      <c r="K79" s="130">
        <v>58.120940679999997</v>
      </c>
      <c r="L79" s="130">
        <v>15.555288819999999</v>
      </c>
      <c r="M79" s="130">
        <v>0.12729392</v>
      </c>
      <c r="N79" s="130">
        <v>0</v>
      </c>
      <c r="O79" s="130">
        <v>4.5793782399999996</v>
      </c>
    </row>
    <row r="80" spans="2:16" ht="15" customHeight="1" x14ac:dyDescent="0.25">
      <c r="C80" s="75" t="s">
        <v>188</v>
      </c>
      <c r="D80" s="75"/>
      <c r="E80" s="75" t="s">
        <v>188</v>
      </c>
      <c r="F80" s="130">
        <v>0</v>
      </c>
      <c r="G80" s="130">
        <v>3.1872982200000002</v>
      </c>
      <c r="H80" s="130">
        <v>2.7913179499999998</v>
      </c>
      <c r="I80" s="130">
        <v>0.81315104000000005</v>
      </c>
      <c r="J80" s="130">
        <v>2.0383892299999999</v>
      </c>
      <c r="K80" s="130">
        <v>3.9525212500000002</v>
      </c>
      <c r="L80" s="130">
        <v>9.3536182300000004</v>
      </c>
      <c r="M80" s="130">
        <v>7.6383659399999999</v>
      </c>
      <c r="N80" s="130">
        <v>34.105064030000001</v>
      </c>
      <c r="O80" s="130">
        <v>15.94455643</v>
      </c>
    </row>
    <row r="81" spans="2:15" ht="15" customHeight="1" x14ac:dyDescent="0.25">
      <c r="B81" s="170"/>
      <c r="C81" s="170" t="s">
        <v>221</v>
      </c>
      <c r="D81" s="170"/>
      <c r="E81" s="170" t="s">
        <v>221</v>
      </c>
      <c r="F81" s="172">
        <f xml:space="preserve"> SUM( F78:F80)</f>
        <v>9.8827517900000004</v>
      </c>
      <c r="G81" s="172">
        <f t="shared" ref="G81" si="11" xml:space="preserve"> SUM( G78:G80)</f>
        <v>14.614450210000001</v>
      </c>
      <c r="H81" s="172">
        <f xml:space="preserve"> SUM( H78:H80)</f>
        <v>2.7913179499999998</v>
      </c>
      <c r="I81" s="172">
        <f xml:space="preserve"> SUM( I78:I80)</f>
        <v>11.375023789999998</v>
      </c>
      <c r="J81" s="172">
        <f xml:space="preserve"> SUM( J78:J80)</f>
        <v>97.383680429999998</v>
      </c>
      <c r="K81" s="172">
        <f xml:space="preserve"> SUM( K78:K80)</f>
        <v>124.80113607</v>
      </c>
      <c r="L81" s="172">
        <f t="shared" ref="L81:M81" si="12" xml:space="preserve"> SUM( L78:L80)</f>
        <v>24.90890705</v>
      </c>
      <c r="M81" s="172">
        <f t="shared" si="12"/>
        <v>8.5196439300000009</v>
      </c>
      <c r="N81" s="172">
        <f t="shared" ref="N81:O81" si="13" xml:space="preserve"> SUM( N78:N80)</f>
        <v>41.736627570000003</v>
      </c>
      <c r="O81" s="172">
        <f t="shared" si="13"/>
        <v>34.471519690000001</v>
      </c>
    </row>
    <row r="82" spans="2:15" ht="15" customHeight="1" x14ac:dyDescent="0.25"/>
    <row r="83" spans="2:15" ht="15" customHeight="1" x14ac:dyDescent="0.25"/>
    <row r="84" spans="2:15" ht="15" customHeight="1" x14ac:dyDescent="0.25">
      <c r="B84" s="148" t="s">
        <v>372</v>
      </c>
      <c r="C84" s="169"/>
      <c r="D84" s="169"/>
      <c r="E84" s="148" t="s">
        <v>479</v>
      </c>
      <c r="F84" s="149"/>
      <c r="G84" s="149"/>
      <c r="H84" s="149"/>
      <c r="I84" s="149"/>
      <c r="J84" s="149"/>
      <c r="K84" s="149"/>
      <c r="L84" s="149"/>
      <c r="M84" s="149"/>
      <c r="N84" s="149"/>
      <c r="O84" s="149"/>
    </row>
    <row r="85" spans="2:15" ht="15" customHeight="1" x14ac:dyDescent="0.25">
      <c r="B85" s="195"/>
      <c r="C85" s="196"/>
      <c r="D85" s="196"/>
      <c r="E85" s="196"/>
      <c r="F85" s="184"/>
      <c r="G85" s="184"/>
      <c r="H85" s="184"/>
      <c r="I85" s="184"/>
      <c r="J85" s="184"/>
      <c r="K85" s="184"/>
      <c r="L85" s="184"/>
      <c r="M85" s="184"/>
      <c r="N85" s="184"/>
      <c r="O85" s="184"/>
    </row>
    <row r="86" spans="2:15" ht="15" customHeight="1" x14ac:dyDescent="0.25">
      <c r="B86" s="198"/>
      <c r="C86" s="198" t="s">
        <v>417</v>
      </c>
      <c r="D86" s="198"/>
      <c r="E86" s="198" t="s">
        <v>709</v>
      </c>
      <c r="F86" s="199">
        <v>244.06399999999999</v>
      </c>
      <c r="G86" s="199">
        <v>177.93299999999999</v>
      </c>
      <c r="H86" s="199">
        <v>123.03100000000001</v>
      </c>
      <c r="I86" s="199">
        <v>117.254</v>
      </c>
      <c r="J86" s="199">
        <v>112.956</v>
      </c>
      <c r="K86" s="199">
        <v>111.449</v>
      </c>
      <c r="L86" s="242">
        <v>116.93899999999999</v>
      </c>
      <c r="M86" s="242">
        <v>108.6</v>
      </c>
      <c r="N86" s="242">
        <v>167.84700000000001</v>
      </c>
      <c r="O86" s="242">
        <v>116.9</v>
      </c>
    </row>
    <row r="87" spans="2:15" ht="15" customHeight="1" x14ac:dyDescent="0.25">
      <c r="B87" s="193"/>
      <c r="C87" s="193" t="s">
        <v>418</v>
      </c>
      <c r="D87" s="193"/>
      <c r="E87" s="198" t="s">
        <v>710</v>
      </c>
      <c r="F87" s="197">
        <v>0.25123478999999999</v>
      </c>
      <c r="G87" s="197">
        <v>14.539516969999999</v>
      </c>
      <c r="H87" s="197">
        <v>2.5814323400000001</v>
      </c>
      <c r="I87" s="197">
        <v>4.3291099753589997</v>
      </c>
      <c r="J87" s="197">
        <v>0.31014323999999999</v>
      </c>
      <c r="K87" s="197">
        <v>0.49240750999999999</v>
      </c>
      <c r="L87" s="197">
        <v>5.0130562200000002</v>
      </c>
      <c r="M87" s="197">
        <v>5.2321396800000004</v>
      </c>
      <c r="N87" s="197">
        <v>2.3529760999999998</v>
      </c>
      <c r="O87" s="197">
        <v>10.57004347</v>
      </c>
    </row>
    <row r="88" spans="2:15" ht="15" customHeight="1" x14ac:dyDescent="0.25"/>
    <row r="89" spans="2:15" ht="15" customHeight="1" x14ac:dyDescent="0.25"/>
    <row r="90" spans="2:15" ht="15" customHeight="1" x14ac:dyDescent="0.25"/>
    <row r="91" spans="2:15" ht="15" customHeight="1" x14ac:dyDescent="0.25"/>
    <row r="92" spans="2:15" ht="15" customHeight="1" x14ac:dyDescent="0.25"/>
  </sheetData>
  <phoneticPr fontId="34" type="noConversion"/>
  <hyperlinks>
    <hyperlink ref="O6" location="'Índice - Index'!A1" display="Index" xr:uid="{F01108F3-90C4-4B3D-B30C-0399ADEFC2BF}"/>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2">
    <tabColor theme="3" tint="0.39997558519241921"/>
    <pageSetUpPr autoPageBreaks="0"/>
  </sheetPr>
  <dimension ref="B2:AF91"/>
  <sheetViews>
    <sheetView showGridLines="0" zoomScale="80" zoomScaleNormal="80" workbookViewId="0">
      <pane xSplit="5" ySplit="9" topLeftCell="AA10" activePane="bottomRight" state="frozen"/>
      <selection activeCell="D1" sqref="D1"/>
      <selection pane="topRight" activeCell="D1" sqref="D1"/>
      <selection pane="bottomLeft" activeCell="D1" sqref="D1"/>
      <selection pane="bottomRight" activeCell="AE9" sqref="AE9"/>
    </sheetView>
  </sheetViews>
  <sheetFormatPr defaultColWidth="12" defaultRowHeight="15" outlineLevelCol="1" x14ac:dyDescent="0.25"/>
  <cols>
    <col min="1" max="1" width="2.7109375" customWidth="1"/>
    <col min="2" max="2" width="1.7109375" customWidth="1" outlineLevel="1"/>
    <col min="3" max="3" width="55.7109375" customWidth="1" outlineLevel="1"/>
    <col min="4" max="4" width="1.7109375" customWidth="1"/>
    <col min="5" max="5" width="60.7109375" customWidth="1" outlineLevel="1"/>
    <col min="32" max="32" width="13.42578125" bestFit="1" customWidth="1"/>
  </cols>
  <sheetData>
    <row r="2" spans="2:32" x14ac:dyDescent="0.25">
      <c r="B2" t="s">
        <v>429</v>
      </c>
    </row>
    <row r="3" spans="2:32" ht="21" x14ac:dyDescent="0.35">
      <c r="C3" s="4"/>
      <c r="D3" s="4"/>
      <c r="E3" s="4"/>
    </row>
    <row r="4" spans="2:32" ht="15" customHeight="1" x14ac:dyDescent="0.25">
      <c r="C4" s="3"/>
      <c r="D4" s="3"/>
      <c r="E4" s="3"/>
    </row>
    <row r="5" spans="2:32" x14ac:dyDescent="0.25">
      <c r="C5" s="2"/>
      <c r="D5" s="2"/>
      <c r="E5" s="2"/>
    </row>
    <row r="6" spans="2:32" x14ac:dyDescent="0.25">
      <c r="F6" s="236" t="s">
        <v>486</v>
      </c>
      <c r="M6" s="6"/>
      <c r="AE6" s="252" t="s">
        <v>486</v>
      </c>
    </row>
    <row r="7" spans="2:32" ht="17.25" customHeight="1" x14ac:dyDescent="0.3">
      <c r="B7" s="40" t="s">
        <v>6</v>
      </c>
      <c r="C7" s="40"/>
      <c r="D7" s="40"/>
      <c r="E7" s="40" t="s">
        <v>711</v>
      </c>
      <c r="F7" s="251"/>
    </row>
    <row r="8" spans="2:32" ht="17.25" customHeight="1" x14ac:dyDescent="0.25">
      <c r="B8" s="215" t="s">
        <v>434</v>
      </c>
      <c r="C8" s="216"/>
      <c r="D8" s="216"/>
      <c r="E8" s="215" t="s">
        <v>435</v>
      </c>
      <c r="F8" s="155" t="s">
        <v>53</v>
      </c>
      <c r="G8" s="155" t="s">
        <v>165</v>
      </c>
      <c r="H8" s="155" t="s">
        <v>506</v>
      </c>
      <c r="I8" s="155" t="s">
        <v>507</v>
      </c>
      <c r="J8" s="155" t="s">
        <v>173</v>
      </c>
      <c r="K8" s="155" t="s">
        <v>176</v>
      </c>
      <c r="L8" s="155" t="s">
        <v>508</v>
      </c>
      <c r="M8" s="156" t="s">
        <v>509</v>
      </c>
      <c r="N8" s="156" t="s">
        <v>182</v>
      </c>
      <c r="O8" s="156" t="s">
        <v>185</v>
      </c>
      <c r="P8" s="156" t="s">
        <v>242</v>
      </c>
      <c r="Q8" s="156" t="s">
        <v>510</v>
      </c>
      <c r="R8" s="156" t="s">
        <v>290</v>
      </c>
      <c r="S8" s="156" t="s">
        <v>292</v>
      </c>
      <c r="T8" s="156" t="s">
        <v>511</v>
      </c>
      <c r="U8" s="156" t="s">
        <v>512</v>
      </c>
      <c r="V8" s="156" t="s">
        <v>322</v>
      </c>
      <c r="W8" s="156" t="s">
        <v>329</v>
      </c>
      <c r="X8" s="156" t="s">
        <v>513</v>
      </c>
      <c r="Y8" s="156" t="s">
        <v>514</v>
      </c>
      <c r="Z8" s="156" t="s">
        <v>430</v>
      </c>
      <c r="AA8" s="156" t="s">
        <v>827</v>
      </c>
      <c r="AB8" s="156" t="s">
        <v>845</v>
      </c>
      <c r="AC8" s="156" t="s">
        <v>851</v>
      </c>
      <c r="AD8" s="156" t="s">
        <v>855</v>
      </c>
      <c r="AE8" s="156" t="s">
        <v>862</v>
      </c>
    </row>
    <row r="9" spans="2:32" s="3" customFormat="1" x14ac:dyDescent="0.25">
      <c r="B9" s="154" t="s">
        <v>338</v>
      </c>
      <c r="C9" s="146"/>
      <c r="D9" s="146"/>
      <c r="E9" s="154" t="s">
        <v>433</v>
      </c>
      <c r="F9" s="155" t="s">
        <v>53</v>
      </c>
      <c r="G9" s="155" t="s">
        <v>165</v>
      </c>
      <c r="H9" s="155" t="s">
        <v>169</v>
      </c>
      <c r="I9" s="155" t="s">
        <v>171</v>
      </c>
      <c r="J9" s="155" t="s">
        <v>173</v>
      </c>
      <c r="K9" s="155" t="s">
        <v>176</v>
      </c>
      <c r="L9" s="155" t="s">
        <v>178</v>
      </c>
      <c r="M9" s="156" t="s">
        <v>180</v>
      </c>
      <c r="N9" s="156" t="s">
        <v>182</v>
      </c>
      <c r="O9" s="156" t="s">
        <v>185</v>
      </c>
      <c r="P9" s="156" t="s">
        <v>198</v>
      </c>
      <c r="Q9" s="156" t="s">
        <v>285</v>
      </c>
      <c r="R9" s="156" t="s">
        <v>290</v>
      </c>
      <c r="S9" s="156" t="s">
        <v>292</v>
      </c>
      <c r="T9" s="156" t="s">
        <v>306</v>
      </c>
      <c r="U9" s="156" t="s">
        <v>309</v>
      </c>
      <c r="V9" s="156" t="s">
        <v>322</v>
      </c>
      <c r="W9" s="156" t="s">
        <v>329</v>
      </c>
      <c r="X9" s="156" t="s">
        <v>331</v>
      </c>
      <c r="Y9" s="156" t="s">
        <v>335</v>
      </c>
      <c r="Z9" s="156" t="s">
        <v>430</v>
      </c>
      <c r="AA9" s="156" t="s">
        <v>827</v>
      </c>
      <c r="AB9" s="156" t="s">
        <v>846</v>
      </c>
      <c r="AC9" s="156" t="s">
        <v>853</v>
      </c>
      <c r="AD9" s="156" t="s">
        <v>855</v>
      </c>
      <c r="AE9" s="156" t="s">
        <v>862</v>
      </c>
    </row>
    <row r="10" spans="2:32" s="3" customFormat="1" ht="15" customHeight="1" x14ac:dyDescent="0.25">
      <c r="B10" s="2"/>
      <c r="C10" s="2"/>
      <c r="D10" s="2"/>
      <c r="E10" s="2"/>
      <c r="F10" s="152"/>
      <c r="G10" s="152"/>
      <c r="H10" s="152"/>
      <c r="I10" s="152"/>
      <c r="J10" s="152"/>
      <c r="K10" s="152"/>
      <c r="L10" s="152"/>
      <c r="M10" s="153"/>
      <c r="N10" s="153"/>
      <c r="O10" s="153"/>
      <c r="P10" s="153"/>
      <c r="Q10" s="153"/>
      <c r="R10" s="153"/>
      <c r="S10" s="153"/>
      <c r="T10" s="153"/>
      <c r="U10" s="153"/>
      <c r="V10" s="153"/>
      <c r="W10" s="153"/>
      <c r="X10" s="153"/>
      <c r="Y10" s="153"/>
      <c r="Z10" s="153"/>
      <c r="AA10" s="153"/>
      <c r="AB10" s="153"/>
      <c r="AC10" s="153"/>
      <c r="AD10" s="153"/>
      <c r="AE10" s="153"/>
    </row>
    <row r="11" spans="2:32" s="3" customFormat="1" ht="15" customHeight="1" x14ac:dyDescent="0.25">
      <c r="B11" s="160" t="s">
        <v>156</v>
      </c>
      <c r="C11" s="160"/>
      <c r="D11" s="160"/>
      <c r="E11" s="160" t="s">
        <v>712</v>
      </c>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row>
    <row r="12" spans="2:32" s="3" customFormat="1" ht="15" customHeight="1" x14ac:dyDescent="0.25">
      <c r="B12" s="74"/>
      <c r="C12" s="74"/>
      <c r="D12" s="74"/>
      <c r="E12" s="74"/>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2:32" s="3" customFormat="1" ht="15" customHeight="1" x14ac:dyDescent="0.25">
      <c r="C13" s="142" t="s">
        <v>253</v>
      </c>
      <c r="D13" s="142"/>
      <c r="E13" s="142" t="s">
        <v>714</v>
      </c>
      <c r="F13" s="12">
        <v>27.023</v>
      </c>
      <c r="G13" s="12">
        <v>20.132000000000001</v>
      </c>
      <c r="H13" s="12">
        <v>50.323999999999998</v>
      </c>
      <c r="I13" s="12">
        <v>39.917999999999999</v>
      </c>
      <c r="J13" s="12">
        <v>61.94</v>
      </c>
      <c r="K13" s="12">
        <v>49.198999999999998</v>
      </c>
      <c r="L13" s="12">
        <v>43.65</v>
      </c>
      <c r="M13" s="12">
        <v>249.77199999999999</v>
      </c>
      <c r="N13" s="12">
        <v>238.66399999999999</v>
      </c>
      <c r="O13" s="12">
        <v>224.59399999999999</v>
      </c>
      <c r="P13" s="12">
        <v>241.779</v>
      </c>
      <c r="Q13" s="12">
        <v>232.51499999999999</v>
      </c>
      <c r="R13" s="12">
        <v>191.19399999999999</v>
      </c>
      <c r="S13" s="12">
        <v>317.899</v>
      </c>
      <c r="T13" s="12">
        <v>396.66300000000001</v>
      </c>
      <c r="U13" s="12">
        <v>383.38299999999998</v>
      </c>
      <c r="V13" s="12">
        <v>320.35399999999998</v>
      </c>
      <c r="W13" s="12">
        <v>257.35899999999998</v>
      </c>
      <c r="X13" s="12">
        <v>345.274</v>
      </c>
      <c r="Y13" s="12">
        <v>284.36</v>
      </c>
      <c r="Z13" s="12">
        <v>460.02800000000002</v>
      </c>
      <c r="AA13" s="12">
        <v>315.70999999999998</v>
      </c>
      <c r="AB13" s="12">
        <v>379.24099999999999</v>
      </c>
      <c r="AC13" s="12">
        <v>343.40899999999999</v>
      </c>
      <c r="AD13" s="12">
        <v>352.072</v>
      </c>
      <c r="AE13" s="12">
        <v>353.21199999999999</v>
      </c>
    </row>
    <row r="14" spans="2:32" ht="15" customHeight="1" x14ac:dyDescent="0.25">
      <c r="C14" s="142" t="s">
        <v>254</v>
      </c>
      <c r="D14" s="142"/>
      <c r="E14" s="142" t="s">
        <v>715</v>
      </c>
      <c r="F14" s="11">
        <v>5383.61</v>
      </c>
      <c r="G14" s="11">
        <v>5721.2610000000004</v>
      </c>
      <c r="H14" s="11">
        <v>5513.2309999999998</v>
      </c>
      <c r="I14" s="11">
        <v>5328.8969999999999</v>
      </c>
      <c r="J14" s="11">
        <v>4978.8900000000003</v>
      </c>
      <c r="K14" s="11">
        <v>4940.8450000000003</v>
      </c>
      <c r="L14" s="11">
        <v>4608.415</v>
      </c>
      <c r="M14" s="11">
        <v>5218.4780000000001</v>
      </c>
      <c r="N14" s="11">
        <v>4593.5950000000003</v>
      </c>
      <c r="O14" s="11">
        <v>4027.3580000000002</v>
      </c>
      <c r="P14" s="11">
        <v>4187.74</v>
      </c>
      <c r="Q14" s="11">
        <v>5158.6750000000002</v>
      </c>
      <c r="R14" s="11">
        <v>5154.2870000000003</v>
      </c>
      <c r="S14" s="11">
        <v>6628.3890000000001</v>
      </c>
      <c r="T14" s="11">
        <v>8747.61</v>
      </c>
      <c r="U14" s="11">
        <v>9061.7039999999997</v>
      </c>
      <c r="V14" s="11">
        <v>8928.8359999999993</v>
      </c>
      <c r="W14" s="11">
        <v>7767.9639999999999</v>
      </c>
      <c r="X14" s="11">
        <v>8000.0020000000004</v>
      </c>
      <c r="Y14" s="11">
        <v>7140.2520000000004</v>
      </c>
      <c r="Z14" s="11">
        <v>7568.3379999999997</v>
      </c>
      <c r="AA14" s="11">
        <v>7913.8710000000001</v>
      </c>
      <c r="AB14" s="12">
        <v>9401.6139999999996</v>
      </c>
      <c r="AC14" s="12">
        <v>9506.2530000000006</v>
      </c>
      <c r="AD14" s="12">
        <v>8460.1869999999999</v>
      </c>
      <c r="AE14" s="12">
        <v>7385.7420000000002</v>
      </c>
      <c r="AF14" s="3"/>
    </row>
    <row r="15" spans="2:32" ht="15" customHeight="1" x14ac:dyDescent="0.25">
      <c r="C15" s="142" t="s">
        <v>256</v>
      </c>
      <c r="D15" s="142"/>
      <c r="E15" s="142" t="s">
        <v>716</v>
      </c>
      <c r="F15" s="11">
        <v>3521.9949999999999</v>
      </c>
      <c r="G15" s="11">
        <v>3713.4409999999998</v>
      </c>
      <c r="H15" s="11">
        <v>3659.9</v>
      </c>
      <c r="I15" s="11">
        <v>3652.9900000000002</v>
      </c>
      <c r="J15" s="11">
        <v>3681.527</v>
      </c>
      <c r="K15" s="11">
        <v>3605.556</v>
      </c>
      <c r="L15" s="11">
        <v>3613.89</v>
      </c>
      <c r="M15" s="11">
        <v>3635.2440000000001</v>
      </c>
      <c r="N15" s="11">
        <v>3909.1959999999999</v>
      </c>
      <c r="O15" s="11">
        <v>4091.2630000000004</v>
      </c>
      <c r="P15" s="11">
        <v>4125</v>
      </c>
      <c r="Q15" s="11">
        <v>3744.7</v>
      </c>
      <c r="R15" s="11">
        <v>3347.0389999999998</v>
      </c>
      <c r="S15" s="11">
        <v>3282.6969999999997</v>
      </c>
      <c r="T15" s="11">
        <v>3376.067</v>
      </c>
      <c r="U15" s="11">
        <v>3581.3669999999997</v>
      </c>
      <c r="V15" s="11">
        <v>3662.5640000000003</v>
      </c>
      <c r="W15" s="11">
        <v>4109.6149999999998</v>
      </c>
      <c r="X15" s="11">
        <v>4504.4710000000005</v>
      </c>
      <c r="Y15" s="11">
        <v>4808.6449999999995</v>
      </c>
      <c r="Z15" s="11">
        <v>5767.7420000000002</v>
      </c>
      <c r="AA15" s="11">
        <v>6035.2870000000003</v>
      </c>
      <c r="AB15" s="12">
        <v>6200.0290000000005</v>
      </c>
      <c r="AC15" s="12">
        <v>6360.4830000000002</v>
      </c>
      <c r="AD15" s="12">
        <v>6529.902</v>
      </c>
      <c r="AE15" s="12">
        <v>7318.8959999999997</v>
      </c>
      <c r="AF15" s="3"/>
    </row>
    <row r="16" spans="2:32" ht="15" customHeight="1" x14ac:dyDescent="0.25">
      <c r="C16" s="142" t="s">
        <v>257</v>
      </c>
      <c r="D16" s="142"/>
      <c r="E16" s="142" t="s">
        <v>717</v>
      </c>
      <c r="F16" s="11">
        <v>3173.413</v>
      </c>
      <c r="G16" s="11">
        <v>3538.2420000000002</v>
      </c>
      <c r="H16" s="11">
        <v>4092.1080000000002</v>
      </c>
      <c r="I16" s="11">
        <v>4343.7420000000002</v>
      </c>
      <c r="J16" s="11">
        <v>4971.0709999999999</v>
      </c>
      <c r="K16" s="11">
        <v>5036.4930000000004</v>
      </c>
      <c r="L16" s="11">
        <v>5228.1059999999998</v>
      </c>
      <c r="M16" s="11">
        <v>5394.94</v>
      </c>
      <c r="N16" s="11">
        <v>5258.4639999999999</v>
      </c>
      <c r="O16" s="11">
        <v>5509.3819999999996</v>
      </c>
      <c r="P16" s="11">
        <v>5555.0339999999997</v>
      </c>
      <c r="Q16" s="11">
        <v>5760.9279999999999</v>
      </c>
      <c r="R16" s="11">
        <v>5924.3720000000003</v>
      </c>
      <c r="S16" s="11">
        <v>6744.6220000000003</v>
      </c>
      <c r="T16" s="11">
        <v>5860.6409999999996</v>
      </c>
      <c r="U16" s="11">
        <v>6850.7330000000002</v>
      </c>
      <c r="V16" s="11">
        <v>7331.1189999999997</v>
      </c>
      <c r="W16" s="11">
        <v>6544.884</v>
      </c>
      <c r="X16" s="11">
        <v>7646.3860000000004</v>
      </c>
      <c r="Y16" s="11">
        <v>7536.3829999999998</v>
      </c>
      <c r="Z16" s="11">
        <v>8250.7219999999998</v>
      </c>
      <c r="AA16" s="11">
        <v>9338.8520000000008</v>
      </c>
      <c r="AB16" s="12">
        <v>10395.118</v>
      </c>
      <c r="AC16" s="12">
        <v>10991.215</v>
      </c>
      <c r="AD16" s="12">
        <v>10485.861999999999</v>
      </c>
      <c r="AE16" s="12">
        <v>11417.82</v>
      </c>
      <c r="AF16" s="3"/>
    </row>
    <row r="17" spans="2:32" ht="15" customHeight="1" x14ac:dyDescent="0.25">
      <c r="C17" s="142" t="s">
        <v>258</v>
      </c>
      <c r="D17" s="142"/>
      <c r="E17" s="142" t="s">
        <v>718</v>
      </c>
      <c r="F17" s="11">
        <v>386.53199999999998</v>
      </c>
      <c r="G17" s="11">
        <v>485.899</v>
      </c>
      <c r="H17" s="11">
        <v>637.81500000000005</v>
      </c>
      <c r="I17" s="11">
        <v>706.08799999999997</v>
      </c>
      <c r="J17" s="11">
        <v>739.45799999999997</v>
      </c>
      <c r="K17" s="11">
        <v>981.33699999999999</v>
      </c>
      <c r="L17" s="11">
        <v>999.78300000000002</v>
      </c>
      <c r="M17" s="11">
        <v>1287.3119999999999</v>
      </c>
      <c r="N17" s="11">
        <v>1608.3490000000002</v>
      </c>
      <c r="O17" s="11">
        <v>1334.0300000000002</v>
      </c>
      <c r="P17" s="11">
        <v>1355.2950599800001</v>
      </c>
      <c r="Q17" s="11">
        <v>1375.4867073400001</v>
      </c>
      <c r="R17" s="11">
        <v>1393.7108165100003</v>
      </c>
      <c r="S17" s="11">
        <v>1402.2153430799999</v>
      </c>
      <c r="T17" s="11">
        <v>1385.7028417499998</v>
      </c>
      <c r="U17" s="11">
        <v>1275.05</v>
      </c>
      <c r="V17" s="11">
        <v>1287.827</v>
      </c>
      <c r="W17" s="11">
        <v>1252.1111823799999</v>
      </c>
      <c r="X17" s="11">
        <v>1239.0905358100001</v>
      </c>
      <c r="Y17" s="11">
        <v>1217.1629102000002</v>
      </c>
      <c r="Z17" s="11">
        <v>1251.422</v>
      </c>
      <c r="AA17" s="11">
        <v>1460.0439999999999</v>
      </c>
      <c r="AB17" s="12">
        <v>1570.4270000000001</v>
      </c>
      <c r="AC17" s="12">
        <v>1742.3785230100002</v>
      </c>
      <c r="AD17" s="12">
        <v>1733.5548771400001</v>
      </c>
      <c r="AE17" s="12">
        <v>1821.5314868400001</v>
      </c>
      <c r="AF17" s="3"/>
    </row>
    <row r="18" spans="2:32" ht="15" customHeight="1" x14ac:dyDescent="0.25">
      <c r="C18" s="75" t="s">
        <v>154</v>
      </c>
      <c r="D18" s="75"/>
      <c r="E18" s="75" t="s">
        <v>719</v>
      </c>
      <c r="F18" s="11">
        <v>572.81700000000001</v>
      </c>
      <c r="G18" s="11">
        <v>413.529</v>
      </c>
      <c r="H18" s="11">
        <v>775.49300000000005</v>
      </c>
      <c r="I18" s="11">
        <v>681.42899999999997</v>
      </c>
      <c r="J18" s="11">
        <v>682.71199999999999</v>
      </c>
      <c r="K18" s="11">
        <v>424.56700000000001</v>
      </c>
      <c r="L18" s="11">
        <v>696.51300000000003</v>
      </c>
      <c r="M18" s="11">
        <v>723.53200000000004</v>
      </c>
      <c r="N18" s="11">
        <v>689.25699999999995</v>
      </c>
      <c r="O18" s="11">
        <v>348.45100000000002</v>
      </c>
      <c r="P18" s="11">
        <v>320.31200000000001</v>
      </c>
      <c r="Q18" s="11">
        <v>302.48</v>
      </c>
      <c r="R18" s="11">
        <v>627.56399999999996</v>
      </c>
      <c r="S18" s="11">
        <v>379.39400000000001</v>
      </c>
      <c r="T18" s="11">
        <v>655.64</v>
      </c>
      <c r="U18" s="11">
        <v>710.24099999999999</v>
      </c>
      <c r="V18" s="11">
        <v>839.24900000000002</v>
      </c>
      <c r="W18" s="11">
        <v>561.74300000000005</v>
      </c>
      <c r="X18" s="11">
        <v>531.94799999999998</v>
      </c>
      <c r="Y18" s="11">
        <v>531.18399999999997</v>
      </c>
      <c r="Z18" s="11">
        <v>539.67600000000004</v>
      </c>
      <c r="AA18" s="11">
        <v>532.077</v>
      </c>
      <c r="AB18" s="11">
        <v>226.18899999999999</v>
      </c>
      <c r="AC18" s="11">
        <v>504.64</v>
      </c>
      <c r="AD18" s="11">
        <v>503.53399999999999</v>
      </c>
      <c r="AE18" s="11">
        <v>323.16399999999999</v>
      </c>
      <c r="AF18" s="3"/>
    </row>
    <row r="19" spans="2:32" ht="15" customHeight="1" x14ac:dyDescent="0.25">
      <c r="C19" s="75" t="s">
        <v>247</v>
      </c>
      <c r="D19" s="75"/>
      <c r="E19" s="75" t="s">
        <v>720</v>
      </c>
      <c r="F19" s="11">
        <v>5231.2290000000003</v>
      </c>
      <c r="G19" s="11">
        <v>5094.9979999999996</v>
      </c>
      <c r="H19" s="11">
        <v>4906</v>
      </c>
      <c r="I19" s="11">
        <v>4801.1050000000005</v>
      </c>
      <c r="J19" s="11">
        <v>4341.0959999999995</v>
      </c>
      <c r="K19" s="11">
        <v>5495.2440000000006</v>
      </c>
      <c r="L19" s="11">
        <v>5765.6880000000001</v>
      </c>
      <c r="M19" s="11">
        <v>5813.1859999999997</v>
      </c>
      <c r="N19" s="11">
        <v>6119.518</v>
      </c>
      <c r="O19" s="11">
        <v>6239.2079999999996</v>
      </c>
      <c r="P19" s="11">
        <v>7384.1</v>
      </c>
      <c r="Q19" s="11">
        <v>7279.2</v>
      </c>
      <c r="R19" s="11">
        <v>11117.1</v>
      </c>
      <c r="S19" s="11">
        <v>10327.564</v>
      </c>
      <c r="T19" s="11">
        <v>9281.1755643999968</v>
      </c>
      <c r="U19" s="11">
        <v>7909.0919999999996</v>
      </c>
      <c r="V19" s="11">
        <v>9449.3009999999995</v>
      </c>
      <c r="W19" s="11">
        <v>9113.0529999999999</v>
      </c>
      <c r="X19" s="11">
        <v>10469.105</v>
      </c>
      <c r="Y19" s="11">
        <v>10282.115999999998</v>
      </c>
      <c r="Z19" s="11">
        <v>8906.0509999999995</v>
      </c>
      <c r="AA19" s="11">
        <v>10201.509</v>
      </c>
      <c r="AB19" s="11">
        <v>9222.0619999999999</v>
      </c>
      <c r="AC19" s="11">
        <v>8441.2750000000015</v>
      </c>
      <c r="AD19" s="11">
        <v>8202.8379999999997</v>
      </c>
      <c r="AE19" s="11">
        <v>9370.866</v>
      </c>
      <c r="AF19" s="3"/>
    </row>
    <row r="20" spans="2:32" ht="15" customHeight="1" x14ac:dyDescent="0.25">
      <c r="C20" s="75" t="s">
        <v>255</v>
      </c>
      <c r="D20" s="75"/>
      <c r="E20" s="75" t="s">
        <v>721</v>
      </c>
      <c r="F20" s="11">
        <v>1929.347</v>
      </c>
      <c r="G20" s="11">
        <v>1873.759</v>
      </c>
      <c r="H20" s="11">
        <v>1842.174</v>
      </c>
      <c r="I20" s="11">
        <v>1591.3340000000001</v>
      </c>
      <c r="J20" s="11">
        <v>1451.653</v>
      </c>
      <c r="K20" s="11">
        <v>1267.7</v>
      </c>
      <c r="L20" s="11">
        <v>1312.896</v>
      </c>
      <c r="M20" s="11">
        <v>1306.3330000000001</v>
      </c>
      <c r="N20" s="11">
        <v>1263.248</v>
      </c>
      <c r="O20" s="11">
        <v>1142.694</v>
      </c>
      <c r="P20" s="11">
        <v>1245.9690000000001</v>
      </c>
      <c r="Q20" s="11">
        <v>1167.432</v>
      </c>
      <c r="R20" s="11">
        <v>1088.454</v>
      </c>
      <c r="S20" s="11">
        <v>1135.9269999999999</v>
      </c>
      <c r="T20" s="11">
        <v>1284.55</v>
      </c>
      <c r="U20" s="11">
        <v>1216.874</v>
      </c>
      <c r="V20" s="11">
        <v>1084.1669999999999</v>
      </c>
      <c r="W20" s="11">
        <v>1069.44</v>
      </c>
      <c r="X20" s="11">
        <v>1515.9770000000001</v>
      </c>
      <c r="Y20" s="11">
        <v>1567.8920000000001</v>
      </c>
      <c r="Z20" s="11">
        <v>1569.3820000000001</v>
      </c>
      <c r="AA20" s="11">
        <v>1473.5609999999999</v>
      </c>
      <c r="AB20" s="11">
        <v>1876.6010000000001</v>
      </c>
      <c r="AC20" s="11">
        <v>2033.4639999999999</v>
      </c>
      <c r="AD20" s="11">
        <v>1887.4860000000001</v>
      </c>
      <c r="AE20" s="11">
        <v>1977.336</v>
      </c>
      <c r="AF20" s="3"/>
    </row>
    <row r="21" spans="2:32" ht="15" customHeight="1" x14ac:dyDescent="0.25">
      <c r="C21" s="75" t="s">
        <v>420</v>
      </c>
      <c r="D21" s="75"/>
      <c r="E21" s="75" t="s">
        <v>722</v>
      </c>
      <c r="F21" s="11">
        <v>489.185</v>
      </c>
      <c r="G21" s="11">
        <v>486.03899999999999</v>
      </c>
      <c r="H21" s="11">
        <v>471.827</v>
      </c>
      <c r="I21" s="11">
        <v>470.04500000000007</v>
      </c>
      <c r="J21" s="11">
        <v>476.01400000000001</v>
      </c>
      <c r="K21" s="11">
        <v>532.38999999999987</v>
      </c>
      <c r="L21" s="11">
        <v>554.84</v>
      </c>
      <c r="M21" s="11">
        <v>523.47</v>
      </c>
      <c r="N21" s="11">
        <v>524.05200000000002</v>
      </c>
      <c r="O21" s="11">
        <v>505.90696686000001</v>
      </c>
      <c r="P21" s="11">
        <v>548.11800638</v>
      </c>
      <c r="Q21" s="11">
        <v>517.34173713999962</v>
      </c>
      <c r="R21" s="11">
        <v>678.67730990999962</v>
      </c>
      <c r="S21" s="11">
        <v>0</v>
      </c>
      <c r="T21" s="11">
        <v>0</v>
      </c>
      <c r="U21" s="11">
        <v>0</v>
      </c>
      <c r="V21" s="11">
        <v>0</v>
      </c>
      <c r="W21" s="11">
        <v>0</v>
      </c>
      <c r="X21" s="11">
        <v>0</v>
      </c>
      <c r="Y21" s="11">
        <v>0</v>
      </c>
      <c r="Z21" s="11">
        <v>0</v>
      </c>
      <c r="AA21" s="11">
        <v>0</v>
      </c>
      <c r="AB21" s="11">
        <v>0</v>
      </c>
      <c r="AC21" s="11">
        <v>0</v>
      </c>
      <c r="AD21" s="11">
        <v>0</v>
      </c>
      <c r="AE21" s="11">
        <v>0</v>
      </c>
      <c r="AF21" s="3"/>
    </row>
    <row r="22" spans="2:32" ht="15" customHeight="1" x14ac:dyDescent="0.25">
      <c r="C22" s="75" t="s">
        <v>259</v>
      </c>
      <c r="D22" s="75"/>
      <c r="E22" s="75" t="s">
        <v>723</v>
      </c>
      <c r="F22" s="11">
        <v>0</v>
      </c>
      <c r="G22" s="11">
        <v>0</v>
      </c>
      <c r="H22" s="11">
        <v>0</v>
      </c>
      <c r="I22" s="11">
        <v>0</v>
      </c>
      <c r="J22" s="11">
        <v>0</v>
      </c>
      <c r="K22" s="11">
        <v>0</v>
      </c>
      <c r="L22" s="11">
        <v>0</v>
      </c>
      <c r="M22" s="11">
        <v>0</v>
      </c>
      <c r="N22" s="11">
        <v>0</v>
      </c>
      <c r="O22" s="11">
        <v>464.07299999999998</v>
      </c>
      <c r="P22" s="11">
        <v>494.41994002000001</v>
      </c>
      <c r="Q22" s="11">
        <v>501.96729266</v>
      </c>
      <c r="R22" s="11">
        <v>508.28718348999973</v>
      </c>
      <c r="S22" s="11">
        <v>512.92265692000001</v>
      </c>
      <c r="T22" s="11">
        <v>490.56115825000001</v>
      </c>
      <c r="U22" s="11">
        <v>480.57</v>
      </c>
      <c r="V22" s="11">
        <v>483.42700000000002</v>
      </c>
      <c r="W22" s="11">
        <v>488.08181761999998</v>
      </c>
      <c r="X22" s="11">
        <v>486.58746418999999</v>
      </c>
      <c r="Y22" s="11">
        <v>490.66908979999999</v>
      </c>
      <c r="Z22" s="11">
        <v>505.34313545999953</v>
      </c>
      <c r="AA22" s="11">
        <v>523.47004319999996</v>
      </c>
      <c r="AB22" s="11">
        <v>509.90199999999999</v>
      </c>
      <c r="AC22" s="11">
        <v>505.03747699000002</v>
      </c>
      <c r="AD22" s="11">
        <v>525.19812286000001</v>
      </c>
      <c r="AE22" s="11">
        <v>545.59551316</v>
      </c>
      <c r="AF22" s="3"/>
    </row>
    <row r="23" spans="2:32" s="1" customFormat="1" ht="15" customHeight="1" x14ac:dyDescent="0.25">
      <c r="C23" s="170" t="s">
        <v>260</v>
      </c>
      <c r="D23" s="170"/>
      <c r="E23" s="170" t="s">
        <v>724</v>
      </c>
      <c r="F23" s="182">
        <f t="shared" ref="F23:K23" si="0">SUM(F13:F22)</f>
        <v>20715.151000000002</v>
      </c>
      <c r="G23" s="182">
        <f t="shared" si="0"/>
        <v>21347.3</v>
      </c>
      <c r="H23" s="182">
        <f t="shared" si="0"/>
        <v>21948.871999999999</v>
      </c>
      <c r="I23" s="182">
        <f t="shared" si="0"/>
        <v>21615.548000000003</v>
      </c>
      <c r="J23" s="182">
        <f t="shared" si="0"/>
        <v>21384.360999999997</v>
      </c>
      <c r="K23" s="182">
        <f t="shared" si="0"/>
        <v>22333.331000000002</v>
      </c>
      <c r="L23" s="182">
        <f>SUM(L13:L22)</f>
        <v>22823.780999999999</v>
      </c>
      <c r="M23" s="182">
        <f t="shared" ref="M23:O23" si="1">SUM(M13:M22)</f>
        <v>24152.267</v>
      </c>
      <c r="N23" s="182">
        <f t="shared" si="1"/>
        <v>24204.342999999997</v>
      </c>
      <c r="O23" s="182">
        <f t="shared" si="1"/>
        <v>23886.959966859999</v>
      </c>
      <c r="P23" s="182">
        <f t="shared" ref="P23:U23" si="2">SUM(P13:P22)</f>
        <v>25457.76700638</v>
      </c>
      <c r="Q23" s="182">
        <f t="shared" si="2"/>
        <v>26040.725737140001</v>
      </c>
      <c r="R23" s="182">
        <f t="shared" si="2"/>
        <v>30030.685309909997</v>
      </c>
      <c r="S23" s="182">
        <f t="shared" si="2"/>
        <v>30731.629999999997</v>
      </c>
      <c r="T23" s="182">
        <f t="shared" si="2"/>
        <v>31478.610564399994</v>
      </c>
      <c r="U23" s="182">
        <f t="shared" si="2"/>
        <v>31469.013999999996</v>
      </c>
      <c r="V23" s="182">
        <f t="shared" ref="V23:W23" si="3">SUM(V13:V22)</f>
        <v>33386.844000000005</v>
      </c>
      <c r="W23" s="182">
        <f t="shared" si="3"/>
        <v>31164.250999999997</v>
      </c>
      <c r="X23" s="182">
        <f t="shared" ref="X23:AC23" si="4">SUM(X13:X22)</f>
        <v>34738.841</v>
      </c>
      <c r="Y23" s="182">
        <f t="shared" si="4"/>
        <v>33858.664000000004</v>
      </c>
      <c r="Z23" s="182">
        <f t="shared" si="4"/>
        <v>34818.704135459993</v>
      </c>
      <c r="AA23" s="182">
        <f t="shared" si="4"/>
        <v>37794.38104320001</v>
      </c>
      <c r="AB23" s="182">
        <f t="shared" si="4"/>
        <v>39781.183000000005</v>
      </c>
      <c r="AC23" s="182">
        <f t="shared" si="4"/>
        <v>40428.154999999999</v>
      </c>
      <c r="AD23" s="182">
        <f t="shared" ref="AD23" si="5">SUM(AD13:AD22)</f>
        <v>38680.633999999991</v>
      </c>
      <c r="AE23" s="182">
        <f t="shared" ref="AE23" si="6">SUM(AE13:AE22)</f>
        <v>40514.163</v>
      </c>
      <c r="AF23" s="3"/>
    </row>
    <row r="24" spans="2:32" ht="15" customHeight="1" x14ac:dyDescent="0.25">
      <c r="C24" s="75" t="s">
        <v>155</v>
      </c>
      <c r="D24" s="75"/>
      <c r="E24" s="75" t="s">
        <v>725</v>
      </c>
      <c r="F24" s="11">
        <v>3031.5259999999998</v>
      </c>
      <c r="G24" s="11">
        <v>3091.1410000000001</v>
      </c>
      <c r="H24" s="11">
        <v>3228.4360000000001</v>
      </c>
      <c r="I24" s="11">
        <v>3284.33</v>
      </c>
      <c r="J24" s="11">
        <v>3419.8609999999999</v>
      </c>
      <c r="K24" s="11">
        <v>3445.9609999999998</v>
      </c>
      <c r="L24" s="11">
        <v>3618.8519999999999</v>
      </c>
      <c r="M24" s="11">
        <v>3665.51</v>
      </c>
      <c r="N24" s="11">
        <v>3824.3620000000001</v>
      </c>
      <c r="O24" s="11">
        <v>3882.2190000000001</v>
      </c>
      <c r="P24" s="11">
        <v>3956.2869999999998</v>
      </c>
      <c r="Q24" s="11">
        <v>4040.73</v>
      </c>
      <c r="R24" s="11">
        <v>4046.7</v>
      </c>
      <c r="S24" s="11">
        <v>4093.2990000000004</v>
      </c>
      <c r="T24" s="11">
        <v>4187.5559999999996</v>
      </c>
      <c r="U24" s="11">
        <v>4288.2629999999999</v>
      </c>
      <c r="V24" s="11">
        <v>4391.9520000000002</v>
      </c>
      <c r="W24" s="11">
        <v>4459.17</v>
      </c>
      <c r="X24" s="11">
        <v>4555.6909999999998</v>
      </c>
      <c r="Y24" s="11">
        <v>4670.6559999999999</v>
      </c>
      <c r="Z24" s="11">
        <v>4775.1869999999999</v>
      </c>
      <c r="AA24" s="11">
        <v>4912.0159999999996</v>
      </c>
      <c r="AB24" s="11">
        <v>5072.0609999999997</v>
      </c>
      <c r="AC24" s="11">
        <v>5205.3860003399996</v>
      </c>
      <c r="AD24" s="11">
        <v>5303.1059999999998</v>
      </c>
      <c r="AE24" s="11">
        <v>5420.8109999999997</v>
      </c>
      <c r="AF24" s="3"/>
    </row>
    <row r="25" spans="2:32" s="1" customFormat="1" ht="15" customHeight="1" x14ac:dyDescent="0.25">
      <c r="C25" s="189" t="s">
        <v>221</v>
      </c>
      <c r="D25" s="189"/>
      <c r="E25" s="189" t="s">
        <v>221</v>
      </c>
      <c r="F25" s="190">
        <f t="shared" ref="F25:K25" si="7">SUM(F23:F24)</f>
        <v>23746.677000000003</v>
      </c>
      <c r="G25" s="190">
        <f t="shared" si="7"/>
        <v>24438.440999999999</v>
      </c>
      <c r="H25" s="190">
        <f t="shared" si="7"/>
        <v>25177.308000000001</v>
      </c>
      <c r="I25" s="190">
        <f t="shared" si="7"/>
        <v>24899.878000000004</v>
      </c>
      <c r="J25" s="190">
        <f t="shared" si="7"/>
        <v>24804.221999999998</v>
      </c>
      <c r="K25" s="190">
        <f t="shared" si="7"/>
        <v>25779.292000000001</v>
      </c>
      <c r="L25" s="190">
        <f>SUM(L23:L24)</f>
        <v>26442.632999999998</v>
      </c>
      <c r="M25" s="190">
        <f t="shared" ref="M25:N25" si="8">SUM(M23:M24)</f>
        <v>27817.777000000002</v>
      </c>
      <c r="N25" s="190">
        <f t="shared" si="8"/>
        <v>28028.704999999998</v>
      </c>
      <c r="O25" s="190">
        <f t="shared" ref="O25:U25" si="9">SUM(O23:O24)</f>
        <v>27769.178966859999</v>
      </c>
      <c r="P25" s="190">
        <f t="shared" si="9"/>
        <v>29414.05400638</v>
      </c>
      <c r="Q25" s="190">
        <f t="shared" si="9"/>
        <v>30081.455737140001</v>
      </c>
      <c r="R25" s="190">
        <f t="shared" si="9"/>
        <v>34077.385309909994</v>
      </c>
      <c r="S25" s="190">
        <f t="shared" si="9"/>
        <v>34824.928999999996</v>
      </c>
      <c r="T25" s="190">
        <f t="shared" si="9"/>
        <v>35666.166564399995</v>
      </c>
      <c r="U25" s="190">
        <f t="shared" si="9"/>
        <v>35757.276999999995</v>
      </c>
      <c r="V25" s="190">
        <f t="shared" ref="V25:AA25" si="10">SUM(V23:V24)</f>
        <v>37778.796000000002</v>
      </c>
      <c r="W25" s="190">
        <f t="shared" si="10"/>
        <v>35623.420999999995</v>
      </c>
      <c r="X25" s="190">
        <f t="shared" si="10"/>
        <v>39294.531999999999</v>
      </c>
      <c r="Y25" s="190">
        <f t="shared" si="10"/>
        <v>38529.320000000007</v>
      </c>
      <c r="Z25" s="190">
        <f t="shared" si="10"/>
        <v>39593.891135459991</v>
      </c>
      <c r="AA25" s="190">
        <f t="shared" si="10"/>
        <v>42706.397043200006</v>
      </c>
      <c r="AB25" s="190">
        <f>SUM(AB23:AB24)</f>
        <v>44853.244000000006</v>
      </c>
      <c r="AC25" s="190">
        <f>SUM(AC23:AC24)</f>
        <v>45633.541000339996</v>
      </c>
      <c r="AD25" s="190">
        <f>SUM(AD23:AD24)</f>
        <v>43983.739999999991</v>
      </c>
      <c r="AE25" s="190">
        <f>SUM(AE23:AE24)</f>
        <v>45934.974000000002</v>
      </c>
      <c r="AF25" s="3"/>
    </row>
    <row r="26" spans="2:32" s="1" customFormat="1" ht="15" customHeight="1" x14ac:dyDescent="0.25">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3"/>
    </row>
    <row r="27" spans="2:32" ht="15" customHeight="1" x14ac:dyDescent="0.25">
      <c r="F27" s="9"/>
      <c r="G27" s="9"/>
      <c r="H27" s="9"/>
      <c r="I27" s="9"/>
      <c r="J27" s="9"/>
      <c r="K27" s="9"/>
      <c r="L27" s="9"/>
      <c r="M27" s="9"/>
      <c r="N27" s="9"/>
      <c r="O27" s="9"/>
      <c r="P27" s="9"/>
      <c r="Q27" s="9"/>
      <c r="R27" s="9"/>
      <c r="S27" s="9"/>
      <c r="T27" s="9"/>
      <c r="U27" s="9"/>
      <c r="V27" s="9"/>
      <c r="W27" s="9"/>
      <c r="X27" s="9"/>
      <c r="Y27" s="9"/>
      <c r="Z27" s="9"/>
      <c r="AA27" s="9"/>
      <c r="AB27" s="9"/>
      <c r="AC27" s="9"/>
      <c r="AD27" s="9"/>
      <c r="AE27" s="9"/>
      <c r="AF27" s="3"/>
    </row>
    <row r="28" spans="2:32" ht="15" customHeight="1" x14ac:dyDescent="0.25">
      <c r="B28" s="148" t="s">
        <v>419</v>
      </c>
      <c r="C28" s="169"/>
      <c r="D28" s="169"/>
      <c r="E28" s="148" t="s">
        <v>713</v>
      </c>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3"/>
    </row>
    <row r="29" spans="2:32" ht="15" customHeight="1" x14ac:dyDescent="0.25">
      <c r="B29" s="141"/>
      <c r="C29" s="52"/>
      <c r="D29" s="52"/>
      <c r="E29" s="52"/>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3"/>
    </row>
    <row r="30" spans="2:32" ht="15" customHeight="1" x14ac:dyDescent="0.25">
      <c r="C30" s="75" t="s">
        <v>141</v>
      </c>
      <c r="D30" s="75"/>
      <c r="E30" s="75" t="s">
        <v>694</v>
      </c>
      <c r="F30" s="11">
        <v>3674.8789999999999</v>
      </c>
      <c r="G30" s="11">
        <v>5177.0300000000007</v>
      </c>
      <c r="H30" s="11">
        <v>4312.3</v>
      </c>
      <c r="I30" s="11">
        <v>4444.5130000000008</v>
      </c>
      <c r="J30" s="11">
        <v>4363.5279999999993</v>
      </c>
      <c r="K30" s="11">
        <v>5373.98</v>
      </c>
      <c r="L30" s="11">
        <v>5187.96</v>
      </c>
      <c r="M30" s="11">
        <v>5564.46</v>
      </c>
      <c r="N30" s="11">
        <v>5193.3599999999988</v>
      </c>
      <c r="O30" s="11">
        <v>5028.6100000000006</v>
      </c>
      <c r="P30" s="11">
        <v>5970.393</v>
      </c>
      <c r="Q30" s="11">
        <v>6084.8</v>
      </c>
      <c r="R30" s="11">
        <v>7914.75730991</v>
      </c>
      <c r="S30" s="11">
        <v>7744.64</v>
      </c>
      <c r="T30" s="11">
        <v>9475.36</v>
      </c>
      <c r="U30" s="11">
        <v>7624.25</v>
      </c>
      <c r="V30" s="11">
        <v>8071.7699999999995</v>
      </c>
      <c r="W30" s="11">
        <v>6700.2199999999993</v>
      </c>
      <c r="X30" s="11">
        <v>8720.19</v>
      </c>
      <c r="Y30" s="11">
        <v>7728.0700000000006</v>
      </c>
      <c r="Z30" s="11">
        <v>6919.869999999999</v>
      </c>
      <c r="AA30" s="11">
        <v>7103.6100000000006</v>
      </c>
      <c r="AB30" s="11">
        <v>7786.89</v>
      </c>
      <c r="AC30" s="11">
        <v>11201.489999999998</v>
      </c>
      <c r="AD30" s="11">
        <v>8580.17</v>
      </c>
      <c r="AE30" s="11">
        <v>9587.1500000000015</v>
      </c>
      <c r="AF30" s="3"/>
    </row>
    <row r="31" spans="2:32" ht="15" customHeight="1" x14ac:dyDescent="0.25">
      <c r="C31" s="75" t="s">
        <v>142</v>
      </c>
      <c r="D31" s="75"/>
      <c r="E31" s="75" t="s">
        <v>695</v>
      </c>
      <c r="F31" s="11">
        <v>9907.7099999999991</v>
      </c>
      <c r="G31" s="11">
        <v>9003</v>
      </c>
      <c r="H31" s="11">
        <v>10400.220000000001</v>
      </c>
      <c r="I31" s="11">
        <v>10914.5</v>
      </c>
      <c r="J31" s="11">
        <v>10668.79</v>
      </c>
      <c r="K31" s="11">
        <v>10342.23</v>
      </c>
      <c r="L31" s="11">
        <v>10637.99</v>
      </c>
      <c r="M31" s="11">
        <v>10889.69</v>
      </c>
      <c r="N31" s="11">
        <v>10769.039999999999</v>
      </c>
      <c r="O31" s="11">
        <v>10175.48</v>
      </c>
      <c r="P31" s="11">
        <v>11133.458006379999</v>
      </c>
      <c r="Q31" s="11">
        <v>12027.1</v>
      </c>
      <c r="R31" s="11">
        <v>14226.58</v>
      </c>
      <c r="S31" s="11">
        <v>15352.37</v>
      </c>
      <c r="T31" s="11">
        <v>14463.43</v>
      </c>
      <c r="U31" s="11">
        <v>16563.28</v>
      </c>
      <c r="V31" s="11">
        <v>17614.900000000001</v>
      </c>
      <c r="W31" s="11">
        <v>16084.470000000001</v>
      </c>
      <c r="X31" s="11">
        <v>15913.29</v>
      </c>
      <c r="Y31" s="11">
        <v>15128.439999999999</v>
      </c>
      <c r="Z31" s="11">
        <v>15939.48</v>
      </c>
      <c r="AA31" s="11">
        <v>17439.870000000003</v>
      </c>
      <c r="AB31" s="11">
        <v>18633.669999999998</v>
      </c>
      <c r="AC31" s="11">
        <v>15636.17</v>
      </c>
      <c r="AD31" s="11">
        <v>16600.43</v>
      </c>
      <c r="AE31" s="11">
        <v>16996.3</v>
      </c>
      <c r="AF31" s="3"/>
    </row>
    <row r="32" spans="2:32" ht="15" customHeight="1" x14ac:dyDescent="0.25">
      <c r="C32" s="75" t="s">
        <v>143</v>
      </c>
      <c r="D32" s="75"/>
      <c r="E32" s="75" t="s">
        <v>696</v>
      </c>
      <c r="F32" s="11">
        <v>6027.4650000000001</v>
      </c>
      <c r="G32" s="11">
        <v>5999.5690000000004</v>
      </c>
      <c r="H32" s="11">
        <v>5314.6</v>
      </c>
      <c r="I32" s="11">
        <v>5084.8150000000005</v>
      </c>
      <c r="J32" s="11">
        <v>5129.5939999999991</v>
      </c>
      <c r="K32" s="11">
        <v>5570.607</v>
      </c>
      <c r="L32" s="11">
        <v>4657.8999999999996</v>
      </c>
      <c r="M32" s="11">
        <v>5912.6500000000005</v>
      </c>
      <c r="N32" s="11">
        <v>6193.8420000000006</v>
      </c>
      <c r="O32" s="11">
        <v>6441.8069668600001</v>
      </c>
      <c r="P32" s="11">
        <v>5999</v>
      </c>
      <c r="Q32" s="11">
        <v>5486.7</v>
      </c>
      <c r="R32" s="11">
        <v>5445.4499999999989</v>
      </c>
      <c r="S32" s="11">
        <v>5082.8999999999996</v>
      </c>
      <c r="T32" s="11">
        <v>4596.3600000000006</v>
      </c>
      <c r="U32" s="11">
        <v>4389.12</v>
      </c>
      <c r="V32" s="11">
        <v>4440.67</v>
      </c>
      <c r="W32" s="11">
        <v>5206.95</v>
      </c>
      <c r="X32" s="11">
        <v>6931.7199999999993</v>
      </c>
      <c r="Y32" s="11">
        <v>7818.3700000000008</v>
      </c>
      <c r="Z32" s="11">
        <v>8839.6400000000012</v>
      </c>
      <c r="AA32" s="11">
        <v>9408.2400000000016</v>
      </c>
      <c r="AB32" s="11">
        <v>9941.02</v>
      </c>
      <c r="AC32" s="11">
        <v>9954.9500000000007</v>
      </c>
      <c r="AD32" s="11">
        <v>9859.4399999999987</v>
      </c>
      <c r="AE32" s="11">
        <v>10294.960000000001</v>
      </c>
      <c r="AF32" s="3"/>
    </row>
    <row r="33" spans="2:32" ht="15" customHeight="1" x14ac:dyDescent="0.25">
      <c r="C33" s="75" t="s">
        <v>144</v>
      </c>
      <c r="D33" s="75"/>
      <c r="E33" s="75" t="s">
        <v>697</v>
      </c>
      <c r="F33" s="11">
        <v>1105.1019999999999</v>
      </c>
      <c r="G33" s="11">
        <v>1167.6690000000001</v>
      </c>
      <c r="H33" s="11">
        <v>1921.8</v>
      </c>
      <c r="I33" s="11">
        <v>1171.7280000000001</v>
      </c>
      <c r="J33" s="11">
        <v>1222.4479999999999</v>
      </c>
      <c r="K33" s="11">
        <v>1046.5099999999998</v>
      </c>
      <c r="L33" s="11">
        <v>2340</v>
      </c>
      <c r="M33" s="11">
        <v>1785.462</v>
      </c>
      <c r="N33" s="11">
        <v>2048.1089999999999</v>
      </c>
      <c r="O33" s="11">
        <v>2241.1629999999996</v>
      </c>
      <c r="P33" s="11">
        <v>2354.94</v>
      </c>
      <c r="Q33" s="11">
        <v>2442.1</v>
      </c>
      <c r="R33" s="11">
        <v>2443.8879999999999</v>
      </c>
      <c r="S33" s="11">
        <v>2551.7179999999998</v>
      </c>
      <c r="T33" s="11">
        <v>2943.5039999999999</v>
      </c>
      <c r="U33" s="11">
        <v>2892.3599999999997</v>
      </c>
      <c r="V33" s="11">
        <v>3259.5039999999999</v>
      </c>
      <c r="W33" s="11">
        <v>3172.5929999999998</v>
      </c>
      <c r="X33" s="11">
        <v>3173.6480000000001</v>
      </c>
      <c r="Y33" s="11">
        <v>3183.7719999999999</v>
      </c>
      <c r="Z33" s="11">
        <v>3119.7151354599996</v>
      </c>
      <c r="AA33" s="11">
        <v>3842.6640431999999</v>
      </c>
      <c r="AB33" s="11">
        <v>3419.6190000000001</v>
      </c>
      <c r="AC33" s="11">
        <v>3635.556</v>
      </c>
      <c r="AD33" s="11">
        <v>3640.6</v>
      </c>
      <c r="AE33" s="11">
        <v>3635.7570000000001</v>
      </c>
      <c r="AF33" s="3"/>
    </row>
    <row r="34" spans="2:32" s="1" customFormat="1" ht="15" customHeight="1" x14ac:dyDescent="0.25">
      <c r="C34" s="189" t="s">
        <v>221</v>
      </c>
      <c r="D34" s="189"/>
      <c r="E34" s="189" t="s">
        <v>221</v>
      </c>
      <c r="F34" s="190">
        <f t="shared" ref="F34:AC34" si="11">SUM(F30:F33)</f>
        <v>20715.155999999999</v>
      </c>
      <c r="G34" s="190">
        <f t="shared" si="11"/>
        <v>21347.268000000004</v>
      </c>
      <c r="H34" s="190">
        <f t="shared" si="11"/>
        <v>21948.920000000002</v>
      </c>
      <c r="I34" s="190">
        <f t="shared" si="11"/>
        <v>21615.556</v>
      </c>
      <c r="J34" s="190">
        <f t="shared" si="11"/>
        <v>21384.359999999997</v>
      </c>
      <c r="K34" s="190">
        <f t="shared" si="11"/>
        <v>22333.326999999997</v>
      </c>
      <c r="L34" s="190">
        <f t="shared" si="11"/>
        <v>22823.85</v>
      </c>
      <c r="M34" s="190">
        <f t="shared" si="11"/>
        <v>24152.262000000002</v>
      </c>
      <c r="N34" s="190">
        <f t="shared" si="11"/>
        <v>24204.350999999999</v>
      </c>
      <c r="O34" s="190">
        <f t="shared" si="11"/>
        <v>23887.059966860001</v>
      </c>
      <c r="P34" s="190">
        <f t="shared" si="11"/>
        <v>25457.791006379997</v>
      </c>
      <c r="Q34" s="190">
        <f t="shared" si="11"/>
        <v>26040.7</v>
      </c>
      <c r="R34" s="190">
        <f t="shared" si="11"/>
        <v>30030.675309909995</v>
      </c>
      <c r="S34" s="190">
        <f t="shared" si="11"/>
        <v>30731.628000000004</v>
      </c>
      <c r="T34" s="190">
        <f t="shared" si="11"/>
        <v>31478.654000000002</v>
      </c>
      <c r="U34" s="190">
        <f t="shared" si="11"/>
        <v>31469.01</v>
      </c>
      <c r="V34" s="190">
        <f t="shared" si="11"/>
        <v>33386.844000000005</v>
      </c>
      <c r="W34" s="190">
        <f t="shared" si="11"/>
        <v>31164.233000000004</v>
      </c>
      <c r="X34" s="190">
        <f t="shared" si="11"/>
        <v>34738.848000000005</v>
      </c>
      <c r="Y34" s="190">
        <f t="shared" si="11"/>
        <v>33858.651999999995</v>
      </c>
      <c r="Z34" s="190">
        <f t="shared" si="11"/>
        <v>34818.705135459997</v>
      </c>
      <c r="AA34" s="190">
        <f t="shared" si="11"/>
        <v>37794.3840432</v>
      </c>
      <c r="AB34" s="190">
        <f t="shared" si="11"/>
        <v>39781.199000000001</v>
      </c>
      <c r="AC34" s="190">
        <f t="shared" si="11"/>
        <v>40428.165999999997</v>
      </c>
      <c r="AD34" s="190">
        <f t="shared" ref="AD34:AE34" si="12">SUM(AD30:AD33)</f>
        <v>38680.639999999992</v>
      </c>
      <c r="AE34" s="190">
        <f t="shared" si="12"/>
        <v>40514.167000000001</v>
      </c>
      <c r="AF34" s="3"/>
    </row>
    <row r="35" spans="2:32" ht="15" customHeight="1" x14ac:dyDescent="0.25">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row>
    <row r="36" spans="2:32" ht="15" customHeight="1" x14ac:dyDescent="0.25">
      <c r="F36" s="9"/>
      <c r="G36" s="9"/>
      <c r="H36" s="9"/>
      <c r="I36" s="9"/>
      <c r="J36" s="9"/>
      <c r="K36" s="9"/>
      <c r="L36" s="9"/>
      <c r="M36" s="9"/>
      <c r="N36" s="9"/>
      <c r="O36" s="9"/>
      <c r="P36" s="9"/>
      <c r="Q36" s="9"/>
    </row>
    <row r="37" spans="2:32" ht="15" customHeight="1" x14ac:dyDescent="0.25">
      <c r="B37" s="1" t="s">
        <v>435</v>
      </c>
      <c r="F37" s="9"/>
      <c r="G37" s="9"/>
      <c r="H37" s="9"/>
      <c r="I37" s="9"/>
      <c r="J37" s="9"/>
      <c r="K37" s="9"/>
      <c r="L37" s="9"/>
      <c r="M37" s="9"/>
      <c r="N37" s="9"/>
      <c r="O37" s="9"/>
      <c r="P37" s="9"/>
      <c r="Q37" s="9"/>
    </row>
    <row r="38" spans="2:32" ht="5.0999999999999996" customHeight="1" x14ac:dyDescent="0.25">
      <c r="B38" s="1"/>
      <c r="D38" s="1"/>
      <c r="E38" s="1"/>
      <c r="F38" s="9"/>
      <c r="G38" s="9"/>
      <c r="H38" s="9"/>
      <c r="I38" s="9"/>
      <c r="J38" s="9"/>
      <c r="K38" s="9"/>
      <c r="L38" s="9"/>
      <c r="M38" s="9"/>
      <c r="N38" s="9"/>
      <c r="O38" s="9"/>
      <c r="P38" s="9"/>
      <c r="Q38" s="9"/>
    </row>
    <row r="39" spans="2:32" x14ac:dyDescent="0.25">
      <c r="B39" s="84" t="s">
        <v>726</v>
      </c>
      <c r="F39" s="15"/>
      <c r="G39" s="15"/>
      <c r="H39" s="15"/>
      <c r="I39" s="15"/>
      <c r="J39" s="15"/>
      <c r="K39" s="15"/>
      <c r="L39" s="15"/>
      <c r="M39" s="15"/>
      <c r="N39" s="15"/>
      <c r="O39" s="15"/>
      <c r="P39" s="15"/>
      <c r="Q39" s="15"/>
    </row>
    <row r="40" spans="2:32" x14ac:dyDescent="0.25">
      <c r="B40" s="84" t="s">
        <v>727</v>
      </c>
      <c r="F40" s="15"/>
      <c r="G40" s="15"/>
      <c r="H40" s="15"/>
      <c r="I40" s="15"/>
      <c r="J40" s="15"/>
      <c r="K40" s="15"/>
      <c r="L40" s="15"/>
      <c r="M40" s="15"/>
      <c r="N40" s="15"/>
      <c r="O40" s="15"/>
      <c r="P40" s="15"/>
      <c r="Q40" s="15"/>
    </row>
    <row r="41" spans="2:32" x14ac:dyDescent="0.25">
      <c r="F41" s="15"/>
      <c r="G41" s="15"/>
      <c r="H41" s="15"/>
      <c r="I41" s="15"/>
      <c r="J41" s="15"/>
      <c r="K41" s="15"/>
      <c r="L41" s="15"/>
      <c r="M41" s="15"/>
      <c r="N41" s="15"/>
      <c r="O41" s="15"/>
      <c r="P41" s="15"/>
      <c r="Q41" s="15"/>
    </row>
    <row r="42" spans="2:32" x14ac:dyDescent="0.25">
      <c r="F42" s="15"/>
      <c r="G42" s="15"/>
      <c r="H42" s="15"/>
      <c r="I42" s="15"/>
      <c r="J42" s="15"/>
      <c r="K42" s="15"/>
      <c r="L42" s="15"/>
      <c r="M42" s="15"/>
      <c r="N42" s="15"/>
      <c r="O42" s="15"/>
      <c r="P42" s="15"/>
      <c r="Q42" s="15"/>
    </row>
    <row r="43" spans="2:32" x14ac:dyDescent="0.25">
      <c r="F43" s="15"/>
      <c r="G43" s="15"/>
      <c r="H43" s="15"/>
      <c r="I43" s="15"/>
      <c r="J43" s="15"/>
      <c r="K43" s="15"/>
      <c r="L43" s="15"/>
      <c r="M43" s="15"/>
      <c r="N43" s="15"/>
      <c r="O43" s="15"/>
      <c r="P43" s="15"/>
      <c r="Q43" s="15"/>
    </row>
    <row r="44" spans="2:32" x14ac:dyDescent="0.25">
      <c r="F44" s="9"/>
      <c r="G44" s="9"/>
      <c r="H44" s="9"/>
      <c r="I44" s="9"/>
      <c r="J44" s="9"/>
      <c r="K44" s="9"/>
      <c r="L44" s="9"/>
      <c r="M44" s="9"/>
      <c r="N44" s="9"/>
      <c r="O44" s="9"/>
      <c r="P44" s="9"/>
      <c r="Q44" s="9"/>
    </row>
    <row r="45" spans="2:32" x14ac:dyDescent="0.25">
      <c r="C45" s="1"/>
      <c r="D45" s="1"/>
      <c r="E45" s="1"/>
      <c r="F45" s="9"/>
      <c r="G45" s="9"/>
      <c r="H45" s="9"/>
      <c r="I45" s="9"/>
      <c r="J45" s="9"/>
      <c r="K45" s="9"/>
      <c r="L45" s="9"/>
      <c r="M45" s="9"/>
      <c r="N45" s="9"/>
      <c r="O45" s="9"/>
      <c r="P45" s="9"/>
      <c r="Q45" s="9"/>
    </row>
    <row r="46" spans="2:32" x14ac:dyDescent="0.25">
      <c r="C46" s="1"/>
      <c r="D46" s="1"/>
      <c r="E46" s="1"/>
      <c r="F46" s="9"/>
      <c r="G46" s="9"/>
      <c r="H46" s="9"/>
      <c r="I46" s="9"/>
      <c r="J46" s="9"/>
      <c r="K46" s="9"/>
      <c r="L46" s="9"/>
      <c r="M46" s="9"/>
      <c r="N46" s="9"/>
      <c r="O46" s="9"/>
      <c r="P46" s="9"/>
      <c r="Q46" s="9"/>
    </row>
    <row r="47" spans="2:32" x14ac:dyDescent="0.25">
      <c r="F47" s="9"/>
      <c r="G47" s="9"/>
      <c r="H47" s="9"/>
      <c r="I47" s="9"/>
      <c r="J47" s="9"/>
      <c r="K47" s="9"/>
      <c r="L47" s="9"/>
      <c r="M47" s="9"/>
      <c r="N47" s="9"/>
      <c r="O47" s="9"/>
      <c r="P47" s="9"/>
      <c r="Q47" s="9"/>
    </row>
    <row r="48" spans="2:32" x14ac:dyDescent="0.25">
      <c r="F48" s="9"/>
      <c r="G48" s="9"/>
      <c r="H48" s="9"/>
      <c r="I48" s="9"/>
      <c r="J48" s="9"/>
      <c r="K48" s="9"/>
      <c r="L48" s="9"/>
      <c r="M48" s="9"/>
      <c r="N48" s="9"/>
      <c r="O48" s="9"/>
      <c r="P48" s="9"/>
      <c r="Q48" s="9"/>
    </row>
    <row r="49" spans="3:17" x14ac:dyDescent="0.25">
      <c r="F49" s="9"/>
      <c r="G49" s="9"/>
      <c r="H49" s="9"/>
      <c r="I49" s="9"/>
      <c r="J49" s="9"/>
      <c r="K49" s="9"/>
      <c r="L49" s="9"/>
      <c r="M49" s="9"/>
      <c r="N49" s="9"/>
      <c r="O49" s="9"/>
      <c r="P49" s="9"/>
      <c r="Q49" s="9"/>
    </row>
    <row r="50" spans="3:17" x14ac:dyDescent="0.25">
      <c r="C50" s="1"/>
      <c r="D50" s="1"/>
      <c r="E50" s="1"/>
      <c r="F50" s="9"/>
      <c r="G50" s="9"/>
      <c r="H50" s="9"/>
      <c r="I50" s="9"/>
      <c r="J50" s="9"/>
      <c r="K50" s="9"/>
      <c r="L50" s="9"/>
      <c r="M50" s="9"/>
      <c r="N50" s="9"/>
      <c r="O50" s="9"/>
      <c r="P50" s="9"/>
      <c r="Q50" s="9"/>
    </row>
    <row r="51" spans="3:17" x14ac:dyDescent="0.25">
      <c r="F51" s="9"/>
      <c r="G51" s="9"/>
      <c r="H51" s="9"/>
      <c r="I51" s="9"/>
      <c r="J51" s="9"/>
      <c r="K51" s="9"/>
      <c r="L51" s="9"/>
      <c r="M51" s="9"/>
      <c r="N51" s="9"/>
      <c r="O51" s="9"/>
      <c r="P51" s="9"/>
      <c r="Q51" s="9"/>
    </row>
    <row r="52" spans="3:17" x14ac:dyDescent="0.25">
      <c r="F52" s="9"/>
      <c r="G52" s="9"/>
      <c r="H52" s="9"/>
      <c r="I52" s="9"/>
      <c r="J52" s="9"/>
      <c r="K52" s="9"/>
      <c r="L52" s="9"/>
      <c r="M52" s="9"/>
      <c r="N52" s="9"/>
      <c r="O52" s="9"/>
      <c r="P52" s="9"/>
      <c r="Q52" s="9"/>
    </row>
    <row r="53" spans="3:17" x14ac:dyDescent="0.25">
      <c r="F53" s="9"/>
      <c r="G53" s="9"/>
      <c r="H53" s="9"/>
      <c r="I53" s="9"/>
      <c r="J53" s="9"/>
      <c r="K53" s="9"/>
      <c r="L53" s="9"/>
      <c r="M53" s="9"/>
      <c r="N53" s="9"/>
      <c r="O53" s="9"/>
      <c r="P53" s="9"/>
      <c r="Q53" s="9"/>
    </row>
    <row r="54" spans="3:17" x14ac:dyDescent="0.25">
      <c r="C54" s="1"/>
      <c r="D54" s="1"/>
      <c r="E54" s="1"/>
      <c r="F54" s="9"/>
      <c r="G54" s="9"/>
      <c r="H54" s="9"/>
      <c r="I54" s="9"/>
      <c r="J54" s="9"/>
      <c r="K54" s="9"/>
      <c r="L54" s="9"/>
      <c r="M54" s="9"/>
      <c r="N54" s="9"/>
      <c r="O54" s="9"/>
      <c r="P54" s="9"/>
      <c r="Q54" s="9"/>
    </row>
    <row r="55" spans="3:17" x14ac:dyDescent="0.25">
      <c r="F55" s="9"/>
      <c r="G55" s="9"/>
      <c r="H55" s="9"/>
      <c r="I55" s="9"/>
      <c r="J55" s="9"/>
      <c r="K55" s="9"/>
      <c r="L55" s="9"/>
      <c r="M55" s="9"/>
      <c r="N55" s="9"/>
      <c r="O55" s="9"/>
      <c r="P55" s="9"/>
      <c r="Q55" s="9"/>
    </row>
    <row r="56" spans="3:17" x14ac:dyDescent="0.25">
      <c r="F56" s="9"/>
      <c r="G56" s="9"/>
      <c r="H56" s="9"/>
      <c r="I56" s="9"/>
      <c r="J56" s="9"/>
      <c r="K56" s="9"/>
      <c r="L56" s="9"/>
      <c r="M56" s="9"/>
      <c r="N56" s="9"/>
      <c r="O56" s="9"/>
      <c r="P56" s="9"/>
      <c r="Q56" s="9"/>
    </row>
    <row r="57" spans="3:17" x14ac:dyDescent="0.25">
      <c r="F57" s="9"/>
      <c r="G57" s="9"/>
      <c r="H57" s="9"/>
      <c r="I57" s="9"/>
      <c r="J57" s="9"/>
      <c r="K57" s="9"/>
      <c r="L57" s="9"/>
      <c r="M57" s="9"/>
      <c r="N57" s="9"/>
      <c r="O57" s="9"/>
      <c r="P57" s="9"/>
      <c r="Q57" s="9"/>
    </row>
    <row r="58" spans="3:17" x14ac:dyDescent="0.25">
      <c r="F58" s="11"/>
      <c r="G58" s="11"/>
      <c r="H58" s="11"/>
      <c r="I58" s="11"/>
      <c r="J58" s="11"/>
      <c r="K58" s="11"/>
      <c r="L58" s="11"/>
      <c r="M58" s="11"/>
      <c r="N58" s="11"/>
      <c r="O58" s="11"/>
      <c r="P58" s="11"/>
      <c r="Q58" s="11"/>
    </row>
    <row r="59" spans="3:17" x14ac:dyDescent="0.25">
      <c r="C59" s="1"/>
      <c r="D59" s="1"/>
      <c r="E59" s="1"/>
      <c r="F59" s="11"/>
      <c r="G59" s="11"/>
      <c r="H59" s="11"/>
      <c r="I59" s="11"/>
      <c r="J59" s="11"/>
      <c r="K59" s="11"/>
      <c r="L59" s="11"/>
      <c r="M59" s="11"/>
      <c r="N59" s="11"/>
      <c r="O59" s="11"/>
      <c r="P59" s="11"/>
      <c r="Q59" s="11"/>
    </row>
    <row r="60" spans="3:17" x14ac:dyDescent="0.25">
      <c r="F60" s="9"/>
      <c r="G60" s="9"/>
      <c r="H60" s="9"/>
      <c r="I60" s="9"/>
      <c r="J60" s="9"/>
      <c r="K60" s="9"/>
      <c r="L60" s="9"/>
      <c r="M60" s="9"/>
      <c r="N60" s="9"/>
      <c r="O60" s="9"/>
      <c r="P60" s="9"/>
      <c r="Q60" s="9"/>
    </row>
    <row r="61" spans="3:17" x14ac:dyDescent="0.25">
      <c r="F61" s="9"/>
      <c r="G61" s="9"/>
      <c r="H61" s="9"/>
      <c r="I61" s="9"/>
      <c r="J61" s="9"/>
      <c r="K61" s="9"/>
      <c r="L61" s="9"/>
      <c r="M61" s="9"/>
      <c r="N61" s="9"/>
      <c r="O61" s="9"/>
      <c r="P61" s="9"/>
      <c r="Q61" s="9"/>
    </row>
    <row r="62" spans="3:17" x14ac:dyDescent="0.25">
      <c r="F62" s="9"/>
      <c r="G62" s="9"/>
      <c r="H62" s="9"/>
      <c r="I62" s="9"/>
      <c r="J62" s="9"/>
      <c r="K62" s="9"/>
      <c r="L62" s="9"/>
      <c r="M62" s="9"/>
      <c r="N62" s="9"/>
      <c r="O62" s="9"/>
      <c r="P62" s="9"/>
      <c r="Q62" s="9"/>
    </row>
    <row r="63" spans="3:17" x14ac:dyDescent="0.25">
      <c r="F63" s="9"/>
      <c r="G63" s="9"/>
      <c r="H63" s="9"/>
      <c r="I63" s="9"/>
      <c r="J63" s="9"/>
      <c r="K63" s="9"/>
      <c r="L63" s="9"/>
      <c r="M63" s="9"/>
      <c r="N63" s="9"/>
      <c r="O63" s="9"/>
      <c r="P63" s="9"/>
      <c r="Q63" s="9"/>
    </row>
    <row r="64" spans="3:17" x14ac:dyDescent="0.25">
      <c r="F64" s="9"/>
      <c r="G64" s="9"/>
      <c r="H64" s="9"/>
      <c r="I64" s="9"/>
      <c r="J64" s="9"/>
      <c r="K64" s="9"/>
      <c r="L64" s="9"/>
      <c r="M64" s="9"/>
      <c r="N64" s="9"/>
      <c r="O64" s="9"/>
      <c r="P64" s="9"/>
      <c r="Q64" s="9"/>
    </row>
    <row r="65" spans="3:17" x14ac:dyDescent="0.25">
      <c r="F65" s="9"/>
      <c r="G65" s="9"/>
      <c r="H65" s="9"/>
      <c r="I65" s="9"/>
      <c r="J65" s="9"/>
      <c r="K65" s="9"/>
      <c r="L65" s="9"/>
      <c r="M65" s="9"/>
      <c r="N65" s="9"/>
      <c r="O65" s="9"/>
      <c r="P65" s="9"/>
      <c r="Q65" s="9"/>
    </row>
    <row r="66" spans="3:17" x14ac:dyDescent="0.25">
      <c r="F66" s="11"/>
      <c r="G66" s="11"/>
      <c r="H66" s="11"/>
      <c r="I66" s="11"/>
      <c r="J66" s="11"/>
      <c r="K66" s="11"/>
      <c r="L66" s="11"/>
      <c r="M66" s="11"/>
      <c r="N66" s="11"/>
      <c r="O66" s="11"/>
      <c r="P66" s="11"/>
      <c r="Q66" s="11"/>
    </row>
    <row r="67" spans="3:17" x14ac:dyDescent="0.25">
      <c r="C67" s="1"/>
      <c r="D67" s="1"/>
      <c r="E67" s="1"/>
      <c r="F67" s="9"/>
      <c r="G67" s="9"/>
      <c r="H67" s="9"/>
      <c r="I67" s="9"/>
      <c r="J67" s="9"/>
      <c r="K67" s="9"/>
      <c r="L67" s="9"/>
      <c r="M67" s="9"/>
      <c r="N67" s="9"/>
      <c r="O67" s="9"/>
      <c r="P67" s="9"/>
      <c r="Q67" s="9"/>
    </row>
    <row r="68" spans="3:17" x14ac:dyDescent="0.25">
      <c r="F68" s="9"/>
      <c r="G68" s="9"/>
      <c r="H68" s="9"/>
      <c r="I68" s="9"/>
      <c r="J68" s="9"/>
      <c r="K68" s="9"/>
      <c r="L68" s="9"/>
      <c r="M68" s="9"/>
      <c r="N68" s="9"/>
      <c r="O68" s="9"/>
      <c r="P68" s="9"/>
      <c r="Q68" s="9"/>
    </row>
    <row r="69" spans="3:17" x14ac:dyDescent="0.25">
      <c r="F69" s="9"/>
      <c r="G69" s="9"/>
      <c r="H69" s="9"/>
      <c r="I69" s="9"/>
      <c r="J69" s="9"/>
      <c r="K69" s="9"/>
      <c r="L69" s="9"/>
      <c r="M69" s="9"/>
      <c r="N69" s="9"/>
      <c r="O69" s="9"/>
      <c r="P69" s="9"/>
      <c r="Q69" s="9"/>
    </row>
    <row r="70" spans="3:17" x14ac:dyDescent="0.25">
      <c r="F70" s="9"/>
      <c r="G70" s="9"/>
      <c r="H70" s="9"/>
      <c r="I70" s="9"/>
      <c r="J70" s="9"/>
      <c r="K70" s="9"/>
      <c r="L70" s="9"/>
      <c r="M70" s="9"/>
      <c r="N70" s="9"/>
      <c r="O70" s="9"/>
      <c r="P70" s="9"/>
      <c r="Q70" s="9"/>
    </row>
    <row r="71" spans="3:17" x14ac:dyDescent="0.25">
      <c r="F71" s="9"/>
      <c r="G71" s="9"/>
      <c r="H71" s="9"/>
      <c r="I71" s="9"/>
      <c r="J71" s="9"/>
      <c r="K71" s="9"/>
      <c r="L71" s="9"/>
      <c r="M71" s="9"/>
      <c r="N71" s="9"/>
      <c r="O71" s="9"/>
      <c r="P71" s="9"/>
      <c r="Q71" s="9"/>
    </row>
    <row r="72" spans="3:17" x14ac:dyDescent="0.25">
      <c r="F72" s="9"/>
      <c r="G72" s="9"/>
      <c r="H72" s="9"/>
      <c r="I72" s="9"/>
      <c r="J72" s="9"/>
      <c r="K72" s="9"/>
      <c r="L72" s="9"/>
      <c r="M72" s="9"/>
      <c r="N72" s="9"/>
      <c r="O72" s="9"/>
      <c r="P72" s="9"/>
      <c r="Q72" s="9"/>
    </row>
    <row r="73" spans="3:17" x14ac:dyDescent="0.25">
      <c r="F73" s="9"/>
      <c r="G73" s="9"/>
      <c r="H73" s="9"/>
      <c r="I73" s="9"/>
      <c r="J73" s="9"/>
      <c r="K73" s="9"/>
      <c r="L73" s="9"/>
      <c r="M73" s="9"/>
      <c r="N73" s="9"/>
      <c r="O73" s="9"/>
      <c r="P73" s="9"/>
      <c r="Q73" s="9"/>
    </row>
    <row r="74" spans="3:17" x14ac:dyDescent="0.25">
      <c r="C74" s="1"/>
      <c r="D74" s="1"/>
      <c r="E74" s="1"/>
      <c r="F74" s="9"/>
      <c r="G74" s="9"/>
      <c r="H74" s="9"/>
      <c r="I74" s="9"/>
      <c r="J74" s="9"/>
      <c r="K74" s="9"/>
      <c r="L74" s="9"/>
      <c r="M74" s="9"/>
      <c r="N74" s="9"/>
      <c r="O74" s="9"/>
      <c r="P74" s="9"/>
      <c r="Q74" s="9"/>
    </row>
    <row r="75" spans="3:17" x14ac:dyDescent="0.25">
      <c r="F75" s="9"/>
      <c r="G75" s="9"/>
      <c r="H75" s="9"/>
      <c r="I75" s="9"/>
      <c r="J75" s="9"/>
      <c r="K75" s="9"/>
      <c r="L75" s="9"/>
      <c r="M75" s="9"/>
      <c r="N75" s="9"/>
      <c r="O75" s="9"/>
      <c r="P75" s="9"/>
      <c r="Q75" s="9"/>
    </row>
    <row r="76" spans="3:17" x14ac:dyDescent="0.25">
      <c r="F76" s="9"/>
      <c r="G76" s="9"/>
      <c r="H76" s="9"/>
      <c r="I76" s="9"/>
      <c r="J76" s="9"/>
      <c r="K76" s="9"/>
      <c r="L76" s="9"/>
      <c r="M76" s="9"/>
      <c r="N76" s="9"/>
      <c r="O76" s="9"/>
      <c r="P76" s="9"/>
      <c r="Q76" s="9"/>
    </row>
    <row r="77" spans="3:17" x14ac:dyDescent="0.25">
      <c r="F77" s="9"/>
      <c r="G77" s="9"/>
      <c r="H77" s="9"/>
      <c r="I77" s="9"/>
      <c r="J77" s="9"/>
      <c r="K77" s="9"/>
      <c r="L77" s="9"/>
      <c r="M77" s="9"/>
      <c r="N77" s="9"/>
      <c r="O77" s="9"/>
      <c r="P77" s="9"/>
      <c r="Q77" s="9"/>
    </row>
    <row r="78" spans="3:17" x14ac:dyDescent="0.25">
      <c r="F78" s="14"/>
      <c r="G78" s="14"/>
      <c r="H78" s="14"/>
      <c r="I78" s="14"/>
      <c r="J78" s="14"/>
      <c r="K78" s="14"/>
      <c r="L78" s="14"/>
      <c r="M78" s="14"/>
      <c r="N78" s="14"/>
      <c r="O78" s="14"/>
      <c r="P78" s="14"/>
      <c r="Q78" s="14"/>
    </row>
    <row r="79" spans="3:17" x14ac:dyDescent="0.25">
      <c r="F79" s="14"/>
      <c r="G79" s="14"/>
      <c r="H79" s="14"/>
      <c r="I79" s="14"/>
      <c r="J79" s="14"/>
      <c r="K79" s="14"/>
      <c r="L79" s="14"/>
      <c r="M79" s="14"/>
      <c r="N79" s="14"/>
      <c r="O79" s="14"/>
      <c r="P79" s="14"/>
      <c r="Q79" s="14"/>
    </row>
    <row r="81" spans="3:17" x14ac:dyDescent="0.25">
      <c r="C81" s="1"/>
      <c r="D81" s="1"/>
      <c r="E81" s="1"/>
    </row>
    <row r="82" spans="3:17" x14ac:dyDescent="0.25">
      <c r="F82" s="14"/>
      <c r="G82" s="14"/>
      <c r="H82" s="14"/>
      <c r="I82" s="14"/>
      <c r="J82" s="14"/>
      <c r="K82" s="14"/>
      <c r="L82" s="14"/>
      <c r="M82" s="14"/>
      <c r="N82" s="14"/>
      <c r="O82" s="14"/>
      <c r="P82" s="14"/>
      <c r="Q82" s="14"/>
    </row>
    <row r="83" spans="3:17" x14ac:dyDescent="0.25">
      <c r="F83" s="14"/>
      <c r="G83" s="14"/>
      <c r="H83" s="14"/>
      <c r="I83" s="14"/>
      <c r="J83" s="14"/>
      <c r="K83" s="14"/>
      <c r="L83" s="14"/>
      <c r="M83" s="14"/>
      <c r="N83" s="14"/>
      <c r="O83" s="14"/>
      <c r="P83" s="14"/>
      <c r="Q83" s="14"/>
    </row>
    <row r="84" spans="3:17" x14ac:dyDescent="0.25">
      <c r="F84" s="14"/>
      <c r="G84" s="14"/>
      <c r="H84" s="14"/>
      <c r="I84" s="14"/>
      <c r="J84" s="14"/>
      <c r="K84" s="14"/>
      <c r="L84" s="14"/>
      <c r="M84" s="14"/>
      <c r="N84" s="14"/>
      <c r="O84" s="14"/>
      <c r="P84" s="14"/>
      <c r="Q84" s="14"/>
    </row>
    <row r="85" spans="3:17" x14ac:dyDescent="0.25">
      <c r="F85" s="14"/>
      <c r="G85" s="14"/>
      <c r="H85" s="14"/>
      <c r="I85" s="14"/>
      <c r="J85" s="14"/>
      <c r="K85" s="14"/>
      <c r="L85" s="14"/>
      <c r="M85" s="14"/>
      <c r="N85" s="14"/>
      <c r="O85" s="14"/>
      <c r="P85" s="14"/>
      <c r="Q85" s="14"/>
    </row>
    <row r="86" spans="3:17" x14ac:dyDescent="0.25">
      <c r="F86" s="14"/>
      <c r="G86" s="14"/>
      <c r="H86" s="14"/>
      <c r="I86" s="14"/>
      <c r="J86" s="14"/>
      <c r="K86" s="14"/>
      <c r="L86" s="14"/>
      <c r="M86" s="14"/>
      <c r="N86" s="14"/>
      <c r="O86" s="14"/>
      <c r="P86" s="14"/>
      <c r="Q86" s="14"/>
    </row>
    <row r="87" spans="3:17" x14ac:dyDescent="0.25">
      <c r="F87" s="14"/>
      <c r="G87" s="14"/>
      <c r="H87" s="14"/>
      <c r="I87" s="14"/>
      <c r="J87" s="14"/>
      <c r="K87" s="14"/>
      <c r="L87" s="14"/>
      <c r="M87" s="14"/>
      <c r="N87" s="14"/>
      <c r="O87" s="14"/>
      <c r="P87" s="14"/>
      <c r="Q87" s="14"/>
    </row>
    <row r="88" spans="3:17" x14ac:dyDescent="0.25">
      <c r="F88" s="14"/>
      <c r="G88" s="14"/>
      <c r="H88" s="14"/>
      <c r="I88" s="14"/>
      <c r="J88" s="14"/>
      <c r="K88" s="14"/>
      <c r="L88" s="14"/>
      <c r="M88" s="14"/>
      <c r="N88" s="14"/>
      <c r="O88" s="14"/>
      <c r="P88" s="14"/>
      <c r="Q88" s="14"/>
    </row>
    <row r="89" spans="3:17" x14ac:dyDescent="0.25">
      <c r="F89" s="14"/>
      <c r="G89" s="14"/>
      <c r="H89" s="14"/>
      <c r="I89" s="14"/>
      <c r="J89" s="14"/>
      <c r="K89" s="14"/>
      <c r="L89" s="14"/>
      <c r="M89" s="14"/>
      <c r="N89" s="14"/>
      <c r="O89" s="14"/>
      <c r="P89" s="14"/>
      <c r="Q89" s="14"/>
    </row>
    <row r="90" spans="3:17" x14ac:dyDescent="0.25">
      <c r="F90" s="14"/>
      <c r="G90" s="14"/>
      <c r="H90" s="14"/>
      <c r="I90" s="14"/>
      <c r="J90" s="14"/>
      <c r="K90" s="14"/>
      <c r="L90" s="14"/>
      <c r="M90" s="14"/>
      <c r="N90" s="14"/>
      <c r="O90" s="14"/>
      <c r="P90" s="14"/>
      <c r="Q90" s="14"/>
    </row>
    <row r="91" spans="3:17" s="1" customFormat="1" x14ac:dyDescent="0.25">
      <c r="F91" s="10"/>
      <c r="G91" s="10"/>
      <c r="H91" s="10"/>
      <c r="I91" s="10"/>
      <c r="J91" s="10"/>
      <c r="K91" s="10"/>
      <c r="L91" s="10"/>
      <c r="M91" s="10"/>
      <c r="N91" s="10"/>
      <c r="O91" s="10"/>
      <c r="P91" s="10"/>
      <c r="Q91" s="10"/>
    </row>
  </sheetData>
  <phoneticPr fontId="34" type="noConversion"/>
  <hyperlinks>
    <hyperlink ref="F6" location="'Índice - Index'!A1" display="Index" xr:uid="{276D8351-234F-41C7-8EFE-8A62ABADB5B4}"/>
    <hyperlink ref="AE6" location="'Índice - Index'!A1" display="Index" xr:uid="{50F1FFB3-B6A8-4366-86D0-3D9C19B35C59}"/>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3">
    <tabColor theme="3" tint="0.39997558519241921"/>
    <pageSetUpPr autoPageBreaks="0"/>
  </sheetPr>
  <dimension ref="B2:AB77"/>
  <sheetViews>
    <sheetView showGridLines="0" zoomScale="80" zoomScaleNormal="80" workbookViewId="0">
      <pane xSplit="5" ySplit="9" topLeftCell="V10" activePane="bottomRight" state="frozen"/>
      <selection activeCell="D1" sqref="D1"/>
      <selection pane="topRight" activeCell="D1" sqref="D1"/>
      <selection pane="bottomLeft" activeCell="D1" sqref="D1"/>
      <selection pane="bottomRight" activeCell="AA9" sqref="AA9"/>
    </sheetView>
  </sheetViews>
  <sheetFormatPr defaultColWidth="11.5703125" defaultRowHeight="15" outlineLevelCol="1" x14ac:dyDescent="0.25"/>
  <cols>
    <col min="1" max="1" width="2.7109375" customWidth="1"/>
    <col min="2" max="2" width="1.7109375" customWidth="1" outlineLevel="1"/>
    <col min="3" max="3" width="63.5703125" customWidth="1" outlineLevel="1"/>
    <col min="4" max="4" width="1.7109375" customWidth="1"/>
    <col min="5" max="5" width="37.28515625" customWidth="1" outlineLevel="1"/>
    <col min="28" max="28" width="13.140625" bestFit="1" customWidth="1"/>
  </cols>
  <sheetData>
    <row r="2" spans="2:28" x14ac:dyDescent="0.25">
      <c r="B2" t="s">
        <v>429</v>
      </c>
    </row>
    <row r="3" spans="2:28" ht="21" x14ac:dyDescent="0.35">
      <c r="C3" s="4"/>
      <c r="D3" s="4"/>
      <c r="E3" s="4"/>
    </row>
    <row r="4" spans="2:28" ht="15" customHeight="1" x14ac:dyDescent="0.25">
      <c r="C4" s="3"/>
      <c r="D4" s="3"/>
      <c r="E4" s="3"/>
    </row>
    <row r="5" spans="2:28" x14ac:dyDescent="0.25">
      <c r="C5" s="2"/>
      <c r="D5" s="2"/>
      <c r="E5" s="2"/>
    </row>
    <row r="6" spans="2:28" x14ac:dyDescent="0.25">
      <c r="F6" s="236" t="s">
        <v>486</v>
      </c>
      <c r="I6" s="6"/>
      <c r="AA6" s="252" t="s">
        <v>486</v>
      </c>
    </row>
    <row r="7" spans="2:28" ht="17.25" customHeight="1" x14ac:dyDescent="0.3">
      <c r="B7" s="40" t="s">
        <v>7</v>
      </c>
      <c r="C7" s="40"/>
      <c r="D7" s="40"/>
      <c r="E7" s="40" t="s">
        <v>728</v>
      </c>
    </row>
    <row r="8" spans="2:28" ht="17.25" customHeight="1" x14ac:dyDescent="0.25">
      <c r="B8" s="215" t="s">
        <v>434</v>
      </c>
      <c r="C8" s="216"/>
      <c r="D8" s="216"/>
      <c r="E8" s="215" t="s">
        <v>435</v>
      </c>
      <c r="F8" s="146" t="s">
        <v>595</v>
      </c>
      <c r="G8" s="146" t="s">
        <v>596</v>
      </c>
      <c r="H8" s="146" t="s">
        <v>597</v>
      </c>
      <c r="I8" s="146" t="s">
        <v>598</v>
      </c>
      <c r="J8" s="201">
        <v>2019</v>
      </c>
      <c r="K8" s="146" t="s">
        <v>599</v>
      </c>
      <c r="L8" s="146" t="s">
        <v>600</v>
      </c>
      <c r="M8" s="146" t="s">
        <v>601</v>
      </c>
      <c r="N8" s="146" t="s">
        <v>602</v>
      </c>
      <c r="O8" s="201">
        <v>2020</v>
      </c>
      <c r="P8" s="146" t="s">
        <v>603</v>
      </c>
      <c r="Q8" s="146" t="s">
        <v>604</v>
      </c>
      <c r="R8" s="146" t="s">
        <v>605</v>
      </c>
      <c r="S8" s="146" t="s">
        <v>606</v>
      </c>
      <c r="T8" s="201">
        <v>2021</v>
      </c>
      <c r="U8" s="146" t="s">
        <v>607</v>
      </c>
      <c r="V8" s="146" t="s">
        <v>828</v>
      </c>
      <c r="W8" s="146" t="s">
        <v>847</v>
      </c>
      <c r="X8" s="146" t="s">
        <v>852</v>
      </c>
      <c r="Y8" s="201">
        <v>2022</v>
      </c>
      <c r="Z8" s="146" t="s">
        <v>857</v>
      </c>
      <c r="AA8" s="146" t="s">
        <v>863</v>
      </c>
    </row>
    <row r="9" spans="2:28" s="3" customFormat="1" x14ac:dyDescent="0.25">
      <c r="B9" s="154" t="s">
        <v>338</v>
      </c>
      <c r="C9" s="146"/>
      <c r="D9" s="146"/>
      <c r="E9" s="154" t="s">
        <v>433</v>
      </c>
      <c r="F9" s="146" t="s">
        <v>184</v>
      </c>
      <c r="G9" s="146" t="s">
        <v>186</v>
      </c>
      <c r="H9" s="146" t="s">
        <v>199</v>
      </c>
      <c r="I9" s="146" t="s">
        <v>286</v>
      </c>
      <c r="J9" s="201">
        <v>2019</v>
      </c>
      <c r="K9" s="146" t="s">
        <v>291</v>
      </c>
      <c r="L9" s="146" t="s">
        <v>293</v>
      </c>
      <c r="M9" s="146" t="s">
        <v>299</v>
      </c>
      <c r="N9" s="146" t="s">
        <v>310</v>
      </c>
      <c r="O9" s="201">
        <v>2020</v>
      </c>
      <c r="P9" s="146" t="s">
        <v>323</v>
      </c>
      <c r="Q9" s="146" t="s">
        <v>330</v>
      </c>
      <c r="R9" s="146" t="s">
        <v>332</v>
      </c>
      <c r="S9" s="146" t="s">
        <v>336</v>
      </c>
      <c r="T9" s="201">
        <v>2021</v>
      </c>
      <c r="U9" s="146" t="s">
        <v>431</v>
      </c>
      <c r="V9" s="146" t="s">
        <v>829</v>
      </c>
      <c r="W9" s="146" t="s">
        <v>848</v>
      </c>
      <c r="X9" s="146" t="s">
        <v>849</v>
      </c>
      <c r="Y9" s="201">
        <v>2022</v>
      </c>
      <c r="Z9" s="146" t="s">
        <v>856</v>
      </c>
      <c r="AA9" s="146" t="s">
        <v>858</v>
      </c>
    </row>
    <row r="10" spans="2:28" s="3" customFormat="1" x14ac:dyDescent="0.2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row>
    <row r="11" spans="2:28" s="22" customFormat="1" ht="15.75" x14ac:dyDescent="0.25">
      <c r="B11" s="74" t="s">
        <v>164</v>
      </c>
      <c r="C11" s="74"/>
      <c r="D11" s="74"/>
      <c r="E11" s="74" t="s">
        <v>729</v>
      </c>
      <c r="F11" s="71">
        <f t="shared" ref="F11:K11" si="0">-F12/F16</f>
        <v>0.37245405479269045</v>
      </c>
      <c r="G11" s="71">
        <f t="shared" si="0"/>
        <v>0.38317866650618621</v>
      </c>
      <c r="H11" s="71">
        <f t="shared" si="0"/>
        <v>0.36653574654802518</v>
      </c>
      <c r="I11" s="71">
        <f t="shared" si="0"/>
        <v>0.36980746013317911</v>
      </c>
      <c r="J11" s="226">
        <f t="shared" si="0"/>
        <v>0.37281777091269463</v>
      </c>
      <c r="K11" s="71">
        <f t="shared" si="0"/>
        <v>0.43720076991191564</v>
      </c>
      <c r="L11" s="71">
        <f t="shared" ref="L11:M11" si="1">-L12/L16</f>
        <v>0.37214312481916889</v>
      </c>
      <c r="M11" s="71">
        <f t="shared" si="1"/>
        <v>0.33793491679217086</v>
      </c>
      <c r="N11" s="71">
        <f t="shared" ref="N11:O11" si="2">-N12/N16</f>
        <v>0.34874823077530653</v>
      </c>
      <c r="O11" s="226">
        <f t="shared" si="2"/>
        <v>0.37096945512894175</v>
      </c>
      <c r="P11" s="71">
        <f t="shared" ref="P11:Q11" si="3">-P12/P16</f>
        <v>0.36171997331263706</v>
      </c>
      <c r="Q11" s="71">
        <f t="shared" si="3"/>
        <v>0.35457995672406195</v>
      </c>
      <c r="R11" s="71">
        <f t="shared" ref="R11:U11" si="4">-R12/R16</f>
        <v>0.33289536980349499</v>
      </c>
      <c r="S11" s="71">
        <f t="shared" si="4"/>
        <v>0.35206594431138755</v>
      </c>
      <c r="T11" s="226">
        <f t="shared" si="4"/>
        <v>0.34968816695794769</v>
      </c>
      <c r="U11" s="71">
        <f t="shared" si="4"/>
        <v>0.38520501532838314</v>
      </c>
      <c r="V11" s="71">
        <f t="shared" ref="V11:W11" si="5">-V12/V16</f>
        <v>0.38764576529324524</v>
      </c>
      <c r="W11" s="71">
        <f t="shared" si="5"/>
        <v>0.38737757583952481</v>
      </c>
      <c r="X11" s="71">
        <f t="shared" ref="X11:Y11" si="6">-X12/X16</f>
        <v>0.37633207308462274</v>
      </c>
      <c r="Y11" s="226">
        <f t="shared" si="6"/>
        <v>0.38386461517707632</v>
      </c>
      <c r="Z11" s="71">
        <f t="shared" ref="Z11" si="7">-Z12/Z16</f>
        <v>0.38847141216778197</v>
      </c>
      <c r="AA11" s="71">
        <f t="shared" ref="AA11" si="8">-AA12/AA16</f>
        <v>0.40059332217604288</v>
      </c>
    </row>
    <row r="12" spans="2:28" s="22" customFormat="1" x14ac:dyDescent="0.25">
      <c r="B12" s="222" t="s">
        <v>251</v>
      </c>
      <c r="C12" s="223"/>
      <c r="D12" s="223"/>
      <c r="E12" s="224" t="s">
        <v>639</v>
      </c>
      <c r="F12" s="239">
        <f>SUM(F13:F15)</f>
        <v>-113.29887301849999</v>
      </c>
      <c r="G12" s="225">
        <f>SUM(G13:G15)</f>
        <v>-116.5788317482999</v>
      </c>
      <c r="H12" s="225">
        <f>SUM(H13:H15)</f>
        <v>-118.8648492026</v>
      </c>
      <c r="I12" s="225">
        <f t="shared" ref="I12:O12" si="9">SUM(I13:I15)</f>
        <v>-123.38238926</v>
      </c>
      <c r="J12" s="227">
        <f t="shared" ref="J12" si="10">SUM(J13:J15)</f>
        <v>-472.12494322939995</v>
      </c>
      <c r="K12" s="225">
        <f t="shared" si="9"/>
        <v>-127.9</v>
      </c>
      <c r="L12" s="225">
        <f t="shared" si="9"/>
        <v>-115.48540552759999</v>
      </c>
      <c r="M12" s="225">
        <f t="shared" si="9"/>
        <v>-117.94472527000001</v>
      </c>
      <c r="N12" s="225">
        <f t="shared" si="9"/>
        <v>-128.85297769589999</v>
      </c>
      <c r="O12" s="227">
        <f t="shared" si="9"/>
        <v>-490.18310849350001</v>
      </c>
      <c r="P12" s="225">
        <f t="shared" ref="P12:Q12" si="11">SUM(P13:P15)</f>
        <v>-132.82900000000001</v>
      </c>
      <c r="Q12" s="225">
        <f t="shared" si="11"/>
        <v>-142.82036021279998</v>
      </c>
      <c r="R12" s="225">
        <f t="shared" ref="R12:S12" si="12">SUM(R13:R15)</f>
        <v>-148.8698880211</v>
      </c>
      <c r="S12" s="225">
        <f t="shared" si="12"/>
        <v>-165.99302822070001</v>
      </c>
      <c r="T12" s="227">
        <f t="shared" ref="T12:U12" si="13">SUM(T13:T15)</f>
        <v>-590.51227645459994</v>
      </c>
      <c r="U12" s="225">
        <f t="shared" si="13"/>
        <v>-190.53904641529999</v>
      </c>
      <c r="V12" s="225">
        <f t="shared" ref="V12:W12" si="14">SUM(V13:V15)</f>
        <v>-209.6387272636</v>
      </c>
      <c r="W12" s="225">
        <f t="shared" si="14"/>
        <v>-234.84753572209999</v>
      </c>
      <c r="X12" s="225">
        <f t="shared" ref="X12:Y12" si="15">SUM(X13:X15)</f>
        <v>-241.69032981430001</v>
      </c>
      <c r="Y12" s="227">
        <f t="shared" si="15"/>
        <v>-876.71563921529992</v>
      </c>
      <c r="Z12" s="225">
        <f t="shared" ref="Z12" si="16">SUM(Z13:Z15)</f>
        <v>-229.63438227999998</v>
      </c>
      <c r="AA12" s="225">
        <f t="shared" ref="AA12" si="17">SUM(AA13:AA15)</f>
        <v>-235.5853037885</v>
      </c>
    </row>
    <row r="13" spans="2:28" s="23" customFormat="1" ht="18" customHeight="1" x14ac:dyDescent="0.25">
      <c r="C13" s="142" t="s">
        <v>193</v>
      </c>
      <c r="D13" s="142"/>
      <c r="E13" s="142" t="s">
        <v>647</v>
      </c>
      <c r="F13" s="91">
        <v>-49.174999999999997</v>
      </c>
      <c r="G13" s="91">
        <v>-49.930999999999997</v>
      </c>
      <c r="H13" s="91">
        <v>-49.231254300000003</v>
      </c>
      <c r="I13" s="91">
        <v>-52.056445890000006</v>
      </c>
      <c r="J13" s="228">
        <f>SUM(F13:I13)</f>
        <v>-200.39370019</v>
      </c>
      <c r="K13" s="91">
        <v>-57.6</v>
      </c>
      <c r="L13" s="91">
        <v>-57.507864849999997</v>
      </c>
      <c r="M13" s="91">
        <v>-59.202941690000003</v>
      </c>
      <c r="N13" s="91">
        <v>-60.999680410000003</v>
      </c>
      <c r="O13" s="228">
        <f>SUM(K13:N13)</f>
        <v>-235.31048694999998</v>
      </c>
      <c r="P13" s="91">
        <v>-64.467486019999996</v>
      </c>
      <c r="Q13" s="91">
        <v>-66.912641440000002</v>
      </c>
      <c r="R13" s="91">
        <v>-72.112215379999995</v>
      </c>
      <c r="S13" s="91">
        <v>-76.453633570000008</v>
      </c>
      <c r="T13" s="228">
        <f>SUM(P13:S13)</f>
        <v>-279.94597641000001</v>
      </c>
      <c r="U13" s="91">
        <v>-88.705798619999996</v>
      </c>
      <c r="V13" s="91">
        <v>-92.690288100000004</v>
      </c>
      <c r="W13" s="91">
        <v>-94.444895329999994</v>
      </c>
      <c r="X13" s="91">
        <v>-103.13247380000001</v>
      </c>
      <c r="Y13" s="228">
        <f>SUM(U13:X13)</f>
        <v>-378.97345584999999</v>
      </c>
      <c r="Z13" s="91">
        <v>-108.61116475999999</v>
      </c>
      <c r="AA13" s="91">
        <v>-109.7777032</v>
      </c>
      <c r="AB13" s="22"/>
    </row>
    <row r="14" spans="2:28" s="23" customFormat="1" x14ac:dyDescent="0.25">
      <c r="C14" s="75" t="s">
        <v>397</v>
      </c>
      <c r="D14" s="75"/>
      <c r="E14" s="75" t="s">
        <v>731</v>
      </c>
      <c r="F14" s="91">
        <v>-24.931873018499999</v>
      </c>
      <c r="G14" s="91">
        <v>-26.373831748299899</v>
      </c>
      <c r="H14" s="91">
        <v>-27.293849202599993</v>
      </c>
      <c r="I14" s="91">
        <v>-29.31538926</v>
      </c>
      <c r="J14" s="228">
        <f>SUM(F14:I14)</f>
        <v>-107.9149432293999</v>
      </c>
      <c r="K14" s="91">
        <v>-30.3</v>
      </c>
      <c r="L14" s="91">
        <v>-27.674405527600001</v>
      </c>
      <c r="M14" s="91">
        <v>-28.630725269999996</v>
      </c>
      <c r="N14" s="91">
        <v>-30.435977695900004</v>
      </c>
      <c r="O14" s="228">
        <f>SUM(K14:N14)</f>
        <v>-117.0411084935</v>
      </c>
      <c r="P14" s="91">
        <v>-28.434999999999999</v>
      </c>
      <c r="Q14" s="91">
        <v>-36.491360212799997</v>
      </c>
      <c r="R14" s="91">
        <v>-36.639888021099999</v>
      </c>
      <c r="S14" s="91">
        <v>-41.723028220700002</v>
      </c>
      <c r="T14" s="228">
        <f>SUM(P14:S14)</f>
        <v>-143.28927645459999</v>
      </c>
      <c r="U14" s="91">
        <v>-43.971046415300002</v>
      </c>
      <c r="V14" s="91">
        <v>-54.189727263599998</v>
      </c>
      <c r="W14" s="91">
        <v>-57.863535722099989</v>
      </c>
      <c r="X14" s="91">
        <v>-65.227329814300006</v>
      </c>
      <c r="Y14" s="228">
        <f t="shared" ref="Y14:Y15" si="18">SUM(U14:X14)</f>
        <v>-221.25163921529997</v>
      </c>
      <c r="Z14" s="91">
        <v>-57.574382280000002</v>
      </c>
      <c r="AA14" s="91">
        <v>-59.654303788500002</v>
      </c>
      <c r="AB14" s="22"/>
    </row>
    <row r="15" spans="2:28" s="23" customFormat="1" x14ac:dyDescent="0.25">
      <c r="C15" s="75" t="s">
        <v>398</v>
      </c>
      <c r="D15" s="75"/>
      <c r="E15" s="75" t="s">
        <v>652</v>
      </c>
      <c r="F15" s="91">
        <v>-39.192</v>
      </c>
      <c r="G15" s="91">
        <v>-40.274000000000001</v>
      </c>
      <c r="H15" s="91">
        <v>-42.339745700000002</v>
      </c>
      <c r="I15" s="91">
        <v>-42.010554109999994</v>
      </c>
      <c r="J15" s="228">
        <f>SUM(F15:I15)</f>
        <v>-163.81629981</v>
      </c>
      <c r="K15" s="91">
        <v>-40</v>
      </c>
      <c r="L15" s="91">
        <v>-30.303135149999999</v>
      </c>
      <c r="M15" s="91">
        <v>-30.111058310000001</v>
      </c>
      <c r="N15" s="91">
        <v>-37.417319589999998</v>
      </c>
      <c r="O15" s="228">
        <f>SUM(K15:N15)</f>
        <v>-137.83151305000001</v>
      </c>
      <c r="P15" s="91">
        <v>-39.926513980000003</v>
      </c>
      <c r="Q15" s="91">
        <v>-39.416358559999999</v>
      </c>
      <c r="R15" s="91">
        <v>-40.117784620000002</v>
      </c>
      <c r="S15" s="91">
        <v>-47.816366430000002</v>
      </c>
      <c r="T15" s="228">
        <f>SUM(P15:S15)</f>
        <v>-167.27702359</v>
      </c>
      <c r="U15" s="91">
        <v>-57.862201380000002</v>
      </c>
      <c r="V15" s="91">
        <v>-62.758711900000002</v>
      </c>
      <c r="W15" s="91">
        <v>-82.53910467</v>
      </c>
      <c r="X15" s="91">
        <v>-73.330526199999994</v>
      </c>
      <c r="Y15" s="228">
        <f t="shared" si="18"/>
        <v>-276.49054415000001</v>
      </c>
      <c r="Z15" s="91">
        <v>-63.448835240000001</v>
      </c>
      <c r="AA15" s="91">
        <v>-66.153296799999993</v>
      </c>
      <c r="AB15" s="22"/>
    </row>
    <row r="16" spans="2:28" s="22" customFormat="1" x14ac:dyDescent="0.25">
      <c r="B16" s="219" t="s">
        <v>252</v>
      </c>
      <c r="C16" s="220"/>
      <c r="D16" s="220"/>
      <c r="E16" s="189" t="s">
        <v>730</v>
      </c>
      <c r="F16" s="240">
        <f>SUM(F17:F21)</f>
        <v>304.19556871669079</v>
      </c>
      <c r="G16" s="221">
        <f t="shared" ref="G16:J16" si="19">SUM(G17:G21)</f>
        <v>304.24144645437303</v>
      </c>
      <c r="H16" s="221">
        <f t="shared" si="19"/>
        <v>324.29265173192539</v>
      </c>
      <c r="I16" s="221">
        <f t="shared" si="19"/>
        <v>333.6395355993256</v>
      </c>
      <c r="J16" s="227">
        <f t="shared" si="19"/>
        <v>1266.3692025023151</v>
      </c>
      <c r="K16" s="221">
        <f t="shared" ref="K16:L16" si="20">SUM(K17:K21)</f>
        <v>292.54294320151462</v>
      </c>
      <c r="L16" s="221">
        <f t="shared" si="20"/>
        <v>310.32524269719198</v>
      </c>
      <c r="M16" s="221">
        <f t="shared" ref="M16:R16" si="21">SUM(M17:M21)</f>
        <v>349.01609573104787</v>
      </c>
      <c r="N16" s="221">
        <f t="shared" si="21"/>
        <v>369.47277813982117</v>
      </c>
      <c r="O16" s="227">
        <f t="shared" si="21"/>
        <v>1321.3570597695757</v>
      </c>
      <c r="P16" s="221">
        <f t="shared" si="21"/>
        <v>367.21499999999997</v>
      </c>
      <c r="Q16" s="221">
        <f t="shared" si="21"/>
        <v>402.78746021717291</v>
      </c>
      <c r="R16" s="221">
        <f t="shared" si="21"/>
        <v>447.19723229847415</v>
      </c>
      <c r="S16" s="221">
        <f t="shared" ref="S16:U16" si="22">SUM(S17:S21)</f>
        <v>471.48277447104101</v>
      </c>
      <c r="T16" s="227">
        <f t="shared" si="22"/>
        <v>1688.682466986688</v>
      </c>
      <c r="U16" s="221">
        <f t="shared" si="22"/>
        <v>494.64321292096236</v>
      </c>
      <c r="V16" s="221">
        <f t="shared" ref="V16:W16" si="23">SUM(V17:V21)</f>
        <v>540.79973530734446</v>
      </c>
      <c r="W16" s="221">
        <f t="shared" si="23"/>
        <v>606.24969117827311</v>
      </c>
      <c r="X16" s="221">
        <f t="shared" ref="X16:Y16" si="24">SUM(X17:X21)</f>
        <v>642.22623342537452</v>
      </c>
      <c r="Y16" s="227">
        <f t="shared" si="24"/>
        <v>2283.9188728319541</v>
      </c>
      <c r="Z16" s="221">
        <f t="shared" ref="Z16" si="25">SUM(Z17:Z21)</f>
        <v>591.12298894421656</v>
      </c>
      <c r="AA16" s="221">
        <f t="shared" ref="AA16" si="26">SUM(AA17:AA21)</f>
        <v>588.09094097921775</v>
      </c>
    </row>
    <row r="17" spans="2:28" s="23" customFormat="1" x14ac:dyDescent="0.25">
      <c r="C17" s="75" t="s">
        <v>304</v>
      </c>
      <c r="D17" s="75"/>
      <c r="E17" s="75" t="s">
        <v>732</v>
      </c>
      <c r="F17" s="91">
        <v>234.14400000000001</v>
      </c>
      <c r="G17" s="91">
        <v>236.994</v>
      </c>
      <c r="H17" s="91">
        <v>264.72968115192543</v>
      </c>
      <c r="I17" s="91">
        <v>259.8385978815669</v>
      </c>
      <c r="J17" s="228">
        <f>SUM(F17:I17)</f>
        <v>995.70627903349236</v>
      </c>
      <c r="K17" s="91">
        <v>255.37942635985993</v>
      </c>
      <c r="L17" s="91">
        <v>281.67722642103405</v>
      </c>
      <c r="M17" s="91">
        <v>301.72804806697576</v>
      </c>
      <c r="N17" s="91">
        <v>299.86254259188343</v>
      </c>
      <c r="O17" s="228">
        <f>SUM(K17:N17)</f>
        <v>1138.6472434397533</v>
      </c>
      <c r="P17" s="91">
        <v>315.91500000000002</v>
      </c>
      <c r="Q17" s="91">
        <v>345.6662615346591</v>
      </c>
      <c r="R17" s="91">
        <v>380.85130483116012</v>
      </c>
      <c r="S17" s="91">
        <v>422.055623662725</v>
      </c>
      <c r="T17" s="228">
        <f>SUM(P17:S17)</f>
        <v>1464.4881900285441</v>
      </c>
      <c r="U17" s="91">
        <v>447.51802266823103</v>
      </c>
      <c r="V17" s="91">
        <v>476.81765908535101</v>
      </c>
      <c r="W17" s="91">
        <v>537.65818004886444</v>
      </c>
      <c r="X17" s="91">
        <v>557.00573450472268</v>
      </c>
      <c r="Y17" s="228">
        <f t="shared" ref="Y17:Y21" si="27">SUM(U17:X17)</f>
        <v>2018.9995963071692</v>
      </c>
      <c r="Z17" s="91">
        <v>549.69365408565898</v>
      </c>
      <c r="AA17" s="91">
        <v>544.39701847965455</v>
      </c>
      <c r="AB17" s="22"/>
    </row>
    <row r="18" spans="2:28" s="23" customFormat="1" x14ac:dyDescent="0.25">
      <c r="C18" s="75" t="s">
        <v>192</v>
      </c>
      <c r="D18" s="75"/>
      <c r="E18" s="75" t="s">
        <v>733</v>
      </c>
      <c r="F18" s="91">
        <v>72.563999999999993</v>
      </c>
      <c r="G18" s="91">
        <v>86.168000000000006</v>
      </c>
      <c r="H18" s="91">
        <v>76.587789909999998</v>
      </c>
      <c r="I18" s="91">
        <v>92.199392557758713</v>
      </c>
      <c r="J18" s="228">
        <f>SUM(F18:I18)</f>
        <v>327.5191824677587</v>
      </c>
      <c r="K18" s="91">
        <v>48.987105541654678</v>
      </c>
      <c r="L18" s="91">
        <v>58.197480447033755</v>
      </c>
      <c r="M18" s="91">
        <v>68.307090379092415</v>
      </c>
      <c r="N18" s="91">
        <v>85.800640537548418</v>
      </c>
      <c r="O18" s="228">
        <f>SUM(K18:N18)</f>
        <v>261.29231690532924</v>
      </c>
      <c r="P18" s="91">
        <v>71.555999999999997</v>
      </c>
      <c r="Q18" s="91">
        <v>72.577461792208084</v>
      </c>
      <c r="R18" s="91">
        <v>96.992915318644151</v>
      </c>
      <c r="S18" s="91">
        <v>88.905412693359168</v>
      </c>
      <c r="T18" s="228">
        <f>SUM(P18:S18)</f>
        <v>330.03178980421143</v>
      </c>
      <c r="U18" s="91">
        <v>62.424989218837901</v>
      </c>
      <c r="V18" s="91">
        <v>105.2824231641</v>
      </c>
      <c r="W18" s="91">
        <v>121.799916227</v>
      </c>
      <c r="X18" s="91">
        <v>98.829250781999988</v>
      </c>
      <c r="Y18" s="228">
        <f t="shared" si="27"/>
        <v>388.33657939193785</v>
      </c>
      <c r="Z18" s="91">
        <v>79.695321491099989</v>
      </c>
      <c r="AA18" s="91">
        <v>79.355996961900004</v>
      </c>
      <c r="AB18" s="22"/>
    </row>
    <row r="19" spans="2:28" s="23" customFormat="1" x14ac:dyDescent="0.25">
      <c r="C19" s="75" t="s">
        <v>130</v>
      </c>
      <c r="D19" s="75"/>
      <c r="E19" s="75" t="s">
        <v>648</v>
      </c>
      <c r="F19" s="91">
        <v>-11.126202603309199</v>
      </c>
      <c r="G19" s="91">
        <v>-13.992855945626999</v>
      </c>
      <c r="H19" s="91">
        <v>-21.681999999999999</v>
      </c>
      <c r="I19" s="91">
        <v>-20.789000000000001</v>
      </c>
      <c r="J19" s="228">
        <f>SUM(F19:I19)</f>
        <v>-67.590058548936199</v>
      </c>
      <c r="K19" s="91">
        <v>-11.3</v>
      </c>
      <c r="L19" s="91">
        <v>-27.368346710875802</v>
      </c>
      <c r="M19" s="91">
        <v>-17.072355365020265</v>
      </c>
      <c r="N19" s="91">
        <v>-5.6814956496106417</v>
      </c>
      <c r="O19" s="228">
        <f>SUM(K19:N19)</f>
        <v>-61.422197725506706</v>
      </c>
      <c r="P19" s="91">
        <v>-21.009</v>
      </c>
      <c r="Q19" s="91">
        <v>-3.7177880896942899</v>
      </c>
      <c r="R19" s="91">
        <v>-28.998182801330127</v>
      </c>
      <c r="S19" s="91">
        <v>-26.037311427233231</v>
      </c>
      <c r="T19" s="228">
        <f>SUM(P19:S19)</f>
        <v>-79.762282318257647</v>
      </c>
      <c r="U19" s="91">
        <v>-4.7980877</v>
      </c>
      <c r="V19" s="91">
        <v>-32.630079748213099</v>
      </c>
      <c r="W19" s="91">
        <v>-32.179150657591308</v>
      </c>
      <c r="X19" s="91">
        <v>-33.823972741348292</v>
      </c>
      <c r="Y19" s="228">
        <f t="shared" si="27"/>
        <v>-103.4312908471527</v>
      </c>
      <c r="Z19" s="91">
        <v>-32.746970800099703</v>
      </c>
      <c r="AA19" s="91">
        <v>-16.731543732336807</v>
      </c>
      <c r="AB19" s="22"/>
    </row>
    <row r="20" spans="2:28" s="23" customFormat="1" x14ac:dyDescent="0.25">
      <c r="C20" s="75" t="s">
        <v>209</v>
      </c>
      <c r="D20" s="75"/>
      <c r="E20" s="75" t="s">
        <v>734</v>
      </c>
      <c r="F20" s="91">
        <v>7.2757713199999996</v>
      </c>
      <c r="G20" s="91">
        <v>-7.5216976000000004</v>
      </c>
      <c r="H20" s="91">
        <v>4.6611806700000002</v>
      </c>
      <c r="I20" s="91">
        <v>3.2265451600000001</v>
      </c>
      <c r="J20" s="228">
        <f>SUM(F20:I20)</f>
        <v>7.64179955</v>
      </c>
      <c r="K20" s="91">
        <v>1.5024112999999999</v>
      </c>
      <c r="L20" s="91">
        <v>-7.7221174599999998</v>
      </c>
      <c r="M20" s="91">
        <v>-17.882687350000001</v>
      </c>
      <c r="N20" s="91">
        <v>-16.411127950000001</v>
      </c>
      <c r="O20" s="228">
        <f>SUM(K20:N20)</f>
        <v>-40.51352146</v>
      </c>
      <c r="P20" s="91">
        <v>6.1920000000000002</v>
      </c>
      <c r="Q20" s="91">
        <v>-9.6634750199999999</v>
      </c>
      <c r="R20" s="91">
        <v>-11.345805049999999</v>
      </c>
      <c r="S20" s="91">
        <v>-7.0109504578098996</v>
      </c>
      <c r="T20" s="228">
        <f>SUM(P20:S20)</f>
        <v>-21.8282305278099</v>
      </c>
      <c r="U20" s="91">
        <v>-8.4477112661065608</v>
      </c>
      <c r="V20" s="91">
        <v>-11.758267193893399</v>
      </c>
      <c r="W20" s="91">
        <v>-17.201000000000001</v>
      </c>
      <c r="X20" s="91">
        <v>21.653260719999999</v>
      </c>
      <c r="Y20" s="228">
        <f t="shared" si="27"/>
        <v>-15.753717739999963</v>
      </c>
      <c r="Z20" s="91">
        <v>0.92498165755731954</v>
      </c>
      <c r="AA20" s="91">
        <v>-17.63</v>
      </c>
      <c r="AB20" s="22"/>
    </row>
    <row r="21" spans="2:28" x14ac:dyDescent="0.25">
      <c r="C21" s="75" t="s">
        <v>300</v>
      </c>
      <c r="D21" s="75"/>
      <c r="E21" s="75" t="s">
        <v>735</v>
      </c>
      <c r="F21" s="91">
        <v>1.3380000000000001</v>
      </c>
      <c r="G21" s="91">
        <v>2.5939999999999999</v>
      </c>
      <c r="H21" s="91">
        <v>-4.0000000000000001E-3</v>
      </c>
      <c r="I21" s="91">
        <v>-0.83599999999999997</v>
      </c>
      <c r="J21" s="229">
        <f>SUM(F21:I21)</f>
        <v>3.0920000000000001</v>
      </c>
      <c r="K21" s="91">
        <v>-2.0259999999999998</v>
      </c>
      <c r="L21" s="91">
        <v>5.5410000000000004</v>
      </c>
      <c r="M21" s="91">
        <v>13.936</v>
      </c>
      <c r="N21" s="91">
        <v>5.9022186100000003</v>
      </c>
      <c r="O21" s="229">
        <f>SUM(K21:N21)</f>
        <v>23.353218609999999</v>
      </c>
      <c r="P21" s="91">
        <v>-5.4390000000000001</v>
      </c>
      <c r="Q21" s="91">
        <v>-2.0750000000000002</v>
      </c>
      <c r="R21" s="91">
        <v>9.6969999999999992</v>
      </c>
      <c r="S21" s="91">
        <v>-6.43</v>
      </c>
      <c r="T21" s="229">
        <f>SUM(P21:S21)</f>
        <v>-4.2470000000000008</v>
      </c>
      <c r="U21" s="91">
        <v>-2.0539999999999998</v>
      </c>
      <c r="V21" s="91">
        <v>3.0880000000000001</v>
      </c>
      <c r="W21" s="91">
        <v>-3.8282544399999998</v>
      </c>
      <c r="X21" s="91">
        <v>-1.4380398400000001</v>
      </c>
      <c r="Y21" s="229">
        <f t="shared" si="27"/>
        <v>-4.2322942799999996</v>
      </c>
      <c r="Z21" s="91">
        <v>-6.4439974900000001</v>
      </c>
      <c r="AA21" s="91">
        <v>-1.30053072999999</v>
      </c>
      <c r="AB21" s="22"/>
    </row>
    <row r="22" spans="2:28" x14ac:dyDescent="0.25">
      <c r="F22" s="16"/>
      <c r="G22" s="16"/>
      <c r="H22" s="16"/>
      <c r="I22" s="16"/>
      <c r="J22" s="16"/>
      <c r="L22" s="16"/>
    </row>
    <row r="23" spans="2:28" x14ac:dyDescent="0.25">
      <c r="B23" s="1" t="s">
        <v>434</v>
      </c>
      <c r="F23" s="16"/>
      <c r="G23" s="16"/>
      <c r="H23" s="16"/>
      <c r="I23" s="16"/>
      <c r="J23" s="16"/>
      <c r="L23" s="16"/>
    </row>
    <row r="24" spans="2:28" ht="5.0999999999999996" customHeight="1" x14ac:dyDescent="0.25">
      <c r="F24" s="16"/>
      <c r="G24" s="16"/>
      <c r="H24" s="16"/>
      <c r="I24" s="16"/>
      <c r="J24" s="16"/>
      <c r="L24" s="16"/>
    </row>
    <row r="25" spans="2:28" x14ac:dyDescent="0.25">
      <c r="B25" s="143" t="s">
        <v>307</v>
      </c>
      <c r="C25" s="124"/>
      <c r="D25" s="124"/>
      <c r="E25" s="124"/>
      <c r="F25" s="16"/>
      <c r="G25" s="16"/>
      <c r="H25" s="16"/>
      <c r="I25" s="16"/>
      <c r="J25" s="16"/>
      <c r="L25" s="16"/>
    </row>
    <row r="26" spans="2:28" x14ac:dyDescent="0.25">
      <c r="B26" s="143" t="s">
        <v>175</v>
      </c>
      <c r="C26" s="124"/>
      <c r="D26" s="124"/>
      <c r="E26" s="124"/>
      <c r="F26" s="9"/>
      <c r="G26" s="9"/>
      <c r="H26" s="9"/>
      <c r="I26" s="9"/>
      <c r="J26" s="15"/>
      <c r="L26" s="9"/>
    </row>
    <row r="27" spans="2:28" x14ac:dyDescent="0.25">
      <c r="C27" s="110"/>
      <c r="D27" s="110"/>
      <c r="E27" s="110"/>
      <c r="F27" s="9"/>
      <c r="G27" s="9"/>
      <c r="H27" s="9"/>
      <c r="I27" s="9"/>
      <c r="J27" s="15"/>
      <c r="L27" s="9"/>
    </row>
    <row r="28" spans="2:28" x14ac:dyDescent="0.25">
      <c r="B28" s="1" t="s">
        <v>435</v>
      </c>
      <c r="C28" s="110"/>
      <c r="D28" s="110"/>
      <c r="E28" s="110"/>
      <c r="F28" s="9"/>
      <c r="G28" s="9"/>
      <c r="H28" s="9"/>
      <c r="I28" s="9"/>
      <c r="J28" s="15"/>
      <c r="L28" s="9"/>
    </row>
    <row r="29" spans="2:28" ht="5.0999999999999996" customHeight="1" x14ac:dyDescent="0.25">
      <c r="C29" s="110"/>
      <c r="D29" s="110"/>
      <c r="E29" s="110"/>
      <c r="F29" s="9"/>
      <c r="G29" s="9"/>
      <c r="H29" s="9"/>
      <c r="I29" s="9"/>
      <c r="J29" s="15"/>
      <c r="L29" s="9"/>
    </row>
    <row r="30" spans="2:28" x14ac:dyDescent="0.25">
      <c r="B30" s="143" t="s">
        <v>736</v>
      </c>
      <c r="D30" s="110"/>
      <c r="E30" s="110"/>
      <c r="F30" s="9"/>
      <c r="G30" s="9"/>
      <c r="H30" s="9"/>
      <c r="I30" s="9"/>
      <c r="J30" s="15"/>
      <c r="L30" s="9"/>
    </row>
    <row r="31" spans="2:28" x14ac:dyDescent="0.25">
      <c r="B31" s="143" t="s">
        <v>737</v>
      </c>
      <c r="D31" s="110"/>
      <c r="E31" s="110"/>
      <c r="F31" s="9"/>
      <c r="G31" s="9"/>
      <c r="H31" s="9"/>
      <c r="I31" s="9"/>
      <c r="J31" s="9"/>
      <c r="L31" s="9"/>
    </row>
    <row r="32" spans="2:28" x14ac:dyDescent="0.25">
      <c r="C32" s="1"/>
      <c r="D32" s="1"/>
      <c r="E32" s="1"/>
      <c r="F32" s="11"/>
      <c r="G32" s="11"/>
      <c r="H32" s="11"/>
      <c r="I32" s="11"/>
      <c r="J32" s="9"/>
      <c r="L32" s="11"/>
    </row>
    <row r="33" spans="3:12" x14ac:dyDescent="0.25">
      <c r="F33" s="9"/>
      <c r="G33" s="9"/>
      <c r="H33" s="9"/>
      <c r="I33" s="9"/>
      <c r="J33" s="9"/>
      <c r="L33" s="9"/>
    </row>
    <row r="34" spans="3:12" x14ac:dyDescent="0.25">
      <c r="F34" s="9"/>
      <c r="G34" s="9"/>
      <c r="H34" s="9"/>
      <c r="I34" s="9"/>
      <c r="J34" s="9"/>
      <c r="L34" s="9"/>
    </row>
    <row r="35" spans="3:12" x14ac:dyDescent="0.25">
      <c r="F35" s="9"/>
      <c r="G35" s="9"/>
      <c r="H35" s="9"/>
      <c r="I35" s="9"/>
      <c r="J35" s="9"/>
      <c r="L35" s="9"/>
    </row>
    <row r="36" spans="3:12" x14ac:dyDescent="0.25">
      <c r="C36" s="1"/>
      <c r="D36" s="1"/>
      <c r="E36" s="1"/>
      <c r="F36" s="9"/>
      <c r="G36" s="9"/>
      <c r="H36" s="9"/>
      <c r="I36" s="9"/>
      <c r="J36" s="9"/>
      <c r="L36" s="9"/>
    </row>
    <row r="37" spans="3:12" x14ac:dyDescent="0.25">
      <c r="F37" s="11"/>
      <c r="G37" s="11"/>
      <c r="H37" s="11"/>
      <c r="I37" s="11"/>
      <c r="J37" s="9"/>
      <c r="L37" s="11"/>
    </row>
    <row r="38" spans="3:12" x14ac:dyDescent="0.25">
      <c r="F38" s="11"/>
      <c r="G38" s="11"/>
      <c r="H38" s="11"/>
      <c r="I38" s="11"/>
      <c r="J38" s="9"/>
      <c r="L38" s="11"/>
    </row>
    <row r="39" spans="3:12" x14ac:dyDescent="0.25">
      <c r="F39" s="11"/>
      <c r="G39" s="11"/>
      <c r="H39" s="11"/>
      <c r="I39" s="11"/>
      <c r="J39" s="9"/>
      <c r="L39" s="11"/>
    </row>
    <row r="40" spans="3:12" x14ac:dyDescent="0.25">
      <c r="C40" s="1"/>
      <c r="D40" s="1"/>
      <c r="E40" s="1"/>
      <c r="F40" s="9"/>
      <c r="G40" s="9"/>
      <c r="H40" s="9"/>
      <c r="I40" s="9"/>
      <c r="J40" s="9"/>
      <c r="L40" s="9"/>
    </row>
    <row r="41" spans="3:12" x14ac:dyDescent="0.25">
      <c r="F41" s="9"/>
      <c r="G41" s="9"/>
      <c r="H41" s="9"/>
      <c r="I41" s="9"/>
      <c r="J41" s="9"/>
      <c r="L41" s="9"/>
    </row>
    <row r="42" spans="3:12" x14ac:dyDescent="0.25">
      <c r="F42" s="9"/>
      <c r="G42" s="9"/>
      <c r="H42" s="9"/>
      <c r="I42" s="9"/>
      <c r="J42" s="9"/>
      <c r="L42" s="9"/>
    </row>
    <row r="43" spans="3:12" x14ac:dyDescent="0.25">
      <c r="F43" s="9"/>
      <c r="G43" s="9"/>
      <c r="H43" s="9"/>
      <c r="I43" s="9"/>
      <c r="J43" s="9"/>
      <c r="L43" s="9"/>
    </row>
    <row r="44" spans="3:12" x14ac:dyDescent="0.25">
      <c r="F44" s="11"/>
      <c r="G44" s="11"/>
      <c r="H44" s="11"/>
      <c r="I44" s="11"/>
      <c r="J44" s="11"/>
      <c r="L44" s="11"/>
    </row>
    <row r="45" spans="3:12" x14ac:dyDescent="0.25">
      <c r="C45" s="1"/>
      <c r="D45" s="1"/>
      <c r="E45" s="1"/>
      <c r="F45" s="11"/>
      <c r="G45" s="11"/>
      <c r="H45" s="11"/>
      <c r="I45" s="11"/>
      <c r="J45" s="11"/>
      <c r="L45" s="11"/>
    </row>
    <row r="46" spans="3:12" x14ac:dyDescent="0.25">
      <c r="F46" s="9"/>
      <c r="G46" s="9"/>
      <c r="H46" s="9"/>
      <c r="I46" s="9"/>
      <c r="J46" s="9"/>
      <c r="L46" s="9"/>
    </row>
    <row r="47" spans="3:12" x14ac:dyDescent="0.25">
      <c r="F47" s="9"/>
      <c r="G47" s="9"/>
      <c r="H47" s="9"/>
      <c r="I47" s="9"/>
      <c r="J47" s="9"/>
      <c r="L47" s="9"/>
    </row>
    <row r="48" spans="3:12" x14ac:dyDescent="0.25">
      <c r="F48" s="9"/>
      <c r="G48" s="9"/>
      <c r="H48" s="9"/>
      <c r="I48" s="9"/>
      <c r="J48" s="9"/>
      <c r="L48" s="9"/>
    </row>
    <row r="49" spans="3:12" x14ac:dyDescent="0.25">
      <c r="F49" s="9"/>
      <c r="G49" s="9"/>
      <c r="H49" s="9"/>
      <c r="I49" s="9"/>
      <c r="J49" s="9"/>
      <c r="L49" s="9"/>
    </row>
    <row r="50" spans="3:12" x14ac:dyDescent="0.25">
      <c r="F50" s="9"/>
      <c r="G50" s="9"/>
      <c r="H50" s="9"/>
      <c r="I50" s="9"/>
      <c r="J50" s="9"/>
      <c r="L50" s="9"/>
    </row>
    <row r="51" spans="3:12" x14ac:dyDescent="0.25">
      <c r="F51" s="11"/>
      <c r="G51" s="11"/>
      <c r="H51" s="11"/>
      <c r="I51" s="11"/>
      <c r="J51" s="9"/>
      <c r="L51" s="11"/>
    </row>
    <row r="52" spans="3:12" x14ac:dyDescent="0.25">
      <c r="F52" s="11"/>
      <c r="G52" s="11"/>
      <c r="H52" s="11"/>
      <c r="I52" s="11"/>
      <c r="J52" s="11"/>
      <c r="L52" s="11"/>
    </row>
    <row r="53" spans="3:12" x14ac:dyDescent="0.25">
      <c r="C53" s="1"/>
      <c r="D53" s="1"/>
      <c r="E53" s="1"/>
      <c r="F53" s="9"/>
      <c r="G53" s="9"/>
      <c r="H53" s="9"/>
      <c r="I53" s="9"/>
      <c r="J53" s="9"/>
      <c r="L53" s="9"/>
    </row>
    <row r="54" spans="3:12" x14ac:dyDescent="0.25">
      <c r="F54" s="9"/>
      <c r="G54" s="9"/>
      <c r="H54" s="9"/>
      <c r="I54" s="9"/>
      <c r="J54" s="9"/>
      <c r="L54" s="9"/>
    </row>
    <row r="55" spans="3:12" x14ac:dyDescent="0.25">
      <c r="F55" s="9"/>
      <c r="G55" s="9"/>
      <c r="H55" s="9"/>
      <c r="I55" s="9"/>
      <c r="J55" s="9"/>
      <c r="L55" s="9"/>
    </row>
    <row r="56" spans="3:12" x14ac:dyDescent="0.25">
      <c r="F56" s="9"/>
      <c r="G56" s="9"/>
      <c r="H56" s="9"/>
      <c r="I56" s="9"/>
      <c r="J56" s="9"/>
      <c r="L56" s="9"/>
    </row>
    <row r="57" spans="3:12" x14ac:dyDescent="0.25">
      <c r="F57" s="9"/>
      <c r="G57" s="9"/>
      <c r="H57" s="9"/>
      <c r="I57" s="9"/>
      <c r="J57" s="9"/>
      <c r="L57" s="9"/>
    </row>
    <row r="58" spans="3:12" x14ac:dyDescent="0.25">
      <c r="F58" s="9"/>
      <c r="G58" s="9"/>
      <c r="H58" s="9"/>
      <c r="I58" s="9"/>
      <c r="J58" s="9"/>
      <c r="L58" s="9"/>
    </row>
    <row r="59" spans="3:12" x14ac:dyDescent="0.25">
      <c r="F59" s="9"/>
      <c r="G59" s="9"/>
      <c r="H59" s="9"/>
      <c r="I59" s="9"/>
      <c r="J59" s="9"/>
      <c r="L59" s="9"/>
    </row>
    <row r="60" spans="3:12" x14ac:dyDescent="0.25">
      <c r="C60" s="1"/>
      <c r="D60" s="1"/>
      <c r="E60" s="1"/>
      <c r="F60" s="9"/>
      <c r="G60" s="9"/>
      <c r="H60" s="9"/>
      <c r="I60" s="9"/>
      <c r="J60" s="9"/>
      <c r="L60" s="9"/>
    </row>
    <row r="61" spans="3:12" x14ac:dyDescent="0.25">
      <c r="F61" s="11"/>
      <c r="G61" s="11"/>
      <c r="H61" s="11"/>
      <c r="I61" s="11"/>
      <c r="J61" s="9"/>
      <c r="L61" s="11"/>
    </row>
    <row r="62" spans="3:12" x14ac:dyDescent="0.25">
      <c r="F62" s="11"/>
      <c r="G62" s="11"/>
      <c r="H62" s="11"/>
      <c r="I62" s="11"/>
      <c r="J62" s="9"/>
      <c r="L62" s="11"/>
    </row>
    <row r="63" spans="3:12" x14ac:dyDescent="0.25">
      <c r="F63" s="11"/>
      <c r="G63" s="11"/>
      <c r="H63" s="11"/>
      <c r="I63" s="11"/>
      <c r="J63" s="9"/>
      <c r="L63" s="11"/>
    </row>
    <row r="64" spans="3:12" x14ac:dyDescent="0.25">
      <c r="J64" s="14"/>
    </row>
    <row r="65" spans="3:10" x14ac:dyDescent="0.25">
      <c r="J65" s="14"/>
    </row>
    <row r="67" spans="3:10" x14ac:dyDescent="0.25">
      <c r="C67" s="1"/>
      <c r="D67" s="1"/>
      <c r="E67" s="1"/>
    </row>
    <row r="68" spans="3:10" x14ac:dyDescent="0.25">
      <c r="J68" s="14"/>
    </row>
    <row r="69" spans="3:10" x14ac:dyDescent="0.25">
      <c r="J69" s="14"/>
    </row>
    <row r="70" spans="3:10" x14ac:dyDescent="0.25">
      <c r="J70" s="14"/>
    </row>
    <row r="71" spans="3:10" x14ac:dyDescent="0.25">
      <c r="J71" s="14"/>
    </row>
    <row r="72" spans="3:10" x14ac:dyDescent="0.25">
      <c r="J72" s="14"/>
    </row>
    <row r="73" spans="3:10" x14ac:dyDescent="0.25">
      <c r="J73" s="14"/>
    </row>
    <row r="74" spans="3:10" x14ac:dyDescent="0.25">
      <c r="J74" s="14"/>
    </row>
    <row r="75" spans="3:10" x14ac:dyDescent="0.25">
      <c r="J75" s="14"/>
    </row>
    <row r="76" spans="3:10" x14ac:dyDescent="0.25">
      <c r="J76" s="14"/>
    </row>
    <row r="77" spans="3:10" s="1" customFormat="1" x14ac:dyDescent="0.25">
      <c r="J77" s="10"/>
    </row>
  </sheetData>
  <phoneticPr fontId="34" type="noConversion"/>
  <hyperlinks>
    <hyperlink ref="F6" location="'Índice - Index'!A1" display="Index" xr:uid="{2ACD9406-B50E-47AC-9268-0FF5D0606112}"/>
    <hyperlink ref="AA6" location="'Índice - Index'!A1" display="Index" xr:uid="{65F90D44-14B0-4596-A029-8AB8115713E5}"/>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O16 T16 J16 Y16"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4">
    <tabColor theme="3" tint="0.39997558519241921"/>
    <pageSetUpPr autoPageBreaks="0"/>
  </sheetPr>
  <dimension ref="B2:W86"/>
  <sheetViews>
    <sheetView showGridLines="0" zoomScale="80" zoomScaleNormal="80" workbookViewId="0">
      <pane xSplit="5" ySplit="9" topLeftCell="S10" activePane="bottomRight" state="frozen"/>
      <selection activeCell="D1" sqref="D1"/>
      <selection pane="topRight" activeCell="D1" sqref="D1"/>
      <selection pane="bottomLeft" activeCell="D1" sqref="D1"/>
      <selection pane="bottomRight" activeCell="W9" sqref="W9"/>
    </sheetView>
  </sheetViews>
  <sheetFormatPr defaultColWidth="11.5703125" defaultRowHeight="15" outlineLevelCol="1" x14ac:dyDescent="0.25"/>
  <cols>
    <col min="1" max="1" width="2.7109375" customWidth="1"/>
    <col min="2" max="2" width="1.7109375" customWidth="1" outlineLevel="1"/>
    <col min="3" max="3" width="50.7109375" customWidth="1" outlineLevel="1"/>
    <col min="4" max="4" width="1.7109375" customWidth="1"/>
    <col min="5" max="5" width="40.7109375" customWidth="1" outlineLevel="1"/>
  </cols>
  <sheetData>
    <row r="2" spans="2:23" x14ac:dyDescent="0.25">
      <c r="B2" t="s">
        <v>429</v>
      </c>
    </row>
    <row r="3" spans="2:23" ht="21" x14ac:dyDescent="0.35">
      <c r="C3" s="4"/>
      <c r="D3" s="4"/>
      <c r="E3" s="4"/>
    </row>
    <row r="4" spans="2:23" ht="15" customHeight="1" x14ac:dyDescent="0.25">
      <c r="C4" s="3"/>
      <c r="D4" s="3"/>
      <c r="E4" s="3"/>
    </row>
    <row r="5" spans="2:23" x14ac:dyDescent="0.25">
      <c r="C5" s="2"/>
      <c r="D5" s="2"/>
      <c r="E5" s="2"/>
    </row>
    <row r="6" spans="2:23" x14ac:dyDescent="0.25">
      <c r="F6" s="236" t="s">
        <v>486</v>
      </c>
      <c r="W6" s="252" t="s">
        <v>486</v>
      </c>
    </row>
    <row r="7" spans="2:23" ht="17.25" customHeight="1" x14ac:dyDescent="0.3">
      <c r="B7" s="40" t="s">
        <v>261</v>
      </c>
      <c r="C7" s="40"/>
      <c r="E7" s="40" t="s">
        <v>738</v>
      </c>
    </row>
    <row r="8" spans="2:23" ht="17.25" customHeight="1" x14ac:dyDescent="0.25">
      <c r="B8" s="215" t="s">
        <v>434</v>
      </c>
      <c r="C8" s="216"/>
      <c r="D8" s="216"/>
      <c r="E8" s="215" t="s">
        <v>435</v>
      </c>
      <c r="F8" s="146" t="s">
        <v>595</v>
      </c>
      <c r="G8" s="146" t="s">
        <v>596</v>
      </c>
      <c r="H8" s="146" t="s">
        <v>597</v>
      </c>
      <c r="I8" s="146" t="s">
        <v>598</v>
      </c>
      <c r="J8" s="146" t="s">
        <v>599</v>
      </c>
      <c r="K8" s="146" t="s">
        <v>600</v>
      </c>
      <c r="L8" s="146" t="s">
        <v>601</v>
      </c>
      <c r="M8" s="146" t="s">
        <v>602</v>
      </c>
      <c r="N8" s="146" t="s">
        <v>603</v>
      </c>
      <c r="O8" s="146" t="s">
        <v>604</v>
      </c>
      <c r="P8" s="146" t="s">
        <v>605</v>
      </c>
      <c r="Q8" s="146" t="s">
        <v>606</v>
      </c>
      <c r="R8" s="146" t="s">
        <v>607</v>
      </c>
      <c r="S8" s="146" t="s">
        <v>828</v>
      </c>
      <c r="T8" s="146" t="s">
        <v>847</v>
      </c>
      <c r="U8" s="146" t="s">
        <v>852</v>
      </c>
      <c r="V8" s="146" t="s">
        <v>857</v>
      </c>
      <c r="W8" s="146" t="s">
        <v>863</v>
      </c>
    </row>
    <row r="9" spans="2:23" s="3" customFormat="1" x14ac:dyDescent="0.25">
      <c r="B9" s="154" t="s">
        <v>338</v>
      </c>
      <c r="C9" s="146"/>
      <c r="D9" s="146"/>
      <c r="E9" s="154" t="s">
        <v>433</v>
      </c>
      <c r="F9" s="146" t="s">
        <v>184</v>
      </c>
      <c r="G9" s="146" t="s">
        <v>186</v>
      </c>
      <c r="H9" s="146" t="s">
        <v>199</v>
      </c>
      <c r="I9" s="146" t="s">
        <v>286</v>
      </c>
      <c r="J9" s="146" t="s">
        <v>291</v>
      </c>
      <c r="K9" s="146" t="s">
        <v>293</v>
      </c>
      <c r="L9" s="146" t="s">
        <v>299</v>
      </c>
      <c r="M9" s="146" t="s">
        <v>310</v>
      </c>
      <c r="N9" s="146" t="s">
        <v>323</v>
      </c>
      <c r="O9" s="146" t="s">
        <v>330</v>
      </c>
      <c r="P9" s="146" t="s">
        <v>332</v>
      </c>
      <c r="Q9" s="146" t="s">
        <v>336</v>
      </c>
      <c r="R9" s="146" t="s">
        <v>431</v>
      </c>
      <c r="S9" s="146" t="s">
        <v>829</v>
      </c>
      <c r="T9" s="146" t="s">
        <v>848</v>
      </c>
      <c r="U9" s="146" t="s">
        <v>849</v>
      </c>
      <c r="V9" s="146" t="s">
        <v>856</v>
      </c>
      <c r="W9" s="146" t="s">
        <v>858</v>
      </c>
    </row>
    <row r="10" spans="2:23" s="22" customFormat="1" ht="15" customHeight="1" x14ac:dyDescent="0.25">
      <c r="B10" s="74"/>
      <c r="C10" s="74"/>
      <c r="D10" s="74"/>
      <c r="E10" s="74"/>
      <c r="F10" s="71"/>
      <c r="G10" s="71"/>
      <c r="H10" s="71"/>
      <c r="I10" s="71"/>
      <c r="J10" s="71"/>
      <c r="K10" s="71"/>
      <c r="L10" s="71"/>
      <c r="M10" s="71"/>
      <c r="N10" s="71"/>
      <c r="O10" s="71"/>
      <c r="P10" s="71"/>
      <c r="Q10" s="71"/>
      <c r="R10" s="71"/>
      <c r="S10" s="71"/>
      <c r="T10" s="71"/>
      <c r="U10" s="71"/>
      <c r="V10" s="71"/>
      <c r="W10" s="71"/>
    </row>
    <row r="11" spans="2:23" s="22" customFormat="1" ht="15" customHeight="1" x14ac:dyDescent="0.25">
      <c r="B11" s="178" t="s">
        <v>303</v>
      </c>
      <c r="C11" s="179"/>
      <c r="D11" s="179"/>
      <c r="E11" s="178" t="s">
        <v>739</v>
      </c>
      <c r="F11" s="202">
        <f t="shared" ref="F11:Q11" si="0">(F12*4)/F15</f>
        <v>3.2594936291948637E-2</v>
      </c>
      <c r="G11" s="202">
        <f t="shared" si="0"/>
        <v>3.2990501364758992E-2</v>
      </c>
      <c r="H11" s="202">
        <f t="shared" si="0"/>
        <v>3.5950205725342382E-2</v>
      </c>
      <c r="I11" s="202">
        <f t="shared" si="0"/>
        <v>3.4060428602490068E-2</v>
      </c>
      <c r="J11" s="202">
        <f t="shared" si="0"/>
        <v>3.0074808524948454E-2</v>
      </c>
      <c r="K11" s="202">
        <f t="shared" si="0"/>
        <v>3.0005488354168931E-2</v>
      </c>
      <c r="L11" s="202">
        <f t="shared" si="0"/>
        <v>3.1788800924842937E-2</v>
      </c>
      <c r="M11" s="202">
        <f t="shared" si="0"/>
        <v>3.1770699291871284E-2</v>
      </c>
      <c r="N11" s="202">
        <f t="shared" si="0"/>
        <v>3.2323267232656397E-2</v>
      </c>
      <c r="O11" s="202">
        <f t="shared" si="0"/>
        <v>3.4983946926160976E-2</v>
      </c>
      <c r="P11" s="202">
        <f t="shared" si="0"/>
        <v>3.8074031038734822E-2</v>
      </c>
      <c r="Q11" s="202">
        <f t="shared" si="0"/>
        <v>4.1180933773490365E-2</v>
      </c>
      <c r="R11" s="202">
        <f t="shared" ref="R11:T11" si="1">(R12*4)/R15</f>
        <v>4.3941126207457118E-2</v>
      </c>
      <c r="S11" s="202">
        <f t="shared" si="1"/>
        <v>4.4683535581136587E-2</v>
      </c>
      <c r="T11" s="202">
        <f t="shared" si="1"/>
        <v>4.7661999692069149E-2</v>
      </c>
      <c r="U11" s="202">
        <f t="shared" ref="U11:V11" si="2">(U12*4)/U15</f>
        <v>4.7876331318002376E-2</v>
      </c>
      <c r="V11" s="202">
        <f t="shared" si="2"/>
        <v>4.7317634317729861E-2</v>
      </c>
      <c r="W11" s="202">
        <f t="shared" ref="W11" si="3">(W12*4)/W15</f>
        <v>4.59718793120239E-2</v>
      </c>
    </row>
    <row r="12" spans="2:23" s="23" customFormat="1" ht="15" customHeight="1" x14ac:dyDescent="0.25">
      <c r="C12" s="142" t="s">
        <v>301</v>
      </c>
      <c r="D12" s="142"/>
      <c r="E12" s="142" t="s">
        <v>740</v>
      </c>
      <c r="F12" s="103">
        <v>234.14385994815277</v>
      </c>
      <c r="G12" s="103">
        <v>236.99364114213532</v>
      </c>
      <c r="H12" s="103">
        <v>264.72968115192543</v>
      </c>
      <c r="I12" s="103">
        <v>259.8385978815669</v>
      </c>
      <c r="J12" s="103">
        <v>255.37942635985991</v>
      </c>
      <c r="K12" s="103">
        <v>281.67722642103394</v>
      </c>
      <c r="L12" s="103">
        <v>301.72804806697582</v>
      </c>
      <c r="M12" s="103">
        <v>299.86254259188348</v>
      </c>
      <c r="N12" s="103">
        <v>315.915361136488</v>
      </c>
      <c r="O12" s="103">
        <v>345.66626153465899</v>
      </c>
      <c r="P12" s="103">
        <v>380.85130483116012</v>
      </c>
      <c r="Q12" s="103">
        <v>422.055623662725</v>
      </c>
      <c r="R12" s="103">
        <v>447.51802266823103</v>
      </c>
      <c r="S12" s="103">
        <v>476.81765908535101</v>
      </c>
      <c r="T12" s="103">
        <v>537.65818004886444</v>
      </c>
      <c r="U12" s="103">
        <v>557.00573450472268</v>
      </c>
      <c r="V12" s="103">
        <v>549.69365408565898</v>
      </c>
      <c r="W12" s="103">
        <v>544.39701847965455</v>
      </c>
    </row>
    <row r="13" spans="2:23" s="23" customFormat="1" ht="15" customHeight="1" x14ac:dyDescent="0.25">
      <c r="C13" s="142" t="s">
        <v>263</v>
      </c>
      <c r="D13" s="142"/>
      <c r="E13" s="142" t="s">
        <v>741</v>
      </c>
      <c r="F13" s="91">
        <v>13021.896141745019</v>
      </c>
      <c r="G13" s="91">
        <v>13349.073399850011</v>
      </c>
      <c r="H13" s="91">
        <v>14412.564124110009</v>
      </c>
      <c r="I13" s="91">
        <v>16195.584117324999</v>
      </c>
      <c r="J13" s="91">
        <v>17527.98423808501</v>
      </c>
      <c r="K13" s="91">
        <v>18037.685915654998</v>
      </c>
      <c r="L13" s="91">
        <v>18724.989867914985</v>
      </c>
      <c r="M13" s="91">
        <v>20085.754471995002</v>
      </c>
      <c r="N13" s="91">
        <v>21205.929218195022</v>
      </c>
      <c r="O13" s="91">
        <v>21169.342621645585</v>
      </c>
      <c r="P13" s="91">
        <v>21385.962408055566</v>
      </c>
      <c r="Q13" s="91">
        <v>22579.015113825029</v>
      </c>
      <c r="R13" s="91">
        <v>23158.784163910008</v>
      </c>
      <c r="S13" s="91">
        <v>23697.125249029999</v>
      </c>
      <c r="T13" s="91">
        <v>24983.014842559995</v>
      </c>
      <c r="U13" s="91">
        <v>25703.009019099965</v>
      </c>
      <c r="V13" s="91">
        <v>24916.328495044989</v>
      </c>
      <c r="W13" s="91">
        <v>23777.814039805024</v>
      </c>
    </row>
    <row r="14" spans="2:23" s="23" customFormat="1" ht="15" customHeight="1" x14ac:dyDescent="0.25">
      <c r="C14" s="75" t="s">
        <v>264</v>
      </c>
      <c r="D14" s="75"/>
      <c r="E14" s="75" t="s">
        <v>742</v>
      </c>
      <c r="F14" s="91">
        <v>15711.874999999996</v>
      </c>
      <c r="G14" s="91">
        <v>15385.699499999995</v>
      </c>
      <c r="H14" s="91">
        <v>15042.586499999998</v>
      </c>
      <c r="I14" s="91">
        <v>14319.428</v>
      </c>
      <c r="J14" s="91">
        <v>16437.908000000003</v>
      </c>
      <c r="K14" s="91">
        <v>19512.407999999999</v>
      </c>
      <c r="L14" s="91">
        <v>19241.594499999999</v>
      </c>
      <c r="M14" s="91">
        <v>17667.590499999998</v>
      </c>
      <c r="N14" s="91">
        <v>17888.554499999998</v>
      </c>
      <c r="O14" s="91">
        <v>18353.500500000009</v>
      </c>
      <c r="P14" s="91">
        <v>18625.698500000006</v>
      </c>
      <c r="Q14" s="91">
        <v>18416.230500000005</v>
      </c>
      <c r="R14" s="91">
        <v>17579.181499999999</v>
      </c>
      <c r="S14" s="91">
        <v>18986.843499999999</v>
      </c>
      <c r="T14" s="91">
        <v>20139.571999999996</v>
      </c>
      <c r="U14" s="91">
        <v>20834.034999999996</v>
      </c>
      <c r="V14" s="91">
        <v>21552.068500000001</v>
      </c>
      <c r="W14" s="91">
        <v>23590.014000000003</v>
      </c>
    </row>
    <row r="15" spans="2:23" s="23" customFormat="1" ht="15" customHeight="1" x14ac:dyDescent="0.25">
      <c r="C15" s="75" t="s">
        <v>302</v>
      </c>
      <c r="D15" s="75"/>
      <c r="E15" s="75" t="s">
        <v>743</v>
      </c>
      <c r="F15" s="91">
        <f t="shared" ref="F15:G15" si="4">SUM(F13:F14)</f>
        <v>28733.771141745015</v>
      </c>
      <c r="G15" s="91">
        <f t="shared" si="4"/>
        <v>28734.772899850006</v>
      </c>
      <c r="H15" s="91">
        <f t="shared" ref="H15:M15" si="5">SUM(H13:H14)</f>
        <v>29455.150624110007</v>
      </c>
      <c r="I15" s="91">
        <f t="shared" si="5"/>
        <v>30515.012117325001</v>
      </c>
      <c r="J15" s="91">
        <f t="shared" si="5"/>
        <v>33965.892238085013</v>
      </c>
      <c r="K15" s="91">
        <f t="shared" si="5"/>
        <v>37550.093915655001</v>
      </c>
      <c r="L15" s="91">
        <f t="shared" si="5"/>
        <v>37966.584367914984</v>
      </c>
      <c r="M15" s="91">
        <f t="shared" si="5"/>
        <v>37753.344971995</v>
      </c>
      <c r="N15" s="91">
        <f>SUM(N13:N14)</f>
        <v>39094.483718195021</v>
      </c>
      <c r="O15" s="91">
        <f t="shared" ref="O15:T15" si="6">SUM(O13:O14)</f>
        <v>39522.843121645594</v>
      </c>
      <c r="P15" s="91">
        <f t="shared" si="6"/>
        <v>40011.660908055572</v>
      </c>
      <c r="Q15" s="91">
        <f t="shared" si="6"/>
        <v>40995.245613825035</v>
      </c>
      <c r="R15" s="91">
        <f t="shared" si="6"/>
        <v>40737.965663910007</v>
      </c>
      <c r="S15" s="91">
        <f t="shared" si="6"/>
        <v>42683.968749029998</v>
      </c>
      <c r="T15" s="91">
        <f t="shared" si="6"/>
        <v>45122.586842559991</v>
      </c>
      <c r="U15" s="91">
        <f t="shared" ref="U15:W15" si="7">SUM(U13:U14)</f>
        <v>46537.044019099965</v>
      </c>
      <c r="V15" s="91">
        <f t="shared" si="7"/>
        <v>46468.39699504499</v>
      </c>
      <c r="W15" s="91">
        <f t="shared" si="7"/>
        <v>47367.828039805026</v>
      </c>
    </row>
    <row r="16" spans="2:23" ht="15" customHeight="1" x14ac:dyDescent="0.25"/>
    <row r="17" spans="2:9" ht="15" customHeight="1" x14ac:dyDescent="0.25"/>
    <row r="18" spans="2:9" ht="15" customHeight="1" x14ac:dyDescent="0.25">
      <c r="B18" s="1" t="s">
        <v>434</v>
      </c>
    </row>
    <row r="19" spans="2:9" ht="5.0999999999999996" customHeight="1" x14ac:dyDescent="0.25"/>
    <row r="20" spans="2:9" s="23" customFormat="1" ht="15" customHeight="1" x14ac:dyDescent="0.25">
      <c r="B20" s="83" t="s">
        <v>308</v>
      </c>
      <c r="C20" s="83"/>
      <c r="D20" s="124"/>
      <c r="E20" s="124"/>
      <c r="F20" s="91"/>
      <c r="G20" s="91"/>
      <c r="H20" s="91"/>
      <c r="I20" s="91"/>
    </row>
    <row r="21" spans="2:9" s="23" customFormat="1" x14ac:dyDescent="0.25">
      <c r="C21" s="38"/>
      <c r="D21" s="38"/>
      <c r="E21" s="38"/>
      <c r="F21" s="91"/>
      <c r="G21" s="91"/>
      <c r="H21" s="91"/>
      <c r="I21" s="91"/>
    </row>
    <row r="22" spans="2:9" ht="15" customHeight="1" x14ac:dyDescent="0.25">
      <c r="B22" s="1" t="s">
        <v>435</v>
      </c>
    </row>
    <row r="23" spans="2:9" ht="5.0999999999999996" customHeight="1" x14ac:dyDescent="0.25"/>
    <row r="24" spans="2:9" s="23" customFormat="1" x14ac:dyDescent="0.25">
      <c r="B24" s="83" t="s">
        <v>744</v>
      </c>
      <c r="C24" s="27"/>
      <c r="D24" s="27"/>
      <c r="E24" s="27"/>
      <c r="F24" s="91"/>
      <c r="G24" s="92"/>
      <c r="H24" s="92"/>
      <c r="I24" s="92"/>
    </row>
    <row r="25" spans="2:9" x14ac:dyDescent="0.25">
      <c r="F25" s="16"/>
      <c r="G25" s="16"/>
      <c r="H25" s="16"/>
      <c r="I25" s="16"/>
    </row>
    <row r="26" spans="2:9" x14ac:dyDescent="0.25">
      <c r="F26" s="16"/>
      <c r="G26" s="16"/>
      <c r="H26" s="16"/>
      <c r="I26" s="16"/>
    </row>
    <row r="27" spans="2:9" x14ac:dyDescent="0.25">
      <c r="C27" s="267"/>
      <c r="D27" s="214"/>
      <c r="E27" s="214"/>
      <c r="F27" s="16"/>
      <c r="G27" s="16"/>
      <c r="H27" s="16"/>
      <c r="I27" s="16"/>
    </row>
    <row r="28" spans="2:9" ht="19.5" customHeight="1" x14ac:dyDescent="0.25">
      <c r="C28" s="267"/>
      <c r="D28" s="214"/>
      <c r="E28" s="214"/>
      <c r="F28" s="16"/>
      <c r="G28" s="16"/>
      <c r="H28" s="16"/>
      <c r="I28" s="16"/>
    </row>
    <row r="29" spans="2:9" x14ac:dyDescent="0.25">
      <c r="C29" s="267"/>
      <c r="D29" s="214"/>
      <c r="E29" s="214"/>
      <c r="F29" s="16"/>
      <c r="G29" s="16"/>
      <c r="H29" s="16"/>
      <c r="I29" s="16"/>
    </row>
    <row r="30" spans="2:9" x14ac:dyDescent="0.25">
      <c r="C30" s="267"/>
      <c r="D30" s="214"/>
      <c r="E30" s="214"/>
      <c r="F30" s="9"/>
      <c r="G30" s="9"/>
      <c r="H30" s="9"/>
      <c r="I30" s="9"/>
    </row>
    <row r="31" spans="2:9" x14ac:dyDescent="0.25">
      <c r="C31" s="267"/>
      <c r="D31" s="214"/>
      <c r="E31" s="214"/>
      <c r="F31" s="9"/>
      <c r="G31" s="9"/>
      <c r="H31" s="9"/>
      <c r="I31" s="9"/>
    </row>
    <row r="32" spans="2:9" x14ac:dyDescent="0.25">
      <c r="C32" s="267"/>
      <c r="D32" s="214"/>
      <c r="E32" s="214"/>
      <c r="F32" s="9"/>
      <c r="G32" s="9"/>
      <c r="H32" s="9"/>
      <c r="I32" s="9"/>
    </row>
    <row r="33" spans="3:9" x14ac:dyDescent="0.25">
      <c r="C33" s="267"/>
      <c r="D33" s="214"/>
      <c r="E33" s="214"/>
      <c r="F33" s="9"/>
      <c r="G33" s="9"/>
      <c r="H33" s="9"/>
      <c r="I33" s="9"/>
    </row>
    <row r="34" spans="3:9" x14ac:dyDescent="0.25">
      <c r="F34" s="9"/>
      <c r="G34" s="9"/>
      <c r="H34" s="9"/>
      <c r="I34" s="9"/>
    </row>
    <row r="35" spans="3:9" x14ac:dyDescent="0.25">
      <c r="F35" s="9"/>
      <c r="G35" s="9"/>
      <c r="H35" s="9"/>
      <c r="I35" s="9"/>
    </row>
    <row r="36" spans="3:9" x14ac:dyDescent="0.25">
      <c r="F36" s="9"/>
      <c r="G36" s="9"/>
      <c r="H36" s="9"/>
      <c r="I36" s="9"/>
    </row>
    <row r="37" spans="3:9" x14ac:dyDescent="0.25">
      <c r="F37" s="9"/>
      <c r="G37" s="9"/>
      <c r="H37" s="9"/>
      <c r="I37" s="9"/>
    </row>
    <row r="38" spans="3:9" x14ac:dyDescent="0.25">
      <c r="F38" s="9"/>
      <c r="G38" s="9"/>
      <c r="H38" s="9"/>
      <c r="I38" s="9"/>
    </row>
    <row r="39" spans="3:9" x14ac:dyDescent="0.25">
      <c r="F39" s="9"/>
      <c r="G39" s="9"/>
      <c r="H39" s="9"/>
      <c r="I39" s="9"/>
    </row>
    <row r="40" spans="3:9" x14ac:dyDescent="0.25">
      <c r="C40" s="1"/>
      <c r="D40" s="1"/>
      <c r="E40" s="1"/>
      <c r="F40" s="9"/>
      <c r="G40" s="9"/>
      <c r="H40" s="9"/>
      <c r="I40" s="9"/>
    </row>
    <row r="41" spans="3:9" x14ac:dyDescent="0.25">
      <c r="C41" s="1"/>
      <c r="D41" s="1"/>
      <c r="E41" s="1"/>
      <c r="F41" s="11"/>
      <c r="G41" s="11"/>
      <c r="H41" s="11"/>
      <c r="I41" s="11"/>
    </row>
    <row r="42" spans="3:9" x14ac:dyDescent="0.25">
      <c r="F42" s="9"/>
      <c r="G42" s="9"/>
      <c r="H42" s="9"/>
      <c r="I42" s="9"/>
    </row>
    <row r="43" spans="3:9" x14ac:dyDescent="0.25">
      <c r="F43" s="9"/>
      <c r="G43" s="9"/>
      <c r="H43" s="9"/>
      <c r="I43" s="9"/>
    </row>
    <row r="44" spans="3:9" x14ac:dyDescent="0.25">
      <c r="F44" s="9"/>
      <c r="G44" s="9"/>
      <c r="H44" s="9"/>
      <c r="I44" s="9"/>
    </row>
    <row r="45" spans="3:9" x14ac:dyDescent="0.25">
      <c r="C45" s="1"/>
      <c r="D45" s="1"/>
      <c r="E45" s="1"/>
      <c r="F45" s="9"/>
      <c r="G45" s="9"/>
      <c r="H45" s="9"/>
      <c r="I45" s="9"/>
    </row>
    <row r="46" spans="3:9" x14ac:dyDescent="0.25">
      <c r="F46" s="11"/>
      <c r="G46" s="11"/>
      <c r="H46" s="11"/>
      <c r="I46" s="11"/>
    </row>
    <row r="47" spans="3:9" x14ac:dyDescent="0.25">
      <c r="F47" s="11"/>
      <c r="G47" s="11"/>
      <c r="H47" s="11"/>
      <c r="I47" s="11"/>
    </row>
    <row r="48" spans="3:9" x14ac:dyDescent="0.25">
      <c r="F48" s="11"/>
      <c r="G48" s="11"/>
      <c r="H48" s="11"/>
      <c r="I48" s="11"/>
    </row>
    <row r="49" spans="3:9" x14ac:dyDescent="0.25">
      <c r="C49" s="1"/>
      <c r="D49" s="1"/>
      <c r="E49" s="1"/>
      <c r="F49" s="9"/>
      <c r="G49" s="9"/>
      <c r="H49" s="9"/>
      <c r="I49" s="9"/>
    </row>
    <row r="50" spans="3:9" x14ac:dyDescent="0.25">
      <c r="F50" s="9"/>
      <c r="G50" s="9"/>
      <c r="H50" s="9"/>
      <c r="I50" s="9"/>
    </row>
    <row r="51" spans="3:9" x14ac:dyDescent="0.25">
      <c r="F51" s="9"/>
      <c r="G51" s="9"/>
      <c r="H51" s="9"/>
      <c r="I51" s="9"/>
    </row>
    <row r="52" spans="3:9" x14ac:dyDescent="0.25">
      <c r="F52" s="9"/>
      <c r="G52" s="9"/>
      <c r="H52" s="9"/>
      <c r="I52" s="9"/>
    </row>
    <row r="53" spans="3:9" x14ac:dyDescent="0.25">
      <c r="F53" s="11"/>
      <c r="G53" s="11"/>
      <c r="H53" s="11"/>
      <c r="I53" s="11"/>
    </row>
    <row r="54" spans="3:9" x14ac:dyDescent="0.25">
      <c r="C54" s="1"/>
      <c r="D54" s="1"/>
      <c r="E54" s="1"/>
      <c r="F54" s="11"/>
      <c r="G54" s="11"/>
      <c r="H54" s="11"/>
      <c r="I54" s="11"/>
    </row>
    <row r="55" spans="3:9" x14ac:dyDescent="0.25">
      <c r="F55" s="9"/>
      <c r="G55" s="9"/>
      <c r="H55" s="9"/>
      <c r="I55" s="9"/>
    </row>
    <row r="56" spans="3:9" x14ac:dyDescent="0.25">
      <c r="F56" s="9"/>
      <c r="G56" s="9"/>
      <c r="H56" s="9"/>
      <c r="I56" s="9"/>
    </row>
    <row r="57" spans="3:9" x14ac:dyDescent="0.25">
      <c r="F57" s="9"/>
      <c r="G57" s="9"/>
      <c r="H57" s="9"/>
      <c r="I57" s="9"/>
    </row>
    <row r="58" spans="3:9" x14ac:dyDescent="0.25">
      <c r="F58" s="9"/>
      <c r="G58" s="9"/>
      <c r="H58" s="9"/>
      <c r="I58" s="9"/>
    </row>
    <row r="59" spans="3:9" x14ac:dyDescent="0.25">
      <c r="F59" s="9"/>
      <c r="G59" s="9"/>
      <c r="H59" s="9"/>
      <c r="I59" s="9"/>
    </row>
    <row r="60" spans="3:9" x14ac:dyDescent="0.25">
      <c r="F60" s="11"/>
      <c r="G60" s="11"/>
      <c r="H60" s="11"/>
      <c r="I60" s="11"/>
    </row>
    <row r="61" spans="3:9" x14ac:dyDescent="0.25">
      <c r="F61" s="11"/>
      <c r="G61" s="11"/>
      <c r="H61" s="11"/>
      <c r="I61" s="11"/>
    </row>
    <row r="62" spans="3:9" x14ac:dyDescent="0.25">
      <c r="C62" s="1"/>
      <c r="D62" s="1"/>
      <c r="E62" s="1"/>
      <c r="F62" s="9"/>
      <c r="G62" s="9"/>
      <c r="H62" s="9"/>
      <c r="I62" s="9"/>
    </row>
    <row r="63" spans="3:9" x14ac:dyDescent="0.25">
      <c r="F63" s="9"/>
      <c r="G63" s="9"/>
      <c r="H63" s="9"/>
      <c r="I63" s="9"/>
    </row>
    <row r="64" spans="3:9" x14ac:dyDescent="0.25">
      <c r="F64" s="9"/>
      <c r="G64" s="9"/>
      <c r="H64" s="9"/>
      <c r="I64" s="9"/>
    </row>
    <row r="65" spans="3:9" x14ac:dyDescent="0.25">
      <c r="F65" s="9"/>
      <c r="G65" s="9"/>
      <c r="H65" s="9"/>
      <c r="I65" s="9"/>
    </row>
    <row r="66" spans="3:9" x14ac:dyDescent="0.25">
      <c r="F66" s="9"/>
      <c r="G66" s="9"/>
      <c r="H66" s="9"/>
      <c r="I66" s="9"/>
    </row>
    <row r="67" spans="3:9" x14ac:dyDescent="0.25">
      <c r="F67" s="9"/>
      <c r="G67" s="9"/>
      <c r="H67" s="9"/>
      <c r="I67" s="9"/>
    </row>
    <row r="68" spans="3:9" x14ac:dyDescent="0.25">
      <c r="F68" s="9"/>
      <c r="G68" s="9"/>
      <c r="H68" s="9"/>
      <c r="I68" s="9"/>
    </row>
    <row r="69" spans="3:9" x14ac:dyDescent="0.25">
      <c r="C69" s="1"/>
      <c r="D69" s="1"/>
      <c r="E69" s="1"/>
      <c r="F69" s="9"/>
      <c r="G69" s="9"/>
      <c r="H69" s="9"/>
      <c r="I69" s="9"/>
    </row>
    <row r="70" spans="3:9" x14ac:dyDescent="0.25">
      <c r="F70" s="11"/>
      <c r="G70" s="11"/>
      <c r="H70" s="11"/>
      <c r="I70" s="11"/>
    </row>
    <row r="71" spans="3:9" x14ac:dyDescent="0.25">
      <c r="F71" s="11"/>
      <c r="G71" s="11"/>
      <c r="H71" s="11"/>
      <c r="I71" s="11"/>
    </row>
    <row r="72" spans="3:9" x14ac:dyDescent="0.25">
      <c r="F72" s="11"/>
      <c r="G72" s="11"/>
      <c r="H72" s="11"/>
      <c r="I72" s="11"/>
    </row>
    <row r="76" spans="3:9" x14ac:dyDescent="0.25">
      <c r="C76" s="1"/>
      <c r="D76" s="1"/>
      <c r="E76" s="1"/>
    </row>
    <row r="86" s="1" customFormat="1" x14ac:dyDescent="0.25"/>
  </sheetData>
  <mergeCells count="1">
    <mergeCell ref="C27:C33"/>
  </mergeCells>
  <phoneticPr fontId="34" type="noConversion"/>
  <hyperlinks>
    <hyperlink ref="F6" location="'Índice - Index'!A1" display="Index" xr:uid="{88D1E457-965B-42FA-9977-E9B26EDCB5EB}"/>
    <hyperlink ref="W6" location="'Índice - Index'!A1" display="Index" xr:uid="{BD0ACEF3-0436-49D5-BC36-F25B26AA0016}"/>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15:N15 O15:T15 U15:W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5">
    <tabColor theme="3" tint="0.39997558519241921"/>
    <pageSetUpPr autoPageBreaks="0"/>
  </sheetPr>
  <dimension ref="A2:BP87"/>
  <sheetViews>
    <sheetView showGridLines="0" zoomScale="80" zoomScaleNormal="80" workbookViewId="0">
      <pane xSplit="5" ySplit="9" topLeftCell="BK10" activePane="bottomRight" state="frozen"/>
      <selection activeCell="BL11" sqref="BL11"/>
      <selection pane="topRight" activeCell="BL11" sqref="BL11"/>
      <selection pane="bottomLeft" activeCell="BL11" sqref="BL11"/>
      <selection pane="bottomRight" activeCell="BO9" sqref="BO9"/>
    </sheetView>
  </sheetViews>
  <sheetFormatPr defaultColWidth="12" defaultRowHeight="15" outlineLevelCol="1" x14ac:dyDescent="0.25"/>
  <cols>
    <col min="1" max="1" width="2.7109375" customWidth="1"/>
    <col min="2" max="2" width="1.7109375" customWidth="1" outlineLevel="1"/>
    <col min="3" max="3" width="61.85546875" bestFit="1" customWidth="1" outlineLevel="1"/>
    <col min="4" max="4" width="1.7109375" customWidth="1"/>
    <col min="5" max="5" width="61.85546875" customWidth="1" outlineLevel="1"/>
    <col min="68" max="68" width="13.42578125" bestFit="1" customWidth="1"/>
  </cols>
  <sheetData>
    <row r="2" spans="2:68" x14ac:dyDescent="0.25">
      <c r="B2" t="s">
        <v>429</v>
      </c>
    </row>
    <row r="3" spans="2:68" ht="21" x14ac:dyDescent="0.35">
      <c r="C3" s="4"/>
      <c r="D3" s="4"/>
      <c r="E3" s="4"/>
    </row>
    <row r="4" spans="2:68" ht="15" customHeight="1" x14ac:dyDescent="0.25">
      <c r="C4" s="3"/>
      <c r="D4" s="3"/>
      <c r="E4" s="3"/>
    </row>
    <row r="5" spans="2:68" x14ac:dyDescent="0.25">
      <c r="C5" s="2"/>
      <c r="D5" s="2"/>
      <c r="E5" s="2"/>
    </row>
    <row r="6" spans="2:68" x14ac:dyDescent="0.25">
      <c r="F6" s="236" t="s">
        <v>486</v>
      </c>
      <c r="AT6" s="6"/>
      <c r="AU6" s="6"/>
      <c r="AW6" s="6"/>
      <c r="BO6" s="252" t="s">
        <v>486</v>
      </c>
    </row>
    <row r="7" spans="2:68" ht="17.25" customHeight="1" x14ac:dyDescent="0.3">
      <c r="B7" s="40" t="s">
        <v>8</v>
      </c>
      <c r="E7" s="40" t="s">
        <v>745</v>
      </c>
    </row>
    <row r="8" spans="2:68" ht="17.25" customHeight="1" x14ac:dyDescent="0.25">
      <c r="B8" s="215" t="s">
        <v>434</v>
      </c>
      <c r="C8" s="216"/>
      <c r="D8" s="216"/>
      <c r="E8" s="215" t="s">
        <v>435</v>
      </c>
      <c r="F8" s="146" t="s">
        <v>17</v>
      </c>
      <c r="G8" s="146" t="s">
        <v>18</v>
      </c>
      <c r="H8" s="146" t="s">
        <v>488</v>
      </c>
      <c r="I8" s="146" t="s">
        <v>489</v>
      </c>
      <c r="J8" s="146" t="s">
        <v>21</v>
      </c>
      <c r="K8" s="146" t="s">
        <v>22</v>
      </c>
      <c r="L8" s="146" t="s">
        <v>490</v>
      </c>
      <c r="M8" s="146" t="s">
        <v>491</v>
      </c>
      <c r="N8" s="146" t="s">
        <v>25</v>
      </c>
      <c r="O8" s="146" t="s">
        <v>26</v>
      </c>
      <c r="P8" s="146" t="s">
        <v>492</v>
      </c>
      <c r="Q8" s="146" t="s">
        <v>493</v>
      </c>
      <c r="R8" s="146" t="s">
        <v>29</v>
      </c>
      <c r="S8" s="146" t="s">
        <v>30</v>
      </c>
      <c r="T8" s="146" t="s">
        <v>494</v>
      </c>
      <c r="U8" s="146" t="s">
        <v>495</v>
      </c>
      <c r="V8" s="146" t="s">
        <v>33</v>
      </c>
      <c r="W8" s="146" t="s">
        <v>34</v>
      </c>
      <c r="X8" s="146" t="s">
        <v>496</v>
      </c>
      <c r="Y8" s="146" t="s">
        <v>497</v>
      </c>
      <c r="Z8" s="146" t="s">
        <v>37</v>
      </c>
      <c r="AA8" s="146" t="s">
        <v>38</v>
      </c>
      <c r="AB8" s="146" t="s">
        <v>498</v>
      </c>
      <c r="AC8" s="146" t="s">
        <v>499</v>
      </c>
      <c r="AD8" s="146" t="s">
        <v>41</v>
      </c>
      <c r="AE8" s="146" t="s">
        <v>42</v>
      </c>
      <c r="AF8" s="146" t="s">
        <v>500</v>
      </c>
      <c r="AG8" s="146" t="s">
        <v>501</v>
      </c>
      <c r="AH8" s="146" t="s">
        <v>45</v>
      </c>
      <c r="AI8" s="146" t="s">
        <v>46</v>
      </c>
      <c r="AJ8" s="146" t="s">
        <v>502</v>
      </c>
      <c r="AK8" s="146" t="s">
        <v>503</v>
      </c>
      <c r="AL8" s="146" t="s">
        <v>49</v>
      </c>
      <c r="AM8" s="146" t="s">
        <v>50</v>
      </c>
      <c r="AN8" s="146" t="s">
        <v>504</v>
      </c>
      <c r="AO8" s="146" t="s">
        <v>505</v>
      </c>
      <c r="AP8" s="146" t="s">
        <v>53</v>
      </c>
      <c r="AQ8" s="155" t="s">
        <v>165</v>
      </c>
      <c r="AR8" s="155" t="s">
        <v>506</v>
      </c>
      <c r="AS8" s="155" t="s">
        <v>507</v>
      </c>
      <c r="AT8" s="155" t="s">
        <v>173</v>
      </c>
      <c r="AU8" s="155" t="s">
        <v>176</v>
      </c>
      <c r="AV8" s="155" t="s">
        <v>508</v>
      </c>
      <c r="AW8" s="156" t="s">
        <v>509</v>
      </c>
      <c r="AX8" s="156" t="s">
        <v>182</v>
      </c>
      <c r="AY8" s="155" t="s">
        <v>185</v>
      </c>
      <c r="AZ8" s="155" t="s">
        <v>242</v>
      </c>
      <c r="BA8" s="155" t="s">
        <v>510</v>
      </c>
      <c r="BB8" s="155" t="s">
        <v>290</v>
      </c>
      <c r="BC8" s="155" t="s">
        <v>292</v>
      </c>
      <c r="BD8" s="155" t="s">
        <v>511</v>
      </c>
      <c r="BE8" s="155" t="s">
        <v>512</v>
      </c>
      <c r="BF8" s="155" t="s">
        <v>322</v>
      </c>
      <c r="BG8" s="155" t="s">
        <v>329</v>
      </c>
      <c r="BH8" s="155" t="s">
        <v>513</v>
      </c>
      <c r="BI8" s="155" t="s">
        <v>514</v>
      </c>
      <c r="BJ8" s="155" t="s">
        <v>430</v>
      </c>
      <c r="BK8" s="155" t="s">
        <v>827</v>
      </c>
      <c r="BL8" s="155" t="s">
        <v>845</v>
      </c>
      <c r="BM8" s="155" t="s">
        <v>851</v>
      </c>
      <c r="BN8" s="155" t="s">
        <v>855</v>
      </c>
      <c r="BO8" s="155" t="s">
        <v>862</v>
      </c>
    </row>
    <row r="9" spans="2:68" s="3" customFormat="1" x14ac:dyDescent="0.25">
      <c r="B9" s="154" t="s">
        <v>338</v>
      </c>
      <c r="C9" s="146"/>
      <c r="D9" s="146"/>
      <c r="E9" s="154" t="s">
        <v>433</v>
      </c>
      <c r="F9" s="146" t="s">
        <v>17</v>
      </c>
      <c r="G9" s="146" t="s">
        <v>18</v>
      </c>
      <c r="H9" s="146" t="s">
        <v>19</v>
      </c>
      <c r="I9" s="146" t="s">
        <v>20</v>
      </c>
      <c r="J9" s="146" t="s">
        <v>21</v>
      </c>
      <c r="K9" s="146" t="s">
        <v>22</v>
      </c>
      <c r="L9" s="146" t="s">
        <v>23</v>
      </c>
      <c r="M9" s="146" t="s">
        <v>24</v>
      </c>
      <c r="N9" s="146" t="s">
        <v>25</v>
      </c>
      <c r="O9" s="146" t="s">
        <v>26</v>
      </c>
      <c r="P9" s="146" t="s">
        <v>27</v>
      </c>
      <c r="Q9" s="146" t="s">
        <v>28</v>
      </c>
      <c r="R9" s="146" t="s">
        <v>29</v>
      </c>
      <c r="S9" s="146" t="s">
        <v>30</v>
      </c>
      <c r="T9" s="146" t="s">
        <v>31</v>
      </c>
      <c r="U9" s="146" t="s">
        <v>32</v>
      </c>
      <c r="V9" s="146" t="s">
        <v>33</v>
      </c>
      <c r="W9" s="146" t="s">
        <v>34</v>
      </c>
      <c r="X9" s="146" t="s">
        <v>35</v>
      </c>
      <c r="Y9" s="146" t="s">
        <v>36</v>
      </c>
      <c r="Z9" s="146" t="s">
        <v>37</v>
      </c>
      <c r="AA9" s="146" t="s">
        <v>38</v>
      </c>
      <c r="AB9" s="146" t="s">
        <v>39</v>
      </c>
      <c r="AC9" s="146" t="s">
        <v>40</v>
      </c>
      <c r="AD9" s="146" t="s">
        <v>41</v>
      </c>
      <c r="AE9" s="146" t="s">
        <v>42</v>
      </c>
      <c r="AF9" s="146" t="s">
        <v>43</v>
      </c>
      <c r="AG9" s="146" t="s">
        <v>44</v>
      </c>
      <c r="AH9" s="146" t="s">
        <v>45</v>
      </c>
      <c r="AI9" s="146" t="s">
        <v>46</v>
      </c>
      <c r="AJ9" s="146" t="s">
        <v>47</v>
      </c>
      <c r="AK9" s="146" t="s">
        <v>48</v>
      </c>
      <c r="AL9" s="146" t="s">
        <v>49</v>
      </c>
      <c r="AM9" s="146" t="s">
        <v>50</v>
      </c>
      <c r="AN9" s="146" t="s">
        <v>51</v>
      </c>
      <c r="AO9" s="146" t="s">
        <v>52</v>
      </c>
      <c r="AP9" s="146" t="s">
        <v>53</v>
      </c>
      <c r="AQ9" s="155" t="s">
        <v>165</v>
      </c>
      <c r="AR9" s="155" t="s">
        <v>169</v>
      </c>
      <c r="AS9" s="155" t="s">
        <v>171</v>
      </c>
      <c r="AT9" s="155" t="s">
        <v>173</v>
      </c>
      <c r="AU9" s="155" t="s">
        <v>176</v>
      </c>
      <c r="AV9" s="155" t="s">
        <v>178</v>
      </c>
      <c r="AW9" s="156" t="s">
        <v>180</v>
      </c>
      <c r="AX9" s="156" t="s">
        <v>182</v>
      </c>
      <c r="AY9" s="155" t="s">
        <v>185</v>
      </c>
      <c r="AZ9" s="155" t="s">
        <v>198</v>
      </c>
      <c r="BA9" s="155" t="s">
        <v>285</v>
      </c>
      <c r="BB9" s="155" t="s">
        <v>290</v>
      </c>
      <c r="BC9" s="155" t="s">
        <v>292</v>
      </c>
      <c r="BD9" s="155" t="s">
        <v>306</v>
      </c>
      <c r="BE9" s="155" t="s">
        <v>309</v>
      </c>
      <c r="BF9" s="155" t="s">
        <v>322</v>
      </c>
      <c r="BG9" s="155" t="s">
        <v>329</v>
      </c>
      <c r="BH9" s="155" t="s">
        <v>331</v>
      </c>
      <c r="BI9" s="155" t="s">
        <v>335</v>
      </c>
      <c r="BJ9" s="155" t="s">
        <v>430</v>
      </c>
      <c r="BK9" s="155" t="s">
        <v>827</v>
      </c>
      <c r="BL9" s="155" t="s">
        <v>846</v>
      </c>
      <c r="BM9" s="155" t="s">
        <v>853</v>
      </c>
      <c r="BN9" s="155" t="s">
        <v>855</v>
      </c>
      <c r="BO9" s="155" t="s">
        <v>862</v>
      </c>
    </row>
    <row r="10" spans="2:68" s="3" customFormat="1" x14ac:dyDescent="0.2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203"/>
      <c r="AR10" s="203"/>
      <c r="AS10" s="203"/>
      <c r="AT10" s="203"/>
      <c r="AU10" s="203"/>
      <c r="AV10" s="203"/>
      <c r="AW10" s="204"/>
      <c r="AX10" s="204"/>
      <c r="AY10" s="203"/>
      <c r="AZ10" s="203"/>
      <c r="BA10" s="203"/>
      <c r="BB10" s="203"/>
      <c r="BC10" s="203"/>
      <c r="BD10" s="203"/>
      <c r="BE10" s="203"/>
      <c r="BF10" s="203"/>
      <c r="BG10" s="203"/>
      <c r="BH10" s="203"/>
      <c r="BI10" s="203"/>
      <c r="BJ10" s="203"/>
      <c r="BK10" s="203"/>
      <c r="BL10" s="203"/>
      <c r="BM10" s="203"/>
      <c r="BN10" s="203"/>
      <c r="BO10" s="203"/>
    </row>
    <row r="11" spans="2:68" s="3" customFormat="1" x14ac:dyDescent="0.25">
      <c r="C11" s="75" t="s">
        <v>238</v>
      </c>
      <c r="D11" s="75"/>
      <c r="E11" s="75" t="s">
        <v>746</v>
      </c>
      <c r="F11" s="116">
        <v>1105.9000000000001</v>
      </c>
      <c r="G11" s="116">
        <v>1134.2</v>
      </c>
      <c r="H11" s="116">
        <v>1161.1859999999999</v>
      </c>
      <c r="I11" s="33">
        <v>1182.019</v>
      </c>
      <c r="J11" s="116">
        <v>1195.2</v>
      </c>
      <c r="K11" s="116">
        <v>1184.0999999999999</v>
      </c>
      <c r="L11" s="116">
        <v>1198.5999999999999</v>
      </c>
      <c r="M11" s="116">
        <v>1228.3</v>
      </c>
      <c r="N11" s="116">
        <v>1257.2</v>
      </c>
      <c r="O11" s="116">
        <v>1821.8</v>
      </c>
      <c r="P11" s="116">
        <v>1833</v>
      </c>
      <c r="Q11" s="116">
        <v>1841.8</v>
      </c>
      <c r="R11" s="116">
        <v>1866.1379999999999</v>
      </c>
      <c r="S11" s="116">
        <v>1886.4079999999999</v>
      </c>
      <c r="T11" s="116">
        <v>2025.71</v>
      </c>
      <c r="U11" s="116">
        <v>2072.4749999999999</v>
      </c>
      <c r="V11" s="116">
        <v>2092.0230000000001</v>
      </c>
      <c r="W11" s="116">
        <v>2180.777</v>
      </c>
      <c r="X11" s="116">
        <v>2257.1999999999998</v>
      </c>
      <c r="Y11" s="116">
        <v>2507.3000000000002</v>
      </c>
      <c r="Z11" s="116">
        <v>2573.6999999999998</v>
      </c>
      <c r="AA11" s="116">
        <v>2690.8</v>
      </c>
      <c r="AB11" s="116">
        <v>2767.9</v>
      </c>
      <c r="AC11" s="116">
        <v>2662.7</v>
      </c>
      <c r="AD11" s="116">
        <v>2611.3000000000002</v>
      </c>
      <c r="AE11" s="116">
        <v>2693.2</v>
      </c>
      <c r="AF11" s="116">
        <v>2789.1</v>
      </c>
      <c r="AG11" s="116">
        <v>2900.1</v>
      </c>
      <c r="AH11" s="116">
        <v>2933</v>
      </c>
      <c r="AI11" s="116">
        <v>3045.3</v>
      </c>
      <c r="AJ11" s="116">
        <v>3089.9</v>
      </c>
      <c r="AK11" s="116">
        <v>3217.7</v>
      </c>
      <c r="AL11" s="116">
        <v>3274.2</v>
      </c>
      <c r="AM11" s="116">
        <v>3355.4</v>
      </c>
      <c r="AN11" s="116">
        <v>3532.414207794</v>
      </c>
      <c r="AO11" s="116">
        <v>3612.5751291900001</v>
      </c>
      <c r="AP11" s="116">
        <v>3292.14</v>
      </c>
      <c r="AQ11" s="116">
        <v>3449.8691014760002</v>
      </c>
      <c r="AR11" s="116">
        <v>3631.47</v>
      </c>
      <c r="AS11" s="116">
        <v>3807.0568174700002</v>
      </c>
      <c r="AT11" s="116">
        <v>3952.7904794999999</v>
      </c>
      <c r="AU11" s="116">
        <v>4153.2094958199996</v>
      </c>
      <c r="AV11" s="116">
        <v>4249.7250000000004</v>
      </c>
      <c r="AW11" s="116">
        <v>4651.28</v>
      </c>
      <c r="AX11" s="116">
        <v>4772.226095</v>
      </c>
      <c r="AY11" s="116">
        <v>5136.4870000000001</v>
      </c>
      <c r="AZ11" s="116">
        <v>5299.5020000000004</v>
      </c>
      <c r="BA11" s="116">
        <v>5387.0089999999991</v>
      </c>
      <c r="BB11" s="116">
        <v>5227.2361414795005</v>
      </c>
      <c r="BC11" s="116">
        <v>5370.6569594000002</v>
      </c>
      <c r="BD11" s="116">
        <v>5343.73928324801</v>
      </c>
      <c r="BE11" s="116">
        <v>5388.4272755040001</v>
      </c>
      <c r="BF11" s="116">
        <v>5400.6728649259985</v>
      </c>
      <c r="BG11" s="116">
        <v>5481.8703876039999</v>
      </c>
      <c r="BH11" s="116">
        <v>5504.3297823180001</v>
      </c>
      <c r="BI11" s="116">
        <v>5609.3608535820003</v>
      </c>
      <c r="BJ11" s="116">
        <v>5552.2201238587486</v>
      </c>
      <c r="BK11" s="116">
        <v>5992.1820422820001</v>
      </c>
      <c r="BL11" s="116">
        <v>6089.2922198599999</v>
      </c>
      <c r="BM11" s="116">
        <v>6439.379125948928</v>
      </c>
      <c r="BN11" s="116">
        <v>6551.6638048722698</v>
      </c>
      <c r="BO11" s="116">
        <v>6592.6853561296757</v>
      </c>
    </row>
    <row r="12" spans="2:68" s="3" customFormat="1" x14ac:dyDescent="0.25">
      <c r="C12" s="142" t="s">
        <v>248</v>
      </c>
      <c r="D12" s="142"/>
      <c r="E12" s="142" t="s">
        <v>747</v>
      </c>
      <c r="F12" s="117">
        <v>588.1</v>
      </c>
      <c r="G12" s="117">
        <v>650.6</v>
      </c>
      <c r="H12" s="117">
        <v>765.9</v>
      </c>
      <c r="I12" s="117">
        <v>721.85299999999995</v>
      </c>
      <c r="J12" s="117">
        <v>724.7</v>
      </c>
      <c r="K12" s="117">
        <v>726.3</v>
      </c>
      <c r="L12" s="117">
        <v>854.3</v>
      </c>
      <c r="M12" s="117">
        <v>922.9</v>
      </c>
      <c r="N12" s="117">
        <v>1037.9000000000001</v>
      </c>
      <c r="O12" s="117">
        <v>1128</v>
      </c>
      <c r="P12" s="117">
        <v>1195.9000000000001</v>
      </c>
      <c r="Q12" s="117">
        <v>1263.4000000000001</v>
      </c>
      <c r="R12" s="117">
        <v>1305.809</v>
      </c>
      <c r="S12" s="117">
        <v>1348.087</v>
      </c>
      <c r="T12" s="117">
        <v>1410.8579999999999</v>
      </c>
      <c r="U12" s="117">
        <v>1459.7380000000001</v>
      </c>
      <c r="V12" s="117">
        <v>1518.328</v>
      </c>
      <c r="W12" s="117">
        <v>1687.749</v>
      </c>
      <c r="X12" s="117">
        <v>1654.1</v>
      </c>
      <c r="Y12" s="117">
        <v>1735.4</v>
      </c>
      <c r="Z12" s="117">
        <v>1791.9</v>
      </c>
      <c r="AA12" s="117">
        <v>1819.2</v>
      </c>
      <c r="AB12" s="117">
        <v>1750.2</v>
      </c>
      <c r="AC12" s="117">
        <v>1982.7</v>
      </c>
      <c r="AD12" s="117">
        <v>2033.7</v>
      </c>
      <c r="AE12" s="117">
        <v>2119.1</v>
      </c>
      <c r="AF12" s="117">
        <v>2089.8000000000002</v>
      </c>
      <c r="AG12" s="117">
        <v>2217</v>
      </c>
      <c r="AH12" s="117">
        <v>2275.5</v>
      </c>
      <c r="AI12" s="117">
        <v>2263.5</v>
      </c>
      <c r="AJ12" s="117">
        <v>2332.6999999999998</v>
      </c>
      <c r="AK12" s="117">
        <v>2187.6999999999998</v>
      </c>
      <c r="AL12" s="117">
        <v>1885</v>
      </c>
      <c r="AM12" s="117">
        <v>1833.1</v>
      </c>
      <c r="AN12" s="117">
        <v>1893.93816844137</v>
      </c>
      <c r="AO12" s="117">
        <v>2001.51909286</v>
      </c>
      <c r="AP12" s="117">
        <v>1949.5429999999999</v>
      </c>
      <c r="AQ12" s="117">
        <v>1972.8118726400101</v>
      </c>
      <c r="AR12" s="117">
        <v>1969.758</v>
      </c>
      <c r="AS12" s="117">
        <v>2159.1364206899998</v>
      </c>
      <c r="AT12" s="117">
        <v>2115.3640707975001</v>
      </c>
      <c r="AU12" s="117">
        <v>2219.9538686324199</v>
      </c>
      <c r="AV12" s="117">
        <v>2267.2159999999999</v>
      </c>
      <c r="AW12" s="117">
        <v>2337.221</v>
      </c>
      <c r="AX12" s="117">
        <v>2204.9100928554199</v>
      </c>
      <c r="AY12" s="117">
        <v>2294.0149999999999</v>
      </c>
      <c r="AZ12" s="117">
        <v>2435.1380000000004</v>
      </c>
      <c r="BA12" s="117">
        <v>2551.5075200000001</v>
      </c>
      <c r="BB12" s="117">
        <v>2853.3736546218447</v>
      </c>
      <c r="BC12" s="117">
        <v>2732.5203489380224</v>
      </c>
      <c r="BD12" s="117">
        <v>2721.6150400000001</v>
      </c>
      <c r="BE12" s="117">
        <v>2557.7454636849902</v>
      </c>
      <c r="BF12" s="117">
        <v>2710.6635394988498</v>
      </c>
      <c r="BG12" s="117">
        <v>2759.9867696584238</v>
      </c>
      <c r="BH12" s="117">
        <v>3014.2300178098076</v>
      </c>
      <c r="BI12" s="117">
        <v>2974.3263056648002</v>
      </c>
      <c r="BJ12" s="117">
        <v>2945.45289572201</v>
      </c>
      <c r="BK12" s="117">
        <v>3202.0029055885402</v>
      </c>
      <c r="BL12" s="117">
        <v>3307.5034846910899</v>
      </c>
      <c r="BM12" s="117">
        <v>3380.8702861933498</v>
      </c>
      <c r="BN12" s="116">
        <v>3537.67185375799</v>
      </c>
      <c r="BO12" s="116">
        <v>3525.7251294972875</v>
      </c>
    </row>
    <row r="13" spans="2:68" x14ac:dyDescent="0.25">
      <c r="C13" s="142" t="s">
        <v>249</v>
      </c>
      <c r="D13" s="142"/>
      <c r="E13" s="142" t="s">
        <v>748</v>
      </c>
      <c r="F13" s="116">
        <f t="shared" ref="F13:BM13" si="0">F11-F12</f>
        <v>517.80000000000007</v>
      </c>
      <c r="G13" s="116">
        <f t="shared" si="0"/>
        <v>483.6</v>
      </c>
      <c r="H13" s="116">
        <f t="shared" si="0"/>
        <v>395.28599999999994</v>
      </c>
      <c r="I13" s="116">
        <f t="shared" si="0"/>
        <v>460.16600000000005</v>
      </c>
      <c r="J13" s="116">
        <f t="shared" si="0"/>
        <v>470.5</v>
      </c>
      <c r="K13" s="116">
        <f t="shared" si="0"/>
        <v>457.79999999999995</v>
      </c>
      <c r="L13" s="116">
        <f t="shared" si="0"/>
        <v>344.29999999999995</v>
      </c>
      <c r="M13" s="116">
        <f t="shared" si="0"/>
        <v>305.39999999999998</v>
      </c>
      <c r="N13" s="116">
        <f t="shared" si="0"/>
        <v>219.29999999999995</v>
      </c>
      <c r="O13" s="116">
        <f t="shared" si="0"/>
        <v>693.8</v>
      </c>
      <c r="P13" s="116">
        <f t="shared" si="0"/>
        <v>637.09999999999991</v>
      </c>
      <c r="Q13" s="116">
        <f t="shared" si="0"/>
        <v>578.39999999999986</v>
      </c>
      <c r="R13" s="116">
        <f t="shared" si="0"/>
        <v>560.32899999999995</v>
      </c>
      <c r="S13" s="116">
        <f t="shared" si="0"/>
        <v>538.32099999999991</v>
      </c>
      <c r="T13" s="116">
        <f t="shared" si="0"/>
        <v>614.85200000000009</v>
      </c>
      <c r="U13" s="116">
        <f t="shared" si="0"/>
        <v>612.73699999999985</v>
      </c>
      <c r="V13" s="116">
        <f t="shared" si="0"/>
        <v>573.69500000000016</v>
      </c>
      <c r="W13" s="116">
        <f t="shared" si="0"/>
        <v>493.02800000000002</v>
      </c>
      <c r="X13" s="116">
        <f t="shared" si="0"/>
        <v>603.09999999999991</v>
      </c>
      <c r="Y13" s="116">
        <f t="shared" si="0"/>
        <v>771.90000000000009</v>
      </c>
      <c r="Z13" s="116">
        <f t="shared" si="0"/>
        <v>781.79999999999973</v>
      </c>
      <c r="AA13" s="116">
        <f t="shared" si="0"/>
        <v>871.60000000000014</v>
      </c>
      <c r="AB13" s="116">
        <f t="shared" si="0"/>
        <v>1017.7</v>
      </c>
      <c r="AC13" s="116">
        <f t="shared" si="0"/>
        <v>679.99999999999977</v>
      </c>
      <c r="AD13" s="116">
        <f t="shared" si="0"/>
        <v>577.60000000000014</v>
      </c>
      <c r="AE13" s="116">
        <f t="shared" si="0"/>
        <v>574.09999999999991</v>
      </c>
      <c r="AF13" s="116">
        <f t="shared" si="0"/>
        <v>699.29999999999973</v>
      </c>
      <c r="AG13" s="116">
        <f t="shared" si="0"/>
        <v>683.09999999999991</v>
      </c>
      <c r="AH13" s="116">
        <f t="shared" si="0"/>
        <v>657.5</v>
      </c>
      <c r="AI13" s="116">
        <f t="shared" si="0"/>
        <v>781.80000000000018</v>
      </c>
      <c r="AJ13" s="116">
        <f t="shared" si="0"/>
        <v>757.20000000000027</v>
      </c>
      <c r="AK13" s="116">
        <f t="shared" si="0"/>
        <v>1030</v>
      </c>
      <c r="AL13" s="116">
        <f t="shared" si="0"/>
        <v>1389.1999999999998</v>
      </c>
      <c r="AM13" s="116">
        <f t="shared" si="0"/>
        <v>1522.3000000000002</v>
      </c>
      <c r="AN13" s="116">
        <f t="shared" si="0"/>
        <v>1638.4760393526301</v>
      </c>
      <c r="AO13" s="116">
        <f t="shared" si="0"/>
        <v>1611.0560363300001</v>
      </c>
      <c r="AP13" s="116">
        <f t="shared" si="0"/>
        <v>1342.597</v>
      </c>
      <c r="AQ13" s="116">
        <f t="shared" si="0"/>
        <v>1477.0572288359901</v>
      </c>
      <c r="AR13" s="116">
        <f t="shared" si="0"/>
        <v>1661.7119999999998</v>
      </c>
      <c r="AS13" s="116">
        <f t="shared" si="0"/>
        <v>1647.9203967800004</v>
      </c>
      <c r="AT13" s="116">
        <f t="shared" si="0"/>
        <v>1837.4264087024999</v>
      </c>
      <c r="AU13" s="116">
        <f t="shared" si="0"/>
        <v>1933.2556271875796</v>
      </c>
      <c r="AV13" s="116">
        <f t="shared" si="0"/>
        <v>1982.5090000000005</v>
      </c>
      <c r="AW13" s="116">
        <f t="shared" si="0"/>
        <v>2314.0589999999997</v>
      </c>
      <c r="AX13" s="116">
        <f t="shared" si="0"/>
        <v>2567.3160021445801</v>
      </c>
      <c r="AY13" s="116">
        <f t="shared" si="0"/>
        <v>2842.4720000000002</v>
      </c>
      <c r="AZ13" s="116">
        <f t="shared" si="0"/>
        <v>2864.364</v>
      </c>
      <c r="BA13" s="116">
        <f t="shared" si="0"/>
        <v>2835.501479999999</v>
      </c>
      <c r="BB13" s="116">
        <f t="shared" si="0"/>
        <v>2373.8624868576558</v>
      </c>
      <c r="BC13" s="116">
        <f t="shared" si="0"/>
        <v>2638.1366104619779</v>
      </c>
      <c r="BD13" s="116">
        <f t="shared" si="0"/>
        <v>2622.1242432480099</v>
      </c>
      <c r="BE13" s="116">
        <f t="shared" si="0"/>
        <v>2830.6818118190099</v>
      </c>
      <c r="BF13" s="116">
        <f t="shared" si="0"/>
        <v>2690.0093254271487</v>
      </c>
      <c r="BG13" s="116">
        <f t="shared" si="0"/>
        <v>2721.8836179455761</v>
      </c>
      <c r="BH13" s="116">
        <f t="shared" si="0"/>
        <v>2490.0997645081925</v>
      </c>
      <c r="BI13" s="116">
        <f t="shared" si="0"/>
        <v>2635.0345479172001</v>
      </c>
      <c r="BJ13" s="116">
        <f t="shared" si="0"/>
        <v>2606.7672281367386</v>
      </c>
      <c r="BK13" s="116">
        <f t="shared" si="0"/>
        <v>2790.1791366934599</v>
      </c>
      <c r="BL13" s="116">
        <f t="shared" si="0"/>
        <v>2781.7887351689101</v>
      </c>
      <c r="BM13" s="116">
        <f t="shared" si="0"/>
        <v>3058.5088397555783</v>
      </c>
      <c r="BN13" s="116">
        <f t="shared" ref="BN13" si="1">BN11-BN12</f>
        <v>3013.9919511142798</v>
      </c>
      <c r="BO13" s="116">
        <f t="shared" ref="BO13" si="2">BO11-BO12</f>
        <v>3066.9602266323882</v>
      </c>
      <c r="BP13" s="3"/>
    </row>
    <row r="14" spans="2:68" x14ac:dyDescent="0.25">
      <c r="C14" s="142"/>
      <c r="D14" s="142"/>
      <c r="E14" s="142"/>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6"/>
      <c r="BO14" s="116"/>
      <c r="BP14" s="3"/>
    </row>
    <row r="15" spans="2:68" s="1" customFormat="1" x14ac:dyDescent="0.25">
      <c r="B15" s="210" t="s">
        <v>241</v>
      </c>
      <c r="C15" s="211"/>
      <c r="D15" s="211"/>
      <c r="E15" s="210" t="s">
        <v>749</v>
      </c>
      <c r="F15" s="254">
        <f t="shared" ref="F15:BL15" si="3">F11/F21</f>
        <v>0.20684238886780587</v>
      </c>
      <c r="G15" s="254">
        <f t="shared" si="3"/>
        <v>0.19179657860742699</v>
      </c>
      <c r="H15" s="254">
        <f t="shared" si="3"/>
        <v>0.16124277856372776</v>
      </c>
      <c r="I15" s="254">
        <f t="shared" si="3"/>
        <v>0.18010000000000001</v>
      </c>
      <c r="J15" s="254">
        <f t="shared" si="3"/>
        <v>0.18099999999999999</v>
      </c>
      <c r="K15" s="254">
        <f t="shared" si="3"/>
        <v>0.17899999999999999</v>
      </c>
      <c r="L15" s="254">
        <f t="shared" si="3"/>
        <v>0.154</v>
      </c>
      <c r="M15" s="254">
        <f t="shared" si="3"/>
        <v>0.14599999999999999</v>
      </c>
      <c r="N15" s="254">
        <f t="shared" si="3"/>
        <v>0.13300000000000001</v>
      </c>
      <c r="O15" s="254">
        <f t="shared" si="3"/>
        <v>0.17799999999999999</v>
      </c>
      <c r="P15" s="254">
        <f t="shared" si="3"/>
        <v>0.16900000000000001</v>
      </c>
      <c r="Q15" s="254">
        <f t="shared" si="3"/>
        <v>0.16</v>
      </c>
      <c r="R15" s="254">
        <f t="shared" si="3"/>
        <v>0.15720000000000001</v>
      </c>
      <c r="S15" s="254">
        <f t="shared" si="3"/>
        <v>0.15390000000000001</v>
      </c>
      <c r="T15" s="254">
        <f t="shared" si="3"/>
        <v>0.15790000000000001</v>
      </c>
      <c r="U15" s="254">
        <f t="shared" si="3"/>
        <v>0.15620000000000001</v>
      </c>
      <c r="V15" s="254">
        <f t="shared" si="3"/>
        <v>0.15160000000000001</v>
      </c>
      <c r="W15" s="254">
        <f t="shared" si="3"/>
        <v>0.1421</v>
      </c>
      <c r="X15" s="254">
        <f t="shared" si="3"/>
        <v>0.15011172589912747</v>
      </c>
      <c r="Y15" s="254">
        <f t="shared" si="3"/>
        <v>0.15892941797903981</v>
      </c>
      <c r="Z15" s="254">
        <f t="shared" si="3"/>
        <v>0.15799670757918979</v>
      </c>
      <c r="AA15" s="254">
        <f t="shared" si="3"/>
        <v>0.16270133010667262</v>
      </c>
      <c r="AB15" s="254">
        <f t="shared" si="3"/>
        <v>0.17396107468085562</v>
      </c>
      <c r="AC15" s="254">
        <f t="shared" si="3"/>
        <v>0.14832380235945636</v>
      </c>
      <c r="AD15" s="254">
        <f t="shared" si="3"/>
        <v>0.14180804524301757</v>
      </c>
      <c r="AE15" s="254">
        <f t="shared" si="3"/>
        <v>0.13980101454881519</v>
      </c>
      <c r="AF15" s="254">
        <f t="shared" si="3"/>
        <v>0.14680667454274571</v>
      </c>
      <c r="AG15" s="254">
        <f t="shared" si="3"/>
        <v>0.14389155277546814</v>
      </c>
      <c r="AH15" s="254">
        <f t="shared" si="3"/>
        <v>0.14178265806180157</v>
      </c>
      <c r="AI15" s="254">
        <f t="shared" si="3"/>
        <v>0.14799373793022205</v>
      </c>
      <c r="AJ15" s="254">
        <f t="shared" si="3"/>
        <v>0.14570475592413923</v>
      </c>
      <c r="AK15" s="254">
        <f t="shared" si="3"/>
        <v>0.16179292526908626</v>
      </c>
      <c r="AL15" s="254">
        <f t="shared" si="3"/>
        <v>0.17150000000000001</v>
      </c>
      <c r="AM15" s="254">
        <f t="shared" si="3"/>
        <v>0.18099999999999999</v>
      </c>
      <c r="AN15" s="254">
        <f t="shared" si="3"/>
        <v>0.18418019597056134</v>
      </c>
      <c r="AO15" s="254">
        <f t="shared" si="3"/>
        <v>0.17894352007053177</v>
      </c>
      <c r="AP15" s="254">
        <f t="shared" si="3"/>
        <v>0.15620000000000001</v>
      </c>
      <c r="AQ15" s="254">
        <f t="shared" si="3"/>
        <v>0.16175535858849746</v>
      </c>
      <c r="AR15" s="254">
        <f t="shared" si="3"/>
        <v>0.17053413414236668</v>
      </c>
      <c r="AS15" s="254">
        <f t="shared" si="3"/>
        <v>0.16309999999999999</v>
      </c>
      <c r="AT15" s="254">
        <f t="shared" si="3"/>
        <v>0.16120000000000001</v>
      </c>
      <c r="AU15" s="254">
        <f t="shared" si="3"/>
        <v>0.16141115442576709</v>
      </c>
      <c r="AV15" s="254">
        <f t="shared" si="3"/>
        <v>0.16166910486252747</v>
      </c>
      <c r="AW15" s="254">
        <f t="shared" si="3"/>
        <v>0.17164525733766728</v>
      </c>
      <c r="AX15" s="254">
        <f t="shared" si="3"/>
        <v>0.17314904986990465</v>
      </c>
      <c r="AY15" s="254">
        <f t="shared" si="3"/>
        <v>0.17912647280618033</v>
      </c>
      <c r="AZ15" s="254">
        <f t="shared" si="3"/>
        <v>0.1740790914099499</v>
      </c>
      <c r="BA15" s="254">
        <f t="shared" si="3"/>
        <v>0.16890435031913995</v>
      </c>
      <c r="BB15" s="254">
        <f t="shared" si="3"/>
        <v>0.14656437834723393</v>
      </c>
      <c r="BC15" s="254">
        <f t="shared" si="3"/>
        <v>0.15723672889356594</v>
      </c>
      <c r="BD15" s="254">
        <f t="shared" si="3"/>
        <v>0.15707553653871664</v>
      </c>
      <c r="BE15" s="254">
        <f t="shared" si="3"/>
        <v>0.16853677901403563</v>
      </c>
      <c r="BF15" s="254">
        <f t="shared" si="3"/>
        <v>0.15939043077312065</v>
      </c>
      <c r="BG15" s="254">
        <f t="shared" si="3"/>
        <v>0.15885428158149786</v>
      </c>
      <c r="BH15" s="254">
        <f t="shared" si="3"/>
        <v>0.14608917700847993</v>
      </c>
      <c r="BI15" s="254">
        <f t="shared" si="3"/>
        <v>0.15091709261299077</v>
      </c>
      <c r="BJ15" s="254">
        <f t="shared" si="3"/>
        <v>0.15080112486396416</v>
      </c>
      <c r="BK15" s="254">
        <f t="shared" si="3"/>
        <v>0.14971084703788898</v>
      </c>
      <c r="BL15" s="254">
        <f t="shared" si="3"/>
        <v>0.14726734882495052</v>
      </c>
      <c r="BM15" s="254">
        <f>BM11/BM21</f>
        <v>0.15234085443374581</v>
      </c>
      <c r="BN15" s="254">
        <f t="shared" ref="BN15:BO15" si="4">BN16+BN19</f>
        <v>0.14815845447810766</v>
      </c>
      <c r="BO15" s="254">
        <f t="shared" si="4"/>
        <v>0.14959058710447479</v>
      </c>
      <c r="BP15" s="3"/>
    </row>
    <row r="16" spans="2:68" s="1" customFormat="1" x14ac:dyDescent="0.25">
      <c r="B16" s="170" t="s">
        <v>240</v>
      </c>
      <c r="C16" s="171"/>
      <c r="D16" s="171"/>
      <c r="E16" s="170" t="s">
        <v>750</v>
      </c>
      <c r="F16" s="206">
        <v>0.20699999999999999</v>
      </c>
      <c r="G16" s="206">
        <v>0.192</v>
      </c>
      <c r="H16" s="206">
        <v>0.16124277856372776</v>
      </c>
      <c r="I16" s="206">
        <v>0.18</v>
      </c>
      <c r="J16" s="206">
        <v>0.18099999999999999</v>
      </c>
      <c r="K16" s="206">
        <v>0.17899999999999999</v>
      </c>
      <c r="L16" s="206">
        <v>0.154</v>
      </c>
      <c r="M16" s="206">
        <v>0.14599999999999999</v>
      </c>
      <c r="N16" s="206">
        <v>0.13300000000000001</v>
      </c>
      <c r="O16" s="206">
        <v>0.125</v>
      </c>
      <c r="P16" s="206">
        <v>0.121</v>
      </c>
      <c r="Q16" s="206">
        <v>0.11700000000000001</v>
      </c>
      <c r="R16" s="206">
        <v>0.11600000000000001</v>
      </c>
      <c r="S16" s="206">
        <v>0.11600000000000001</v>
      </c>
      <c r="T16" s="206">
        <v>0.114</v>
      </c>
      <c r="U16" s="206">
        <v>0.113</v>
      </c>
      <c r="V16" s="206">
        <v>0.111</v>
      </c>
      <c r="W16" s="206">
        <v>0.10199999999999999</v>
      </c>
      <c r="X16" s="206">
        <v>0.109</v>
      </c>
      <c r="Y16" s="206">
        <v>0.106</v>
      </c>
      <c r="Z16" s="206">
        <v>0.108</v>
      </c>
      <c r="AA16" s="206">
        <v>0.109</v>
      </c>
      <c r="AB16" s="206">
        <v>0.11700000000000001</v>
      </c>
      <c r="AC16" s="206">
        <v>0.10639999999999999</v>
      </c>
      <c r="AD16" s="206">
        <v>0.10539999999999999</v>
      </c>
      <c r="AE16" s="206">
        <v>0.10539999999999999</v>
      </c>
      <c r="AF16" s="206">
        <v>0.1119</v>
      </c>
      <c r="AG16" s="206">
        <v>0.1085</v>
      </c>
      <c r="AH16" s="206">
        <v>0.1076</v>
      </c>
      <c r="AI16" s="206">
        <v>0.1133</v>
      </c>
      <c r="AJ16" s="206">
        <v>0.1118</v>
      </c>
      <c r="AK16" s="206">
        <v>0.126</v>
      </c>
      <c r="AL16" s="206">
        <v>0.1368</v>
      </c>
      <c r="AM16" s="206">
        <v>0.14399999999999999</v>
      </c>
      <c r="AN16" s="206">
        <v>0.14722923025565215</v>
      </c>
      <c r="AO16" s="206">
        <v>0.14292794746912008</v>
      </c>
      <c r="AP16" s="206">
        <v>0.14330000000000001</v>
      </c>
      <c r="AQ16" s="206">
        <v>0.14431476666643969</v>
      </c>
      <c r="AR16" s="206">
        <v>0.14681476767292731</v>
      </c>
      <c r="AS16" s="206">
        <v>0.13990413186458295</v>
      </c>
      <c r="AT16" s="206">
        <v>0.13827528762155131</v>
      </c>
      <c r="AU16" s="206">
        <v>0.13083286157318302</v>
      </c>
      <c r="AV16" s="206">
        <v>0.13232632801014166</v>
      </c>
      <c r="AW16" s="206">
        <v>0.13432375778756056</v>
      </c>
      <c r="AX16" s="206">
        <v>0.13678761836180509</v>
      </c>
      <c r="AY16" s="206">
        <v>0.14427488401821337</v>
      </c>
      <c r="AZ16" s="206">
        <v>0.14320824528219755</v>
      </c>
      <c r="BA16" s="206">
        <v>0.14038637048579028</v>
      </c>
      <c r="BB16" s="206">
        <v>0.12172789549004742</v>
      </c>
      <c r="BC16" s="206">
        <v>0.13320561144079618</v>
      </c>
      <c r="BD16" s="206">
        <v>0.13558255468782243</v>
      </c>
      <c r="BE16" s="206">
        <v>0.14695749224872831</v>
      </c>
      <c r="BF16" s="206">
        <v>0.13979204756331862</v>
      </c>
      <c r="BG16" s="206">
        <v>0.14054872862704706</v>
      </c>
      <c r="BH16" s="206">
        <v>0.13154371925328542</v>
      </c>
      <c r="BI16" s="206">
        <v>0.13630490190319311</v>
      </c>
      <c r="BJ16" s="206">
        <v>0.13509381812854304</v>
      </c>
      <c r="BK16" s="206">
        <v>0.13133919479797596</v>
      </c>
      <c r="BL16" s="206">
        <v>0.13132632733293031</v>
      </c>
      <c r="BM16" s="206">
        <v>0.13114640230545244</v>
      </c>
      <c r="BN16" s="206">
        <v>0.12766320854704036</v>
      </c>
      <c r="BO16" s="206">
        <v>0.12907791860384285</v>
      </c>
      <c r="BP16" s="3"/>
    </row>
    <row r="17" spans="1:68" x14ac:dyDescent="0.25">
      <c r="B17" s="27"/>
      <c r="C17" s="75" t="s">
        <v>369</v>
      </c>
      <c r="D17" s="75"/>
      <c r="E17" s="27" t="s">
        <v>752</v>
      </c>
      <c r="F17" s="20">
        <v>0.20699999999999999</v>
      </c>
      <c r="G17" s="20">
        <v>0.192</v>
      </c>
      <c r="H17" s="20">
        <v>0.16124277856372776</v>
      </c>
      <c r="I17" s="20">
        <v>0.18</v>
      </c>
      <c r="J17" s="20">
        <v>0.18099999999999999</v>
      </c>
      <c r="K17" s="20">
        <v>0.17899999999999999</v>
      </c>
      <c r="L17" s="20">
        <v>0.154</v>
      </c>
      <c r="M17" s="20">
        <v>0.14599999999999999</v>
      </c>
      <c r="N17" s="20">
        <v>0.13300000000000001</v>
      </c>
      <c r="O17" s="20">
        <v>0.125</v>
      </c>
      <c r="P17" s="20">
        <v>0.121</v>
      </c>
      <c r="Q17" s="20">
        <v>0.11700000000000001</v>
      </c>
      <c r="R17" s="20">
        <v>0.11600000000000001</v>
      </c>
      <c r="S17" s="20">
        <v>0.11600000000000001</v>
      </c>
      <c r="T17" s="20">
        <v>0.114</v>
      </c>
      <c r="U17" s="20">
        <v>0.113</v>
      </c>
      <c r="V17" s="20">
        <v>0.111</v>
      </c>
      <c r="W17" s="20">
        <v>0.10199999999999999</v>
      </c>
      <c r="X17" s="20">
        <v>0.109</v>
      </c>
      <c r="Y17" s="20">
        <v>0.106</v>
      </c>
      <c r="Z17" s="20">
        <v>0.108</v>
      </c>
      <c r="AA17" s="20">
        <v>0.109</v>
      </c>
      <c r="AB17" s="20">
        <v>0.11700000000000001</v>
      </c>
      <c r="AC17" s="20">
        <v>0.10639999999999999</v>
      </c>
      <c r="AD17" s="20">
        <v>0.10539999999999999</v>
      </c>
      <c r="AE17" s="20">
        <v>0.10539999999999999</v>
      </c>
      <c r="AF17" s="20">
        <v>0.1119</v>
      </c>
      <c r="AG17" s="20">
        <v>0.1085</v>
      </c>
      <c r="AH17" s="20">
        <v>0.1076</v>
      </c>
      <c r="AI17" s="20">
        <v>0.1133</v>
      </c>
      <c r="AJ17" s="20">
        <v>0.1118</v>
      </c>
      <c r="AK17" s="20">
        <v>0.126</v>
      </c>
      <c r="AL17" s="20">
        <v>0.1368</v>
      </c>
      <c r="AM17" s="20">
        <v>0.14399999999999999</v>
      </c>
      <c r="AN17" s="20">
        <v>0.14722923025565215</v>
      </c>
      <c r="AO17" s="20">
        <v>0.14236241095405616</v>
      </c>
      <c r="AP17" s="20">
        <v>0.14330000000000001</v>
      </c>
      <c r="AQ17" s="20">
        <v>0.14431476666643969</v>
      </c>
      <c r="AR17" s="20">
        <v>0.14681476767292731</v>
      </c>
      <c r="AS17" s="20">
        <v>0.13990413186458295</v>
      </c>
      <c r="AT17" s="20">
        <v>0.13827528762155131</v>
      </c>
      <c r="AU17" s="20">
        <v>0.13083286157318302</v>
      </c>
      <c r="AV17" s="20">
        <v>0.13232632801014166</v>
      </c>
      <c r="AW17" s="20">
        <v>0.13432375778756056</v>
      </c>
      <c r="AX17" s="20">
        <v>0.13310042946710723</v>
      </c>
      <c r="AY17" s="20">
        <v>0.13355049200716773</v>
      </c>
      <c r="AZ17" s="20">
        <v>0.12767499829578446</v>
      </c>
      <c r="BA17" s="20">
        <v>0.12533434351782743</v>
      </c>
      <c r="BB17" s="20">
        <v>0.10747624009115909</v>
      </c>
      <c r="BC17" s="20">
        <v>0.1181887935603714</v>
      </c>
      <c r="BD17" s="20">
        <v>0.12116285189252922</v>
      </c>
      <c r="BE17" s="20">
        <v>0.13192643034631535</v>
      </c>
      <c r="BF17" s="20">
        <v>0.12552463936576197</v>
      </c>
      <c r="BG17" s="20">
        <v>0.12640503653166021</v>
      </c>
      <c r="BH17" s="20">
        <v>0.11862931080644946</v>
      </c>
      <c r="BI17" s="20">
        <v>0.12310369156377002</v>
      </c>
      <c r="BJ17" s="20">
        <v>0.12136844132977741</v>
      </c>
      <c r="BK17" s="20">
        <v>0.11826063067126286</v>
      </c>
      <c r="BL17" s="20">
        <v>0.1189945303047584</v>
      </c>
      <c r="BM17" s="20">
        <v>0.11919838072435289</v>
      </c>
      <c r="BN17" s="118">
        <v>0.11578651348721805</v>
      </c>
      <c r="BO17" s="118">
        <v>0.11669815573247475</v>
      </c>
      <c r="BP17" s="3"/>
    </row>
    <row r="18" spans="1:68" x14ac:dyDescent="0.25">
      <c r="B18" s="207"/>
      <c r="C18" s="193" t="s">
        <v>370</v>
      </c>
      <c r="D18" s="193"/>
      <c r="E18" s="207" t="s">
        <v>753</v>
      </c>
      <c r="F18" s="208">
        <f t="shared" ref="F18" si="5">F16-F17</f>
        <v>0</v>
      </c>
      <c r="G18" s="208">
        <f t="shared" ref="G18" si="6">G16-G17</f>
        <v>0</v>
      </c>
      <c r="H18" s="208">
        <f t="shared" ref="H18" si="7">H16-H17</f>
        <v>0</v>
      </c>
      <c r="I18" s="208">
        <f t="shared" ref="I18" si="8">I16-I17</f>
        <v>0</v>
      </c>
      <c r="J18" s="208">
        <f t="shared" ref="J18" si="9">J16-J17</f>
        <v>0</v>
      </c>
      <c r="K18" s="208">
        <f t="shared" ref="K18" si="10">K16-K17</f>
        <v>0</v>
      </c>
      <c r="L18" s="208">
        <f t="shared" ref="L18" si="11">L16-L17</f>
        <v>0</v>
      </c>
      <c r="M18" s="208">
        <f t="shared" ref="M18" si="12">M16-M17</f>
        <v>0</v>
      </c>
      <c r="N18" s="208">
        <f t="shared" ref="N18" si="13">N16-N17</f>
        <v>0</v>
      </c>
      <c r="O18" s="208">
        <f t="shared" ref="O18" si="14">O16-O17</f>
        <v>0</v>
      </c>
      <c r="P18" s="208">
        <f t="shared" ref="P18" si="15">P16-P17</f>
        <v>0</v>
      </c>
      <c r="Q18" s="208">
        <f t="shared" ref="Q18" si="16">Q16-Q17</f>
        <v>0</v>
      </c>
      <c r="R18" s="208">
        <f t="shared" ref="R18" si="17">R16-R17</f>
        <v>0</v>
      </c>
      <c r="S18" s="208">
        <f t="shared" ref="S18" si="18">S16-S17</f>
        <v>0</v>
      </c>
      <c r="T18" s="208">
        <f t="shared" ref="T18" si="19">T16-T17</f>
        <v>0</v>
      </c>
      <c r="U18" s="208">
        <f t="shared" ref="U18" si="20">U16-U17</f>
        <v>0</v>
      </c>
      <c r="V18" s="208">
        <f t="shared" ref="V18" si="21">V16-V17</f>
        <v>0</v>
      </c>
      <c r="W18" s="208">
        <f t="shared" ref="W18" si="22">W16-W17</f>
        <v>0</v>
      </c>
      <c r="X18" s="208">
        <f t="shared" ref="X18" si="23">X16-X17</f>
        <v>0</v>
      </c>
      <c r="Y18" s="208">
        <f t="shared" ref="Y18" si="24">Y16-Y17</f>
        <v>0</v>
      </c>
      <c r="Z18" s="208">
        <f t="shared" ref="Z18" si="25">Z16-Z17</f>
        <v>0</v>
      </c>
      <c r="AA18" s="208">
        <f t="shared" ref="AA18" si="26">AA16-AA17</f>
        <v>0</v>
      </c>
      <c r="AB18" s="208">
        <f t="shared" ref="AB18" si="27">AB16-AB17</f>
        <v>0</v>
      </c>
      <c r="AC18" s="208">
        <f t="shared" ref="AC18" si="28">AC16-AC17</f>
        <v>0</v>
      </c>
      <c r="AD18" s="208">
        <f t="shared" ref="AD18" si="29">AD16-AD17</f>
        <v>0</v>
      </c>
      <c r="AE18" s="208">
        <f t="shared" ref="AE18" si="30">AE16-AE17</f>
        <v>0</v>
      </c>
      <c r="AF18" s="208">
        <f t="shared" ref="AF18" si="31">AF16-AF17</f>
        <v>0</v>
      </c>
      <c r="AG18" s="208">
        <f t="shared" ref="AG18" si="32">AG16-AG17</f>
        <v>0</v>
      </c>
      <c r="AH18" s="208">
        <f t="shared" ref="AH18" si="33">AH16-AH17</f>
        <v>0</v>
      </c>
      <c r="AI18" s="208">
        <f t="shared" ref="AI18" si="34">AI16-AI17</f>
        <v>0</v>
      </c>
      <c r="AJ18" s="208">
        <f t="shared" ref="AJ18" si="35">AJ16-AJ17</f>
        <v>0</v>
      </c>
      <c r="AK18" s="208">
        <f t="shared" ref="AK18" si="36">AK16-AK17</f>
        <v>0</v>
      </c>
      <c r="AL18" s="208">
        <f t="shared" ref="AL18" si="37">AL16-AL17</f>
        <v>0</v>
      </c>
      <c r="AM18" s="208">
        <f t="shared" ref="AM18" si="38">AM16-AM17</f>
        <v>0</v>
      </c>
      <c r="AN18" s="208">
        <f t="shared" ref="AN18" si="39">AN16-AN17</f>
        <v>0</v>
      </c>
      <c r="AO18" s="208">
        <f t="shared" ref="AO18" si="40">AO16-AO17</f>
        <v>5.6553651506391356E-4</v>
      </c>
      <c r="AP18" s="208">
        <f t="shared" ref="AP18" si="41">AP16-AP17</f>
        <v>0</v>
      </c>
      <c r="AQ18" s="208">
        <f t="shared" ref="AQ18" si="42">AQ16-AQ17</f>
        <v>0</v>
      </c>
      <c r="AR18" s="208">
        <f t="shared" ref="AR18" si="43">AR16-AR17</f>
        <v>0</v>
      </c>
      <c r="AS18" s="208">
        <f t="shared" ref="AS18" si="44">AS16-AS17</f>
        <v>0</v>
      </c>
      <c r="AT18" s="208">
        <f t="shared" ref="AT18:BL18" si="45">AT16-AT17</f>
        <v>0</v>
      </c>
      <c r="AU18" s="208">
        <f t="shared" si="45"/>
        <v>0</v>
      </c>
      <c r="AV18" s="208">
        <f t="shared" si="45"/>
        <v>0</v>
      </c>
      <c r="AW18" s="208">
        <f t="shared" si="45"/>
        <v>0</v>
      </c>
      <c r="AX18" s="208">
        <f t="shared" si="45"/>
        <v>3.6871888946978515E-3</v>
      </c>
      <c r="AY18" s="208">
        <f t="shared" si="45"/>
        <v>1.0724392011045636E-2</v>
      </c>
      <c r="AZ18" s="208">
        <f t="shared" si="45"/>
        <v>1.5533246986413091E-2</v>
      </c>
      <c r="BA18" s="208">
        <f t="shared" si="45"/>
        <v>1.5052026967962845E-2</v>
      </c>
      <c r="BB18" s="208">
        <f t="shared" si="45"/>
        <v>1.4251655398888327E-2</v>
      </c>
      <c r="BC18" s="208">
        <f t="shared" si="45"/>
        <v>1.5016817880424776E-2</v>
      </c>
      <c r="BD18" s="208">
        <f t="shared" si="45"/>
        <v>1.4419702795293213E-2</v>
      </c>
      <c r="BE18" s="208">
        <f t="shared" si="45"/>
        <v>1.5031061902412962E-2</v>
      </c>
      <c r="BF18" s="208">
        <f t="shared" si="45"/>
        <v>1.4267408197556647E-2</v>
      </c>
      <c r="BG18" s="208">
        <f t="shared" si="45"/>
        <v>1.4143692095386851E-2</v>
      </c>
      <c r="BH18" s="208">
        <f t="shared" si="45"/>
        <v>1.2914408446835959E-2</v>
      </c>
      <c r="BI18" s="208">
        <f t="shared" si="45"/>
        <v>1.3201210339423092E-2</v>
      </c>
      <c r="BJ18" s="208">
        <f t="shared" si="45"/>
        <v>1.3725376798765634E-2</v>
      </c>
      <c r="BK18" s="208">
        <f t="shared" si="45"/>
        <v>1.3078564126713099E-2</v>
      </c>
      <c r="BL18" s="208">
        <f t="shared" si="45"/>
        <v>1.2331797028171915E-2</v>
      </c>
      <c r="BM18" s="208">
        <f>BM16-BM17</f>
        <v>1.1948021581099547E-2</v>
      </c>
      <c r="BN18" s="208">
        <f>BN16-BN17</f>
        <v>1.1876695059822306E-2</v>
      </c>
      <c r="BO18" s="208">
        <f>BO16-BO17</f>
        <v>1.2379762871368105E-2</v>
      </c>
      <c r="BP18" s="3"/>
    </row>
    <row r="19" spans="1:68" s="1" customFormat="1" x14ac:dyDescent="0.25">
      <c r="B19" s="178" t="s">
        <v>239</v>
      </c>
      <c r="C19" s="179"/>
      <c r="D19" s="179"/>
      <c r="E19" s="178" t="s">
        <v>751</v>
      </c>
      <c r="F19" s="202">
        <f t="shared" ref="F19:BL19" si="46">F15-F16</f>
        <v>-1.5761113219411871E-4</v>
      </c>
      <c r="G19" s="202">
        <f t="shared" si="46"/>
        <v>-2.0342139257301106E-4</v>
      </c>
      <c r="H19" s="202">
        <f t="shared" si="46"/>
        <v>0</v>
      </c>
      <c r="I19" s="202">
        <f t="shared" si="46"/>
        <v>1.0000000000001674E-4</v>
      </c>
      <c r="J19" s="202">
        <f t="shared" si="46"/>
        <v>0</v>
      </c>
      <c r="K19" s="202">
        <f t="shared" si="46"/>
        <v>0</v>
      </c>
      <c r="L19" s="202">
        <f t="shared" si="46"/>
        <v>0</v>
      </c>
      <c r="M19" s="202">
        <f t="shared" si="46"/>
        <v>0</v>
      </c>
      <c r="N19" s="202">
        <f t="shared" si="46"/>
        <v>0</v>
      </c>
      <c r="O19" s="202">
        <f t="shared" si="46"/>
        <v>5.2999999999999992E-2</v>
      </c>
      <c r="P19" s="202">
        <f t="shared" si="46"/>
        <v>4.8000000000000015E-2</v>
      </c>
      <c r="Q19" s="202">
        <f t="shared" si="46"/>
        <v>4.2999999999999997E-2</v>
      </c>
      <c r="R19" s="202">
        <f t="shared" si="46"/>
        <v>4.1200000000000001E-2</v>
      </c>
      <c r="S19" s="202">
        <f t="shared" si="46"/>
        <v>3.7900000000000003E-2</v>
      </c>
      <c r="T19" s="202">
        <f t="shared" si="46"/>
        <v>4.3900000000000008E-2</v>
      </c>
      <c r="U19" s="202">
        <f t="shared" si="46"/>
        <v>4.3200000000000002E-2</v>
      </c>
      <c r="V19" s="202">
        <f t="shared" si="46"/>
        <v>4.0600000000000011E-2</v>
      </c>
      <c r="W19" s="202">
        <f t="shared" si="46"/>
        <v>4.0100000000000011E-2</v>
      </c>
      <c r="X19" s="202">
        <f t="shared" si="46"/>
        <v>4.1111725899127469E-2</v>
      </c>
      <c r="Y19" s="202">
        <f t="shared" si="46"/>
        <v>5.2929417979039814E-2</v>
      </c>
      <c r="Z19" s="202">
        <f t="shared" si="46"/>
        <v>4.9996707579189795E-2</v>
      </c>
      <c r="AA19" s="202">
        <f t="shared" si="46"/>
        <v>5.3701330106672621E-2</v>
      </c>
      <c r="AB19" s="202">
        <f t="shared" si="46"/>
        <v>5.6961074680855608E-2</v>
      </c>
      <c r="AC19" s="202">
        <f t="shared" si="46"/>
        <v>4.1923802359456364E-2</v>
      </c>
      <c r="AD19" s="202">
        <f t="shared" si="46"/>
        <v>3.6408045243017578E-2</v>
      </c>
      <c r="AE19" s="202">
        <f t="shared" si="46"/>
        <v>3.4401014548815195E-2</v>
      </c>
      <c r="AF19" s="202">
        <f t="shared" si="46"/>
        <v>3.4906674542745708E-2</v>
      </c>
      <c r="AG19" s="202">
        <f t="shared" si="46"/>
        <v>3.5391552775468141E-2</v>
      </c>
      <c r="AH19" s="202">
        <f t="shared" si="46"/>
        <v>3.4182658061801569E-2</v>
      </c>
      <c r="AI19" s="202">
        <f t="shared" si="46"/>
        <v>3.4693737930222054E-2</v>
      </c>
      <c r="AJ19" s="202">
        <f t="shared" si="46"/>
        <v>3.3904755924139232E-2</v>
      </c>
      <c r="AK19" s="202">
        <f t="shared" si="46"/>
        <v>3.5792925269086256E-2</v>
      </c>
      <c r="AL19" s="202">
        <f t="shared" si="46"/>
        <v>3.4700000000000009E-2</v>
      </c>
      <c r="AM19" s="202">
        <f t="shared" si="46"/>
        <v>3.7000000000000005E-2</v>
      </c>
      <c r="AN19" s="202">
        <f t="shared" si="46"/>
        <v>3.695096571490919E-2</v>
      </c>
      <c r="AO19" s="202">
        <f t="shared" si="46"/>
        <v>3.6015572601411694E-2</v>
      </c>
      <c r="AP19" s="202">
        <f t="shared" si="46"/>
        <v>1.2899999999999995E-2</v>
      </c>
      <c r="AQ19" s="202">
        <f t="shared" si="46"/>
        <v>1.7440591922057769E-2</v>
      </c>
      <c r="AR19" s="202">
        <f t="shared" si="46"/>
        <v>2.3719366469439368E-2</v>
      </c>
      <c r="AS19" s="202">
        <f t="shared" si="46"/>
        <v>2.3195868135417047E-2</v>
      </c>
      <c r="AT19" s="202">
        <f t="shared" si="46"/>
        <v>2.2924712378448703E-2</v>
      </c>
      <c r="AU19" s="202">
        <f t="shared" si="46"/>
        <v>3.0578292852584066E-2</v>
      </c>
      <c r="AV19" s="202">
        <f t="shared" si="46"/>
        <v>2.9342776852385816E-2</v>
      </c>
      <c r="AW19" s="202">
        <f t="shared" si="46"/>
        <v>3.7321499550106718E-2</v>
      </c>
      <c r="AX19" s="202">
        <f t="shared" si="46"/>
        <v>3.6361431508099562E-2</v>
      </c>
      <c r="AY19" s="202">
        <f t="shared" si="46"/>
        <v>3.4851588787966958E-2</v>
      </c>
      <c r="AZ19" s="202">
        <f t="shared" si="46"/>
        <v>3.0870846127752344E-2</v>
      </c>
      <c r="BA19" s="202">
        <f t="shared" si="46"/>
        <v>2.8517979833349666E-2</v>
      </c>
      <c r="BB19" s="202">
        <f t="shared" si="46"/>
        <v>2.4836482857186509E-2</v>
      </c>
      <c r="BC19" s="202">
        <f t="shared" si="46"/>
        <v>2.4031117452769757E-2</v>
      </c>
      <c r="BD19" s="202">
        <f t="shared" si="46"/>
        <v>2.1492981850894211E-2</v>
      </c>
      <c r="BE19" s="202">
        <f t="shared" si="46"/>
        <v>2.1579286765307321E-2</v>
      </c>
      <c r="BF19" s="202">
        <f t="shared" si="46"/>
        <v>1.9598383209802034E-2</v>
      </c>
      <c r="BG19" s="202">
        <f t="shared" si="46"/>
        <v>1.8305552954450799E-2</v>
      </c>
      <c r="BH19" s="202">
        <f t="shared" si="46"/>
        <v>1.4545457755194502E-2</v>
      </c>
      <c r="BI19" s="202">
        <f t="shared" si="46"/>
        <v>1.4612190709797662E-2</v>
      </c>
      <c r="BJ19" s="202">
        <f t="shared" si="46"/>
        <v>1.5707306735421117E-2</v>
      </c>
      <c r="BK19" s="202">
        <f t="shared" si="46"/>
        <v>1.8371652239913022E-2</v>
      </c>
      <c r="BL19" s="202">
        <f t="shared" si="46"/>
        <v>1.5941021492020202E-2</v>
      </c>
      <c r="BM19" s="202">
        <f>BM15-BM16</f>
        <v>2.1194452128293378E-2</v>
      </c>
      <c r="BN19" s="202">
        <v>2.0495245931067305E-2</v>
      </c>
      <c r="BO19" s="202">
        <v>2.0512668500631933E-2</v>
      </c>
      <c r="BP19" s="3"/>
    </row>
    <row r="20" spans="1:68" s="1" customFormat="1" ht="5.0999999999999996" customHeight="1" x14ac:dyDescent="0.25">
      <c r="B20" s="141"/>
      <c r="C20" s="52"/>
      <c r="D20" s="52"/>
      <c r="E20" s="14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t="s">
        <v>864</v>
      </c>
      <c r="AE20" s="71"/>
      <c r="AF20" s="71"/>
      <c r="AG20" s="71"/>
      <c r="AH20" s="71"/>
      <c r="AI20" s="71"/>
      <c r="AJ20" s="71"/>
      <c r="AK20" s="71"/>
      <c r="AL20" s="71"/>
      <c r="AM20" s="71"/>
      <c r="AN20" s="71"/>
      <c r="AO20" s="71"/>
      <c r="AP20" s="71"/>
      <c r="AQ20" s="71"/>
      <c r="AR20" s="71"/>
      <c r="AS20" s="71"/>
      <c r="AT20" s="71"/>
      <c r="AU20" s="71"/>
      <c r="AV20" s="71"/>
      <c r="AW20" s="71"/>
      <c r="AX20" s="71"/>
      <c r="AY20" s="205"/>
      <c r="AZ20" s="71"/>
      <c r="BA20" s="71"/>
      <c r="BB20" s="71"/>
      <c r="BC20" s="71"/>
      <c r="BD20" s="71"/>
      <c r="BE20" s="71"/>
      <c r="BF20" s="71"/>
      <c r="BG20" s="71"/>
      <c r="BH20" s="71"/>
      <c r="BI20" s="71"/>
      <c r="BJ20" s="71"/>
      <c r="BK20" s="71"/>
      <c r="BL20" s="71"/>
      <c r="BM20" s="71"/>
      <c r="BN20" s="71"/>
      <c r="BO20" s="71"/>
      <c r="BP20" s="3"/>
    </row>
    <row r="21" spans="1:68" s="1" customFormat="1" x14ac:dyDescent="0.25">
      <c r="B21" s="170" t="s">
        <v>267</v>
      </c>
      <c r="C21" s="171"/>
      <c r="D21" s="171"/>
      <c r="E21" s="170" t="s">
        <v>267</v>
      </c>
      <c r="F21" s="209">
        <v>5346.5829999999996</v>
      </c>
      <c r="G21" s="209">
        <v>5913.5569999999998</v>
      </c>
      <c r="H21" s="209">
        <v>7201.4759999999997</v>
      </c>
      <c r="I21" s="209">
        <v>6563.1260410882842</v>
      </c>
      <c r="J21" s="209">
        <v>6603.3149171270725</v>
      </c>
      <c r="K21" s="209">
        <v>6615.0837988826815</v>
      </c>
      <c r="L21" s="209">
        <v>7783.1168831168825</v>
      </c>
      <c r="M21" s="209">
        <v>8413.0136986301368</v>
      </c>
      <c r="N21" s="209">
        <v>9452.6315789473683</v>
      </c>
      <c r="O21" s="209">
        <v>10234.831460674157</v>
      </c>
      <c r="P21" s="209">
        <v>10846.153846153846</v>
      </c>
      <c r="Q21" s="209">
        <v>11511.25</v>
      </c>
      <c r="R21" s="209">
        <v>11871.106870229007</v>
      </c>
      <c r="S21" s="209">
        <v>12257.361923326835</v>
      </c>
      <c r="T21" s="209">
        <v>12829.069031032299</v>
      </c>
      <c r="U21" s="209">
        <v>13268.085787451984</v>
      </c>
      <c r="V21" s="209">
        <v>13799.624010554089</v>
      </c>
      <c r="W21" s="209">
        <v>15346.776917663617</v>
      </c>
      <c r="X21" s="209">
        <v>15036.8</v>
      </c>
      <c r="Y21" s="209">
        <v>15776.185629338124</v>
      </c>
      <c r="Z21" s="209">
        <v>16289.579950329226</v>
      </c>
      <c r="AA21" s="209">
        <v>16538.279055468192</v>
      </c>
      <c r="AB21" s="209">
        <v>15911.03070085027</v>
      </c>
      <c r="AC21" s="209">
        <v>17951.939996434699</v>
      </c>
      <c r="AD21" s="209">
        <v>18414.329000339822</v>
      </c>
      <c r="AE21" s="209">
        <v>19264.524000000001</v>
      </c>
      <c r="AF21" s="209">
        <v>18998.455000000002</v>
      </c>
      <c r="AG21" s="209">
        <v>20154.761999999999</v>
      </c>
      <c r="AH21" s="209">
        <v>20686.592000000001</v>
      </c>
      <c r="AI21" s="209">
        <v>20577.222000000002</v>
      </c>
      <c r="AJ21" s="209">
        <v>21206.582999999999</v>
      </c>
      <c r="AK21" s="209">
        <v>19887.767</v>
      </c>
      <c r="AL21" s="209">
        <v>19091.54518950437</v>
      </c>
      <c r="AM21" s="209">
        <v>18538.121546961327</v>
      </c>
      <c r="AN21" s="209">
        <v>19179.120693077162</v>
      </c>
      <c r="AO21" s="209">
        <v>20188.353999999999</v>
      </c>
      <c r="AP21" s="209">
        <v>21076.440460947502</v>
      </c>
      <c r="AQ21" s="209">
        <v>21327.695920432543</v>
      </c>
      <c r="AR21" s="209">
        <v>21294.681081081086</v>
      </c>
      <c r="AS21" s="209">
        <v>23341.856636848563</v>
      </c>
      <c r="AT21" s="209">
        <v>24521.032751240691</v>
      </c>
      <c r="AU21" s="209">
        <v>25730.622586743586</v>
      </c>
      <c r="AV21" s="209">
        <v>26286.562318840577</v>
      </c>
      <c r="AW21" s="209">
        <v>27098.214492753617</v>
      </c>
      <c r="AX21" s="209">
        <v>27561.37615878116</v>
      </c>
      <c r="AY21" s="209">
        <v>28675.19758264775</v>
      </c>
      <c r="AZ21" s="209">
        <v>30443.070199165199</v>
      </c>
      <c r="BA21" s="209">
        <v>31893.843999999997</v>
      </c>
      <c r="BB21" s="209">
        <v>35665.120000000003</v>
      </c>
      <c r="BC21" s="209">
        <v>34156.504000000001</v>
      </c>
      <c r="BD21" s="209">
        <v>34020.188000000002</v>
      </c>
      <c r="BE21" s="209">
        <v>31971.818299999999</v>
      </c>
      <c r="BF21" s="209">
        <v>33883.294240000003</v>
      </c>
      <c r="BG21" s="209">
        <v>34508.798459999998</v>
      </c>
      <c r="BH21" s="209">
        <v>37677.875220000002</v>
      </c>
      <c r="BI21" s="209">
        <v>37168.492689999999</v>
      </c>
      <c r="BJ21" s="209">
        <v>36818.161196525143</v>
      </c>
      <c r="BK21" s="209">
        <v>40025.036</v>
      </c>
      <c r="BL21" s="209">
        <v>41348.555999999997</v>
      </c>
      <c r="BM21" s="209">
        <v>42269.548440464227</v>
      </c>
      <c r="BN21" s="209">
        <v>44220.898171974899</v>
      </c>
      <c r="BO21" s="209">
        <v>44071.564118716095</v>
      </c>
      <c r="BP21" s="3"/>
    </row>
    <row r="22" spans="1:68" x14ac:dyDescent="0.25">
      <c r="F22" s="16"/>
      <c r="G22" s="16"/>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107"/>
      <c r="AK22" s="107"/>
      <c r="AL22" s="106"/>
      <c r="AM22" s="106"/>
      <c r="AN22" s="106"/>
      <c r="AO22" s="106"/>
      <c r="AP22" s="106"/>
      <c r="AQ22" s="106"/>
      <c r="AR22" s="106"/>
      <c r="AS22" s="106"/>
      <c r="AT22" s="106"/>
      <c r="AU22" s="106"/>
      <c r="AV22" s="106"/>
      <c r="AW22" s="106"/>
      <c r="AX22" s="106"/>
      <c r="AY22" s="106"/>
      <c r="AZ22" s="20"/>
      <c r="BA22" s="20"/>
    </row>
    <row r="23" spans="1:68" s="259" customFormat="1" x14ac:dyDescent="0.25">
      <c r="A23"/>
      <c r="B23"/>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104"/>
      <c r="AP23" s="260"/>
      <c r="AQ23" s="260"/>
      <c r="AR23" s="260"/>
      <c r="AS23" s="260"/>
      <c r="AT23" s="260"/>
      <c r="AU23" s="260"/>
      <c r="AV23" s="260"/>
      <c r="AW23" s="260"/>
      <c r="AX23" s="260"/>
      <c r="AY23" s="260"/>
      <c r="AZ23" s="260"/>
      <c r="BA23" s="260"/>
    </row>
    <row r="24" spans="1:68" s="259" customFormat="1" x14ac:dyDescent="0.25">
      <c r="A24"/>
      <c r="B24"/>
      <c r="F24" s="260"/>
      <c r="G24" s="261"/>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row>
    <row r="25" spans="1:68" s="259" customFormat="1" x14ac:dyDescent="0.25">
      <c r="A25"/>
      <c r="B25"/>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row>
    <row r="26" spans="1:68" s="259" customFormat="1" x14ac:dyDescent="0.25">
      <c r="A26"/>
      <c r="B26"/>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row>
    <row r="27" spans="1:68" s="259" customFormat="1" x14ac:dyDescent="0.25">
      <c r="A27"/>
      <c r="B27"/>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row>
    <row r="28" spans="1:68" s="259" customFormat="1" x14ac:dyDescent="0.25">
      <c r="A28"/>
      <c r="B28"/>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row>
    <row r="29" spans="1:68" s="259" customFormat="1" x14ac:dyDescent="0.25">
      <c r="A29"/>
      <c r="B29"/>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row>
    <row r="30" spans="1:68" x14ac:dyDescent="0.2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row>
    <row r="31" spans="1:68" x14ac:dyDescent="0.25">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row>
    <row r="32" spans="1:68" x14ac:dyDescent="0.25">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row>
    <row r="33" spans="3:53" x14ac:dyDescent="0.25">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row>
    <row r="34" spans="3:53" x14ac:dyDescent="0.25">
      <c r="C34" s="1"/>
      <c r="D34" s="1"/>
      <c r="E34" s="1"/>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3:53" x14ac:dyDescent="0.2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3:53" x14ac:dyDescent="0.2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3:53" x14ac:dyDescent="0.2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row>
    <row r="38" spans="3:53" x14ac:dyDescent="0.2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row>
    <row r="39" spans="3:53" x14ac:dyDescent="0.2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row>
    <row r="40" spans="3:53" x14ac:dyDescent="0.25">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row>
    <row r="41" spans="3:53" x14ac:dyDescent="0.25">
      <c r="C41" s="1"/>
      <c r="D41" s="1"/>
      <c r="E41" s="1"/>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row>
    <row r="42" spans="3:53" x14ac:dyDescent="0.25">
      <c r="C42" s="1"/>
      <c r="D42" s="1"/>
      <c r="E42" s="1"/>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3:53" x14ac:dyDescent="0.25">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3:53" x14ac:dyDescent="0.25">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3:53" x14ac:dyDescent="0.25">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row>
    <row r="46" spans="3:53" x14ac:dyDescent="0.25">
      <c r="C46" s="1"/>
      <c r="D46" s="1"/>
      <c r="E46" s="1"/>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3:53" x14ac:dyDescent="0.25">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row>
    <row r="48" spans="3:53" x14ac:dyDescent="0.25">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row>
    <row r="49" spans="3:53" x14ac:dyDescent="0.25">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3:53" x14ac:dyDescent="0.25">
      <c r="C50" s="1"/>
      <c r="D50" s="1"/>
      <c r="E50" s="1"/>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3:53" x14ac:dyDescent="0.25">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3:53" x14ac:dyDescent="0.25">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row>
    <row r="53" spans="3:53" x14ac:dyDescent="0.25">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row>
    <row r="54" spans="3:53" x14ac:dyDescent="0.25">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row>
    <row r="55" spans="3:53" x14ac:dyDescent="0.25">
      <c r="C55" s="1"/>
      <c r="D55" s="1"/>
      <c r="E55" s="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row>
    <row r="56" spans="3:53" x14ac:dyDescent="0.25">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row>
    <row r="57" spans="3:53" x14ac:dyDescent="0.25">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row>
    <row r="58" spans="3:53" x14ac:dyDescent="0.25">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3:53" x14ac:dyDescent="0.25">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row>
    <row r="60" spans="3:53" x14ac:dyDescent="0.25">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row>
    <row r="61" spans="3:53" x14ac:dyDescent="0.25">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row>
    <row r="62" spans="3:53" x14ac:dyDescent="0.25">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row>
    <row r="63" spans="3:53" x14ac:dyDescent="0.25">
      <c r="C63" s="1"/>
      <c r="D63" s="1"/>
      <c r="E63" s="1"/>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row>
    <row r="64" spans="3:53" x14ac:dyDescent="0.25">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row>
    <row r="65" spans="3:53" x14ac:dyDescent="0.25">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row>
    <row r="66" spans="3:53" x14ac:dyDescent="0.25">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row>
    <row r="67" spans="3:53" x14ac:dyDescent="0.25">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row>
    <row r="68" spans="3:53" x14ac:dyDescent="0.25">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row>
    <row r="69" spans="3:53" x14ac:dyDescent="0.25">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row>
    <row r="70" spans="3:53" x14ac:dyDescent="0.25">
      <c r="C70" s="1"/>
      <c r="D70" s="1"/>
      <c r="E70" s="1"/>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row>
    <row r="71" spans="3:53" x14ac:dyDescent="0.25">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row>
    <row r="72" spans="3:53" x14ac:dyDescent="0.25">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row>
    <row r="73" spans="3:53" x14ac:dyDescent="0.25">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row r="74" spans="3:53" x14ac:dyDescent="0.25">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3:53" x14ac:dyDescent="0.25">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row>
    <row r="77" spans="3:53" x14ac:dyDescent="0.25">
      <c r="C77" s="1"/>
      <c r="D77" s="1"/>
      <c r="E77" s="1"/>
    </row>
    <row r="78" spans="3:53" x14ac:dyDescent="0.25">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row>
    <row r="79" spans="3:53" x14ac:dyDescent="0.25">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row>
    <row r="80" spans="3:53" x14ac:dyDescent="0.25">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row>
    <row r="81" spans="6:53" x14ac:dyDescent="0.25">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row>
    <row r="82" spans="6:53" x14ac:dyDescent="0.25">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row>
    <row r="83" spans="6:53" x14ac:dyDescent="0.25">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row>
    <row r="84" spans="6:53" x14ac:dyDescent="0.25">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row>
    <row r="85" spans="6:53" x14ac:dyDescent="0.25">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row>
    <row r="86" spans="6:53" x14ac:dyDescent="0.25">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row>
    <row r="87" spans="6:53" s="1" customFormat="1" x14ac:dyDescent="0.25">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row>
  </sheetData>
  <phoneticPr fontId="34" type="noConversion"/>
  <hyperlinks>
    <hyperlink ref="F6" location="'Índice - Index'!A1" display="Index" xr:uid="{5F98DC8F-6E1A-495F-894B-AF7C6DBF6A5C}"/>
    <hyperlink ref="BO6" location="'Índice - Index'!A1" display="Index" xr:uid="{5C3A23AD-E722-4D83-84AC-535DA1EA957E}"/>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N12:Q12 X12:Z12 AN12:AO12 AG12:AL12 AB12:AE1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tabColor theme="3" tint="0.39997558519241921"/>
    <pageSetUpPr autoPageBreaks="0"/>
  </sheetPr>
  <dimension ref="B2:BO80"/>
  <sheetViews>
    <sheetView showGridLines="0" zoomScale="80" zoomScaleNormal="80" workbookViewId="0">
      <pane xSplit="5" ySplit="9" topLeftCell="BK10" activePane="bottomRight" state="frozen"/>
      <selection activeCell="BL11" sqref="BL11"/>
      <selection pane="topRight" activeCell="BL11" sqref="BL11"/>
      <selection pane="bottomLeft" activeCell="BL11" sqref="BL11"/>
      <selection pane="bottomRight" activeCell="BO9" sqref="BO9"/>
    </sheetView>
  </sheetViews>
  <sheetFormatPr defaultColWidth="11.5703125" defaultRowHeight="15" outlineLevelCol="1" x14ac:dyDescent="0.25"/>
  <cols>
    <col min="1" max="1" width="2.7109375" customWidth="1"/>
    <col min="2" max="2" width="1.7109375" customWidth="1" outlineLevel="1"/>
    <col min="3" max="3" width="48.28515625" customWidth="1" outlineLevel="1"/>
    <col min="4" max="4" width="1.7109375" customWidth="1"/>
    <col min="5" max="5" width="40" customWidth="1" outlineLevel="1"/>
    <col min="58" max="58" width="12.7109375" bestFit="1" customWidth="1"/>
    <col min="68" max="68" width="13.42578125" bestFit="1" customWidth="1"/>
  </cols>
  <sheetData>
    <row r="2" spans="2:67" x14ac:dyDescent="0.25">
      <c r="B2" t="s">
        <v>429</v>
      </c>
    </row>
    <row r="3" spans="2:67" ht="21" x14ac:dyDescent="0.35">
      <c r="C3" s="4"/>
      <c r="D3" s="4"/>
      <c r="E3" s="4"/>
    </row>
    <row r="4" spans="2:67" ht="15" customHeight="1" x14ac:dyDescent="0.25">
      <c r="C4" s="3"/>
      <c r="D4" s="3"/>
      <c r="E4" s="3"/>
    </row>
    <row r="5" spans="2:67" x14ac:dyDescent="0.25">
      <c r="C5" s="2"/>
      <c r="D5" s="2"/>
      <c r="E5" s="2"/>
    </row>
    <row r="6" spans="2:67" x14ac:dyDescent="0.25">
      <c r="C6" s="27"/>
      <c r="D6" s="27"/>
      <c r="E6" s="27"/>
      <c r="F6" s="236" t="s">
        <v>486</v>
      </c>
      <c r="AT6" s="6"/>
      <c r="BO6" s="236" t="s">
        <v>486</v>
      </c>
    </row>
    <row r="7" spans="2:67" ht="17.25" customHeight="1" x14ac:dyDescent="0.3">
      <c r="B7" s="89" t="s">
        <v>168</v>
      </c>
      <c r="C7" s="89"/>
      <c r="D7" s="89"/>
      <c r="E7" s="40" t="s">
        <v>745</v>
      </c>
    </row>
    <row r="8" spans="2:67" ht="17.25" customHeight="1" x14ac:dyDescent="0.25">
      <c r="B8" s="215" t="s">
        <v>434</v>
      </c>
      <c r="C8" s="216"/>
      <c r="D8" s="216"/>
      <c r="E8" s="215" t="s">
        <v>435</v>
      </c>
      <c r="F8" s="146" t="s">
        <v>17</v>
      </c>
      <c r="G8" s="146" t="s">
        <v>18</v>
      </c>
      <c r="H8" s="146" t="s">
        <v>488</v>
      </c>
      <c r="I8" s="146" t="s">
        <v>489</v>
      </c>
      <c r="J8" s="146" t="s">
        <v>21</v>
      </c>
      <c r="K8" s="146" t="s">
        <v>22</v>
      </c>
      <c r="L8" s="146" t="s">
        <v>490</v>
      </c>
      <c r="M8" s="146" t="s">
        <v>491</v>
      </c>
      <c r="N8" s="146" t="s">
        <v>25</v>
      </c>
      <c r="O8" s="146" t="s">
        <v>26</v>
      </c>
      <c r="P8" s="146" t="s">
        <v>492</v>
      </c>
      <c r="Q8" s="146" t="s">
        <v>493</v>
      </c>
      <c r="R8" s="146" t="s">
        <v>29</v>
      </c>
      <c r="S8" s="146" t="s">
        <v>30</v>
      </c>
      <c r="T8" s="146" t="s">
        <v>494</v>
      </c>
      <c r="U8" s="146" t="s">
        <v>495</v>
      </c>
      <c r="V8" s="146" t="s">
        <v>33</v>
      </c>
      <c r="W8" s="146" t="s">
        <v>34</v>
      </c>
      <c r="X8" s="146" t="s">
        <v>496</v>
      </c>
      <c r="Y8" s="146" t="s">
        <v>497</v>
      </c>
      <c r="Z8" s="146" t="s">
        <v>37</v>
      </c>
      <c r="AA8" s="146" t="s">
        <v>38</v>
      </c>
      <c r="AB8" s="146" t="s">
        <v>498</v>
      </c>
      <c r="AC8" s="146" t="s">
        <v>499</v>
      </c>
      <c r="AD8" s="146" t="s">
        <v>41</v>
      </c>
      <c r="AE8" s="146" t="s">
        <v>42</v>
      </c>
      <c r="AF8" s="146" t="s">
        <v>500</v>
      </c>
      <c r="AG8" s="146" t="s">
        <v>501</v>
      </c>
      <c r="AH8" s="146" t="s">
        <v>45</v>
      </c>
      <c r="AI8" s="146" t="s">
        <v>46</v>
      </c>
      <c r="AJ8" s="146" t="s">
        <v>502</v>
      </c>
      <c r="AK8" s="146" t="s">
        <v>503</v>
      </c>
      <c r="AL8" s="146" t="s">
        <v>49</v>
      </c>
      <c r="AM8" s="146" t="s">
        <v>50</v>
      </c>
      <c r="AN8" s="146" t="s">
        <v>504</v>
      </c>
      <c r="AO8" s="146" t="s">
        <v>505</v>
      </c>
      <c r="AP8" s="146" t="s">
        <v>53</v>
      </c>
      <c r="AQ8" s="155" t="s">
        <v>165</v>
      </c>
      <c r="AR8" s="155" t="s">
        <v>506</v>
      </c>
      <c r="AS8" s="155" t="s">
        <v>507</v>
      </c>
      <c r="AT8" s="155" t="s">
        <v>173</v>
      </c>
      <c r="AU8" s="155" t="s">
        <v>165</v>
      </c>
      <c r="AV8" s="155" t="s">
        <v>508</v>
      </c>
      <c r="AW8" s="155" t="s">
        <v>509</v>
      </c>
      <c r="AX8" s="155" t="s">
        <v>182</v>
      </c>
      <c r="AY8" s="155" t="s">
        <v>185</v>
      </c>
      <c r="AZ8" s="155" t="s">
        <v>242</v>
      </c>
      <c r="BA8" s="155" t="s">
        <v>510</v>
      </c>
      <c r="BB8" s="155" t="s">
        <v>290</v>
      </c>
      <c r="BC8" s="155" t="s">
        <v>292</v>
      </c>
      <c r="BD8" s="155" t="s">
        <v>511</v>
      </c>
      <c r="BE8" s="155" t="s">
        <v>512</v>
      </c>
      <c r="BF8" s="155" t="s">
        <v>322</v>
      </c>
      <c r="BG8" s="155" t="s">
        <v>329</v>
      </c>
      <c r="BH8" s="155" t="s">
        <v>513</v>
      </c>
      <c r="BI8" s="155" t="s">
        <v>514</v>
      </c>
      <c r="BJ8" s="155" t="s">
        <v>430</v>
      </c>
      <c r="BK8" s="155" t="s">
        <v>827</v>
      </c>
      <c r="BL8" s="155" t="s">
        <v>845</v>
      </c>
      <c r="BM8" s="155" t="s">
        <v>851</v>
      </c>
      <c r="BN8" s="155" t="s">
        <v>855</v>
      </c>
      <c r="BO8" s="155" t="s">
        <v>862</v>
      </c>
    </row>
    <row r="9" spans="2:67" s="3" customFormat="1" x14ac:dyDescent="0.25">
      <c r="B9" s="154" t="s">
        <v>338</v>
      </c>
      <c r="C9" s="146"/>
      <c r="D9" s="146"/>
      <c r="E9" s="154" t="s">
        <v>433</v>
      </c>
      <c r="F9" s="146" t="s">
        <v>17</v>
      </c>
      <c r="G9" s="146" t="s">
        <v>18</v>
      </c>
      <c r="H9" s="146" t="s">
        <v>19</v>
      </c>
      <c r="I9" s="146" t="s">
        <v>20</v>
      </c>
      <c r="J9" s="146" t="s">
        <v>21</v>
      </c>
      <c r="K9" s="146" t="s">
        <v>22</v>
      </c>
      <c r="L9" s="146" t="s">
        <v>23</v>
      </c>
      <c r="M9" s="146" t="s">
        <v>24</v>
      </c>
      <c r="N9" s="146" t="s">
        <v>25</v>
      </c>
      <c r="O9" s="146" t="s">
        <v>26</v>
      </c>
      <c r="P9" s="146" t="s">
        <v>27</v>
      </c>
      <c r="Q9" s="146" t="s">
        <v>28</v>
      </c>
      <c r="R9" s="146" t="s">
        <v>29</v>
      </c>
      <c r="S9" s="146" t="s">
        <v>30</v>
      </c>
      <c r="T9" s="146" t="s">
        <v>31</v>
      </c>
      <c r="U9" s="146" t="s">
        <v>32</v>
      </c>
      <c r="V9" s="146" t="s">
        <v>33</v>
      </c>
      <c r="W9" s="146" t="s">
        <v>34</v>
      </c>
      <c r="X9" s="146" t="s">
        <v>35</v>
      </c>
      <c r="Y9" s="146" t="s">
        <v>36</v>
      </c>
      <c r="Z9" s="146" t="s">
        <v>37</v>
      </c>
      <c r="AA9" s="146" t="s">
        <v>38</v>
      </c>
      <c r="AB9" s="146" t="s">
        <v>39</v>
      </c>
      <c r="AC9" s="146" t="s">
        <v>40</v>
      </c>
      <c r="AD9" s="146" t="s">
        <v>41</v>
      </c>
      <c r="AE9" s="146" t="s">
        <v>42</v>
      </c>
      <c r="AF9" s="146" t="s">
        <v>43</v>
      </c>
      <c r="AG9" s="146" t="s">
        <v>44</v>
      </c>
      <c r="AH9" s="146" t="s">
        <v>45</v>
      </c>
      <c r="AI9" s="146" t="s">
        <v>46</v>
      </c>
      <c r="AJ9" s="146" t="s">
        <v>47</v>
      </c>
      <c r="AK9" s="146" t="s">
        <v>48</v>
      </c>
      <c r="AL9" s="146" t="s">
        <v>49</v>
      </c>
      <c r="AM9" s="146" t="s">
        <v>50</v>
      </c>
      <c r="AN9" s="146" t="s">
        <v>51</v>
      </c>
      <c r="AO9" s="146" t="s">
        <v>52</v>
      </c>
      <c r="AP9" s="146" t="s">
        <v>53</v>
      </c>
      <c r="AQ9" s="155" t="s">
        <v>165</v>
      </c>
      <c r="AR9" s="155" t="s">
        <v>169</v>
      </c>
      <c r="AS9" s="155" t="s">
        <v>171</v>
      </c>
      <c r="AT9" s="155" t="s">
        <v>173</v>
      </c>
      <c r="AU9" s="155" t="s">
        <v>176</v>
      </c>
      <c r="AV9" s="155" t="s">
        <v>178</v>
      </c>
      <c r="AW9" s="155" t="s">
        <v>180</v>
      </c>
      <c r="AX9" s="155" t="s">
        <v>182</v>
      </c>
      <c r="AY9" s="155" t="s">
        <v>185</v>
      </c>
      <c r="AZ9" s="155" t="s">
        <v>242</v>
      </c>
      <c r="BA9" s="155" t="s">
        <v>285</v>
      </c>
      <c r="BB9" s="155" t="s">
        <v>290</v>
      </c>
      <c r="BC9" s="155" t="s">
        <v>292</v>
      </c>
      <c r="BD9" s="155" t="s">
        <v>306</v>
      </c>
      <c r="BE9" s="155" t="s">
        <v>309</v>
      </c>
      <c r="BF9" s="155" t="s">
        <v>322</v>
      </c>
      <c r="BG9" s="155" t="s">
        <v>329</v>
      </c>
      <c r="BH9" s="155" t="s">
        <v>331</v>
      </c>
      <c r="BI9" s="155" t="s">
        <v>335</v>
      </c>
      <c r="BJ9" s="155" t="s">
        <v>430</v>
      </c>
      <c r="BK9" s="155" t="s">
        <v>827</v>
      </c>
      <c r="BL9" s="155" t="s">
        <v>846</v>
      </c>
      <c r="BM9" s="155" t="s">
        <v>853</v>
      </c>
      <c r="BN9" s="155" t="s">
        <v>855</v>
      </c>
      <c r="BO9" s="155" t="s">
        <v>862</v>
      </c>
    </row>
    <row r="10" spans="2:67" s="3" customFormat="1" x14ac:dyDescent="0.2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row>
    <row r="11" spans="2:67" s="3" customFormat="1" x14ac:dyDescent="0.25">
      <c r="C11" s="75" t="s">
        <v>395</v>
      </c>
      <c r="D11" s="75"/>
      <c r="E11" s="75" t="s">
        <v>754</v>
      </c>
      <c r="F11" s="275">
        <v>16.277999999999999</v>
      </c>
      <c r="G11" s="275">
        <v>16.277000000000001</v>
      </c>
      <c r="H11" s="275">
        <v>17.555</v>
      </c>
      <c r="I11" s="275">
        <v>17.483000000000001</v>
      </c>
      <c r="J11" s="275">
        <v>17.478000000000002</v>
      </c>
      <c r="K11" s="275">
        <v>17.478000000000002</v>
      </c>
      <c r="L11" s="275">
        <v>16.134</v>
      </c>
      <c r="M11" s="275">
        <v>17.478000000000002</v>
      </c>
      <c r="N11" s="275">
        <v>17.48</v>
      </c>
      <c r="O11" s="275">
        <v>17.48</v>
      </c>
      <c r="P11" s="275">
        <v>18.823</v>
      </c>
      <c r="Q11" s="275">
        <v>18.823</v>
      </c>
      <c r="R11" s="275">
        <v>18.823</v>
      </c>
      <c r="S11" s="275">
        <v>20.167999999999999</v>
      </c>
      <c r="T11" s="275">
        <v>20.123000000000001</v>
      </c>
      <c r="U11" s="275">
        <v>21.443000000000001</v>
      </c>
      <c r="V11" s="275">
        <v>0</v>
      </c>
      <c r="W11" s="275">
        <v>44.481999999999999</v>
      </c>
      <c r="X11" s="275">
        <v>0</v>
      </c>
      <c r="Y11" s="275">
        <v>42.39</v>
      </c>
      <c r="Z11" s="275">
        <v>0</v>
      </c>
      <c r="AA11" s="275">
        <v>42.731999999999999</v>
      </c>
      <c r="AB11" s="275">
        <v>0</v>
      </c>
      <c r="AC11" s="275">
        <v>42.914999999999999</v>
      </c>
      <c r="AD11" s="275">
        <v>0</v>
      </c>
      <c r="AE11" s="275">
        <v>47.765999999999998</v>
      </c>
      <c r="AF11" s="275">
        <v>0</v>
      </c>
      <c r="AG11" s="275">
        <v>50.121000000000002</v>
      </c>
      <c r="AH11" s="275">
        <v>0</v>
      </c>
      <c r="AI11" s="275">
        <v>62.046999999999997</v>
      </c>
      <c r="AJ11" s="275">
        <v>0</v>
      </c>
      <c r="AK11" s="275">
        <v>73.971000000000004</v>
      </c>
      <c r="AL11" s="275">
        <v>0</v>
      </c>
      <c r="AM11" s="275">
        <v>92.647999999999996</v>
      </c>
      <c r="AN11" s="275">
        <v>0</v>
      </c>
      <c r="AO11" s="275">
        <v>95.856999999999999</v>
      </c>
      <c r="AP11" s="275">
        <v>0</v>
      </c>
      <c r="AQ11" s="275">
        <v>103.319</v>
      </c>
      <c r="AR11" s="275">
        <v>0</v>
      </c>
      <c r="AS11" s="275">
        <v>102.878</v>
      </c>
      <c r="AT11" s="275">
        <v>0</v>
      </c>
      <c r="AU11" s="275">
        <v>102.9</v>
      </c>
      <c r="AV11" s="276" t="s">
        <v>60</v>
      </c>
      <c r="AW11" s="277">
        <v>112.4</v>
      </c>
      <c r="AX11" s="276" t="s">
        <v>60</v>
      </c>
      <c r="AY11" s="275">
        <v>120.2</v>
      </c>
      <c r="AZ11" s="275">
        <v>0</v>
      </c>
      <c r="BA11" s="275">
        <v>105.09687864</v>
      </c>
      <c r="BB11" s="276" t="s">
        <v>60</v>
      </c>
      <c r="BC11" s="275">
        <v>33.870677690000001</v>
      </c>
      <c r="BD11" s="276" t="s">
        <v>60</v>
      </c>
      <c r="BE11" s="275">
        <v>73.5</v>
      </c>
      <c r="BF11" s="275">
        <v>45.935611950000002</v>
      </c>
      <c r="BG11" s="275">
        <v>48.209429880000002</v>
      </c>
      <c r="BH11" s="275">
        <v>51.041761809999997</v>
      </c>
      <c r="BI11" s="275">
        <v>55.46332537</v>
      </c>
      <c r="BJ11" s="275">
        <v>68.904637870000002</v>
      </c>
      <c r="BK11" s="275">
        <v>77.598097629999998</v>
      </c>
      <c r="BL11" s="275">
        <v>79.942565389999999</v>
      </c>
      <c r="BM11" s="275">
        <v>81.715538589999994</v>
      </c>
      <c r="BN11" s="275">
        <v>0</v>
      </c>
      <c r="BO11" s="275">
        <v>184.83928316000001</v>
      </c>
    </row>
    <row r="12" spans="2:67" s="3" customFormat="1" x14ac:dyDescent="0.25">
      <c r="C12" s="142" t="s">
        <v>321</v>
      </c>
      <c r="D12" s="142"/>
      <c r="E12" s="142" t="s">
        <v>755</v>
      </c>
      <c r="F12" s="16">
        <v>0.1</v>
      </c>
      <c r="G12" s="16">
        <v>0.12</v>
      </c>
      <c r="H12" s="16">
        <v>0.13</v>
      </c>
      <c r="I12" s="16">
        <v>0.13</v>
      </c>
      <c r="J12" s="16">
        <v>0.13</v>
      </c>
      <c r="K12" s="16">
        <v>0.13</v>
      </c>
      <c r="L12" s="16">
        <v>0.12</v>
      </c>
      <c r="M12" s="16">
        <v>0.13</v>
      </c>
      <c r="N12" s="16">
        <v>0.13</v>
      </c>
      <c r="O12" s="16">
        <v>0.13</v>
      </c>
      <c r="P12" s="16">
        <v>0.14000000000000001</v>
      </c>
      <c r="Q12" s="16">
        <v>0.14000000000000001</v>
      </c>
      <c r="R12" s="16">
        <v>0.14000000000000001</v>
      </c>
      <c r="S12" s="16">
        <v>0.15</v>
      </c>
      <c r="T12" s="16">
        <v>0.15</v>
      </c>
      <c r="U12" s="16">
        <v>0.16</v>
      </c>
      <c r="V12" s="16">
        <v>0</v>
      </c>
      <c r="W12" s="16">
        <v>0.33</v>
      </c>
      <c r="X12" s="16">
        <v>0</v>
      </c>
      <c r="Y12" s="16">
        <v>0.308</v>
      </c>
      <c r="Z12" s="16">
        <v>0</v>
      </c>
      <c r="AA12" s="16">
        <v>0.29659999999999997</v>
      </c>
      <c r="AB12" s="16">
        <v>0</v>
      </c>
      <c r="AC12" s="16">
        <v>0.30299999999999999</v>
      </c>
      <c r="AD12" s="16">
        <v>0</v>
      </c>
      <c r="AE12" s="16">
        <v>0.32600000000000001</v>
      </c>
      <c r="AF12" s="16">
        <v>0</v>
      </c>
      <c r="AG12" s="16">
        <v>0.33300000000000002</v>
      </c>
      <c r="AH12" s="16">
        <v>0</v>
      </c>
      <c r="AI12" s="16">
        <v>0.40200000000000002</v>
      </c>
      <c r="AJ12" s="16">
        <v>0</v>
      </c>
      <c r="AK12" s="16">
        <v>0.46300000000000002</v>
      </c>
      <c r="AL12" s="16">
        <v>0</v>
      </c>
      <c r="AM12" s="16">
        <v>0.54800000000000004</v>
      </c>
      <c r="AN12" s="16">
        <v>0</v>
      </c>
      <c r="AO12" s="16">
        <v>0.53900000000000003</v>
      </c>
      <c r="AP12" s="16">
        <v>0</v>
      </c>
      <c r="AQ12" s="16">
        <v>0.55400000000000005</v>
      </c>
      <c r="AR12" s="16">
        <v>0</v>
      </c>
      <c r="AS12" s="16">
        <v>0.53198351681562617</v>
      </c>
      <c r="AT12" s="16">
        <v>0</v>
      </c>
      <c r="AU12" s="16">
        <v>0.53</v>
      </c>
      <c r="AV12" s="29" t="s">
        <v>60</v>
      </c>
      <c r="AW12" s="3">
        <v>0.54</v>
      </c>
      <c r="AX12" s="29" t="s">
        <v>60</v>
      </c>
      <c r="AY12" s="16">
        <v>0.55900000000000005</v>
      </c>
      <c r="AZ12" s="16">
        <v>0</v>
      </c>
      <c r="BA12" s="16">
        <v>0.49100000001868754</v>
      </c>
      <c r="BB12" s="29" t="s">
        <v>60</v>
      </c>
      <c r="BC12" s="16">
        <v>0.15869000786776533</v>
      </c>
      <c r="BD12" s="29" t="s">
        <v>60</v>
      </c>
      <c r="BE12" s="16">
        <v>0.33816430566252909</v>
      </c>
      <c r="BF12" s="16">
        <v>0.21299999999999999</v>
      </c>
      <c r="BG12" s="16">
        <v>0.219</v>
      </c>
      <c r="BH12" s="16">
        <v>0.23200000000909057</v>
      </c>
      <c r="BI12" s="16">
        <v>0.252</v>
      </c>
      <c r="BJ12" s="16">
        <v>0.31300000000454253</v>
      </c>
      <c r="BK12" s="16">
        <v>0.35199999999999998</v>
      </c>
      <c r="BL12" s="16">
        <f>'Sumário - Summary'!L29</f>
        <v>0.36199999999094351</v>
      </c>
      <c r="BM12" s="16">
        <f>'Sumário - Summary'!M29</f>
        <v>0.36999999999999994</v>
      </c>
      <c r="BN12" s="16">
        <v>0</v>
      </c>
      <c r="BO12" s="16">
        <v>0.83600000001809138</v>
      </c>
    </row>
    <row r="13" spans="2:67" x14ac:dyDescent="0.25">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row>
    <row r="14" spans="2:67" x14ac:dyDescent="0.25">
      <c r="B14" s="1" t="s">
        <v>434</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row>
    <row r="15" spans="2:67" ht="5.0999999999999996" customHeight="1" x14ac:dyDescent="0.25">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row>
    <row r="16" spans="2:67" x14ac:dyDescent="0.25">
      <c r="B16" t="s">
        <v>867</v>
      </c>
      <c r="C16" s="25"/>
      <c r="D16" s="25"/>
      <c r="E16" s="25"/>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row>
    <row r="17" spans="2:53" x14ac:dyDescent="0.25">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row>
    <row r="18" spans="2:53" x14ac:dyDescent="0.25">
      <c r="B18" s="1" t="s">
        <v>435</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row>
    <row r="19" spans="2:53" ht="5.0999999999999996" customHeight="1" x14ac:dyDescent="0.2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2:53" x14ac:dyDescent="0.25">
      <c r="B20" t="s">
        <v>868</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row>
    <row r="21" spans="2:53" x14ac:dyDescent="0.2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row>
    <row r="22" spans="2:53" x14ac:dyDescent="0.2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row>
    <row r="23" spans="2:53" x14ac:dyDescent="0.2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row>
    <row r="24" spans="2:53" x14ac:dyDescent="0.25">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2:53" x14ac:dyDescent="0.25">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row r="26" spans="2:53" x14ac:dyDescent="0.25">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2:53" x14ac:dyDescent="0.25">
      <c r="C27" s="1"/>
      <c r="D27" s="1"/>
      <c r="E27" s="1"/>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row>
    <row r="28" spans="2:53" x14ac:dyDescent="0.2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9"/>
      <c r="AW28" s="9"/>
      <c r="AX28" s="9"/>
      <c r="AY28" s="15"/>
      <c r="AZ28" s="15"/>
      <c r="BA28" s="15"/>
    </row>
    <row r="29" spans="2:53" x14ac:dyDescent="0.2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9"/>
      <c r="AW29" s="9"/>
      <c r="AX29" s="9"/>
      <c r="AY29" s="15"/>
      <c r="AZ29" s="15"/>
      <c r="BA29" s="15"/>
    </row>
    <row r="30" spans="2:53" x14ac:dyDescent="0.2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9"/>
      <c r="AW30" s="9"/>
      <c r="AX30" s="9"/>
      <c r="AY30" s="15"/>
      <c r="AZ30" s="15"/>
      <c r="BA30" s="15"/>
    </row>
    <row r="31" spans="2:53" x14ac:dyDescent="0.2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9"/>
      <c r="AW31" s="9"/>
      <c r="AX31" s="9"/>
      <c r="AY31" s="15"/>
      <c r="AZ31" s="15"/>
      <c r="BA31" s="15"/>
    </row>
    <row r="32" spans="2:53" x14ac:dyDescent="0.2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9"/>
      <c r="AW32" s="9"/>
      <c r="AX32" s="9"/>
      <c r="AY32" s="15"/>
      <c r="AZ32" s="15"/>
      <c r="BA32" s="15"/>
    </row>
    <row r="33" spans="3:53" x14ac:dyDescent="0.25">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row>
    <row r="34" spans="3:53" x14ac:dyDescent="0.25">
      <c r="C34" s="1"/>
      <c r="D34" s="1"/>
      <c r="E34" s="1"/>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3:53" x14ac:dyDescent="0.25">
      <c r="C35" s="1"/>
      <c r="D35" s="1"/>
      <c r="E35" s="1"/>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11"/>
      <c r="AW35" s="11"/>
      <c r="AX35" s="11"/>
      <c r="AY35" s="9"/>
      <c r="AZ35" s="9"/>
      <c r="BA35" s="9"/>
    </row>
    <row r="36" spans="3:53" x14ac:dyDescent="0.25">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row>
    <row r="37" spans="3:53" x14ac:dyDescent="0.25">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3:53" x14ac:dyDescent="0.25">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3:53" x14ac:dyDescent="0.25">
      <c r="C39" s="1"/>
      <c r="D39" s="1"/>
      <c r="E39" s="1"/>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row>
    <row r="40" spans="3:53" x14ac:dyDescent="0.25">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11"/>
      <c r="AW40" s="11"/>
      <c r="AX40" s="11"/>
      <c r="AY40" s="9"/>
      <c r="AZ40" s="9"/>
      <c r="BA40" s="9"/>
    </row>
    <row r="41" spans="3:53" x14ac:dyDescent="0.25">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11"/>
      <c r="AW41" s="11"/>
      <c r="AX41" s="11"/>
      <c r="AY41" s="9"/>
      <c r="AZ41" s="9"/>
      <c r="BA41" s="9"/>
    </row>
    <row r="42" spans="3:53" x14ac:dyDescent="0.25">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11"/>
      <c r="AW42" s="11"/>
      <c r="AX42" s="11"/>
      <c r="AY42" s="9"/>
      <c r="AZ42" s="9"/>
      <c r="BA42" s="9"/>
    </row>
    <row r="43" spans="3:53" x14ac:dyDescent="0.25">
      <c r="C43" s="1"/>
      <c r="D43" s="1"/>
      <c r="E43" s="1"/>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3:53" x14ac:dyDescent="0.25">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3:53" x14ac:dyDescent="0.25">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row>
    <row r="46" spans="3:53" x14ac:dyDescent="0.25">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3:53" x14ac:dyDescent="0.25">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row>
    <row r="48" spans="3:53" x14ac:dyDescent="0.25">
      <c r="C48" s="1"/>
      <c r="D48" s="1"/>
      <c r="E48" s="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row>
    <row r="49" spans="3:53" x14ac:dyDescent="0.25">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3:53" x14ac:dyDescent="0.25">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3:53" x14ac:dyDescent="0.25">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3:53" x14ac:dyDescent="0.25">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row>
    <row r="53" spans="3:53" x14ac:dyDescent="0.25">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row>
    <row r="54" spans="3:53" x14ac:dyDescent="0.25">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11"/>
      <c r="AW54" s="11"/>
      <c r="AX54" s="11"/>
      <c r="AY54" s="9"/>
      <c r="AZ54" s="9"/>
      <c r="BA54" s="9"/>
    </row>
    <row r="55" spans="3:53" x14ac:dyDescent="0.25">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row>
    <row r="56" spans="3:53" x14ac:dyDescent="0.25">
      <c r="C56" s="1"/>
      <c r="D56" s="1"/>
      <c r="E56" s="1"/>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row>
    <row r="57" spans="3:53" x14ac:dyDescent="0.25">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row>
    <row r="58" spans="3:53" x14ac:dyDescent="0.25">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3:53" x14ac:dyDescent="0.25">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row>
    <row r="60" spans="3:53" x14ac:dyDescent="0.25">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row>
    <row r="61" spans="3:53" x14ac:dyDescent="0.25">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row>
    <row r="62" spans="3:53" x14ac:dyDescent="0.25">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row>
    <row r="63" spans="3:53" x14ac:dyDescent="0.25">
      <c r="C63" s="1"/>
      <c r="D63" s="1"/>
      <c r="E63" s="1"/>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row>
    <row r="64" spans="3:53" x14ac:dyDescent="0.25">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11"/>
      <c r="AW64" s="11"/>
      <c r="AX64" s="11"/>
      <c r="AY64" s="9"/>
      <c r="AZ64" s="9"/>
      <c r="BA64" s="9"/>
    </row>
    <row r="65" spans="3:53" x14ac:dyDescent="0.25">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11"/>
      <c r="AW65" s="11"/>
      <c r="AX65" s="11"/>
      <c r="AY65" s="9"/>
      <c r="AZ65" s="9"/>
      <c r="BA65" s="9"/>
    </row>
    <row r="66" spans="3:53" x14ac:dyDescent="0.25">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11"/>
      <c r="AW66" s="11"/>
      <c r="AX66" s="11"/>
      <c r="AY66" s="9"/>
      <c r="AZ66" s="9"/>
      <c r="BA66" s="9"/>
    </row>
    <row r="67" spans="3:53" x14ac:dyDescent="0.25">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Y67" s="14"/>
      <c r="AZ67" s="14"/>
      <c r="BA67" s="14"/>
    </row>
    <row r="68" spans="3:53" x14ac:dyDescent="0.25">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Y68" s="14"/>
      <c r="AZ68" s="14"/>
      <c r="BA68" s="14"/>
    </row>
    <row r="70" spans="3:53" x14ac:dyDescent="0.25">
      <c r="C70" s="1"/>
      <c r="D70" s="1"/>
      <c r="E70" s="1"/>
    </row>
    <row r="71" spans="3:53" x14ac:dyDescent="0.25">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Y71" s="14"/>
      <c r="AZ71" s="14"/>
      <c r="BA71" s="14"/>
    </row>
    <row r="72" spans="3:53" x14ac:dyDescent="0.25">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Y72" s="14"/>
      <c r="AZ72" s="14"/>
      <c r="BA72" s="14"/>
    </row>
    <row r="73" spans="3:53" x14ac:dyDescent="0.25">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Y73" s="14"/>
      <c r="AZ73" s="14"/>
      <c r="BA73" s="14"/>
    </row>
    <row r="74" spans="3:53" x14ac:dyDescent="0.25">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Y74" s="14"/>
      <c r="AZ74" s="14"/>
      <c r="BA74" s="14"/>
    </row>
    <row r="75" spans="3:53" x14ac:dyDescent="0.25">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Y75" s="14"/>
      <c r="AZ75" s="14"/>
      <c r="BA75" s="14"/>
    </row>
    <row r="76" spans="3:53" x14ac:dyDescent="0.25">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Y76" s="14"/>
      <c r="AZ76" s="14"/>
      <c r="BA76" s="14"/>
    </row>
    <row r="77" spans="3:53" x14ac:dyDescent="0.25">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Y77" s="14"/>
      <c r="AZ77" s="14"/>
      <c r="BA77" s="14"/>
    </row>
    <row r="78" spans="3:53" x14ac:dyDescent="0.25">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Y78" s="14"/>
      <c r="AZ78" s="14"/>
      <c r="BA78" s="14"/>
    </row>
    <row r="79" spans="3:53" x14ac:dyDescent="0.25">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Y79" s="14"/>
      <c r="AZ79" s="14"/>
      <c r="BA79" s="14"/>
    </row>
    <row r="80" spans="3:53" s="1" customFormat="1" x14ac:dyDescent="0.25">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Y80" s="10"/>
      <c r="AZ80" s="10"/>
      <c r="BA80" s="10"/>
    </row>
  </sheetData>
  <phoneticPr fontId="34" type="noConversion"/>
  <hyperlinks>
    <hyperlink ref="F6" location="'Índice - Index'!A1" display="Index" xr:uid="{8CE01F0A-D598-4A9D-BFA4-739EEDF912DD}"/>
    <hyperlink ref="BO6" location="'Índice - Index'!A1" display="Index" xr:uid="{6A4D6535-12D0-41F2-AD6F-B7D0350CC452}"/>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3534-1884-44F7-91E2-B710ED16EE84}">
  <sheetPr codeName="Planilha17">
    <tabColor theme="1" tint="0.34998626667073579"/>
  </sheetPr>
  <dimension ref="A1"/>
  <sheetViews>
    <sheetView topLeftCell="A1048576" workbookViewId="0"/>
  </sheetViews>
  <sheetFormatPr defaultRowHeight="15" zeroHeight="1" x14ac:dyDescent="0.25"/>
  <sheetData/>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8">
    <tabColor theme="2" tint="-9.9978637043366805E-2"/>
  </sheetPr>
  <dimension ref="A2:O113"/>
  <sheetViews>
    <sheetView showGridLines="0" zoomScale="80" zoomScaleNormal="80" workbookViewId="0">
      <pane xSplit="3" ySplit="10" topLeftCell="K11" activePane="bottomRight" state="frozen"/>
      <selection pane="topRight" activeCell="C1" sqref="C1"/>
      <selection pane="bottomLeft" activeCell="A10" sqref="A10"/>
      <selection pane="bottomRight" activeCell="O10" sqref="O10"/>
    </sheetView>
  </sheetViews>
  <sheetFormatPr defaultColWidth="12" defaultRowHeight="15" x14ac:dyDescent="0.25"/>
  <cols>
    <col min="1" max="1" width="63.85546875" customWidth="1"/>
    <col min="2" max="2" width="1.7109375" customWidth="1"/>
    <col min="3" max="3" width="63.85546875" customWidth="1"/>
  </cols>
  <sheetData>
    <row r="2" spans="1:15" ht="21" x14ac:dyDescent="0.35">
      <c r="A2" s="4" t="s">
        <v>13</v>
      </c>
      <c r="B2" s="4"/>
      <c r="C2" s="4"/>
    </row>
    <row r="3" spans="1:15" ht="6.75" customHeight="1" x14ac:dyDescent="0.25">
      <c r="A3" s="3"/>
      <c r="B3" s="3"/>
      <c r="C3" s="3"/>
    </row>
    <row r="4" spans="1:15" x14ac:dyDescent="0.25">
      <c r="A4" s="2" t="s">
        <v>14</v>
      </c>
      <c r="B4" s="2"/>
      <c r="C4" s="2" t="s">
        <v>432</v>
      </c>
    </row>
    <row r="5" spans="1:15" ht="6.75" customHeight="1" x14ac:dyDescent="0.25"/>
    <row r="6" spans="1:15" x14ac:dyDescent="0.25">
      <c r="D6" s="6"/>
      <c r="E6" s="6"/>
      <c r="G6" s="6"/>
      <c r="O6" s="236" t="s">
        <v>486</v>
      </c>
    </row>
    <row r="7" spans="1:15" ht="37.5" x14ac:dyDescent="0.3">
      <c r="A7" s="60" t="s">
        <v>327</v>
      </c>
      <c r="B7" s="60"/>
      <c r="C7" s="60" t="s">
        <v>756</v>
      </c>
    </row>
    <row r="8" spans="1:15" x14ac:dyDescent="0.25">
      <c r="A8" s="41" t="s">
        <v>157</v>
      </c>
      <c r="B8" s="41"/>
      <c r="C8" s="41" t="s">
        <v>757</v>
      </c>
      <c r="D8" s="121"/>
      <c r="E8" s="121"/>
      <c r="F8" s="121"/>
      <c r="G8" s="121"/>
      <c r="H8" s="121"/>
      <c r="I8" s="121"/>
      <c r="J8" s="121"/>
      <c r="K8" s="121"/>
    </row>
    <row r="9" spans="1:15" s="3" customFormat="1" x14ac:dyDescent="0.25">
      <c r="A9" s="34"/>
      <c r="B9" s="34"/>
      <c r="C9" s="34"/>
      <c r="D9" s="36" t="s">
        <v>173</v>
      </c>
      <c r="E9" s="36" t="s">
        <v>176</v>
      </c>
      <c r="F9" s="36" t="s">
        <v>508</v>
      </c>
      <c r="G9" s="36" t="s">
        <v>509</v>
      </c>
      <c r="H9" s="36" t="s">
        <v>182</v>
      </c>
      <c r="I9" s="36" t="s">
        <v>185</v>
      </c>
      <c r="J9" s="36" t="s">
        <v>242</v>
      </c>
      <c r="K9" s="36" t="s">
        <v>510</v>
      </c>
      <c r="L9" s="36" t="s">
        <v>290</v>
      </c>
      <c r="M9" s="36" t="s">
        <v>292</v>
      </c>
      <c r="N9" s="36" t="s">
        <v>511</v>
      </c>
      <c r="O9" s="36" t="s">
        <v>512</v>
      </c>
    </row>
    <row r="10" spans="1:15" s="3" customFormat="1" x14ac:dyDescent="0.25">
      <c r="A10" s="34"/>
      <c r="B10" s="34"/>
      <c r="C10" s="34"/>
      <c r="D10" s="36" t="s">
        <v>173</v>
      </c>
      <c r="E10" s="36" t="s">
        <v>176</v>
      </c>
      <c r="F10" s="36" t="s">
        <v>178</v>
      </c>
      <c r="G10" s="36" t="s">
        <v>180</v>
      </c>
      <c r="H10" s="36" t="s">
        <v>182</v>
      </c>
      <c r="I10" s="36" t="s">
        <v>185</v>
      </c>
      <c r="J10" s="36" t="s">
        <v>198</v>
      </c>
      <c r="K10" s="36" t="s">
        <v>285</v>
      </c>
      <c r="L10" s="36" t="s">
        <v>290</v>
      </c>
      <c r="M10" s="36" t="s">
        <v>292</v>
      </c>
      <c r="N10" s="36" t="s">
        <v>306</v>
      </c>
      <c r="O10" s="36" t="s">
        <v>309</v>
      </c>
    </row>
    <row r="11" spans="1:15" x14ac:dyDescent="0.25">
      <c r="D11" s="9"/>
      <c r="E11" s="9"/>
      <c r="F11" s="9"/>
      <c r="G11" s="9"/>
      <c r="H11" s="9"/>
      <c r="I11" s="9"/>
      <c r="J11" s="9"/>
      <c r="K11" s="9"/>
      <c r="L11" s="9"/>
      <c r="M11" s="9"/>
      <c r="N11" s="9"/>
      <c r="O11" s="9"/>
    </row>
    <row r="12" spans="1:15" ht="15.75" x14ac:dyDescent="0.25">
      <c r="A12" s="95" t="s">
        <v>234</v>
      </c>
      <c r="B12" s="95"/>
      <c r="C12" s="230" t="s">
        <v>677</v>
      </c>
      <c r="D12" s="114"/>
      <c r="E12" s="114"/>
      <c r="F12" s="114"/>
      <c r="G12" s="114"/>
      <c r="H12" s="114"/>
      <c r="I12" s="114"/>
      <c r="J12" s="114"/>
      <c r="K12" s="58"/>
      <c r="L12" s="58"/>
      <c r="M12" s="58"/>
      <c r="N12" s="58"/>
      <c r="O12" s="58"/>
    </row>
    <row r="13" spans="1:15" s="1" customFormat="1" x14ac:dyDescent="0.25">
      <c r="A13" s="18" t="s">
        <v>233</v>
      </c>
      <c r="B13" s="18"/>
      <c r="C13" s="18" t="s">
        <v>678</v>
      </c>
      <c r="D13" s="32">
        <f t="shared" ref="D13:H13" si="0">SUM(D14:D16)</f>
        <v>11925.568271839986</v>
      </c>
      <c r="E13" s="32">
        <f t="shared" si="0"/>
        <v>12352.386569090027</v>
      </c>
      <c r="F13" s="32">
        <f t="shared" si="0"/>
        <v>12436.797304469979</v>
      </c>
      <c r="G13" s="32">
        <f t="shared" si="0"/>
        <v>12978.938497360019</v>
      </c>
      <c r="H13" s="32">
        <f t="shared" si="0"/>
        <v>13064.853786130014</v>
      </c>
      <c r="I13" s="32">
        <f t="shared" ref="I13:O13" si="1">SUM(I14:I16)</f>
        <v>13633.293013570019</v>
      </c>
      <c r="J13" s="32">
        <f t="shared" si="1"/>
        <v>15191.835234649958</v>
      </c>
      <c r="K13" s="32">
        <f t="shared" si="1"/>
        <v>17199.333000000002</v>
      </c>
      <c r="L13" s="32">
        <f t="shared" si="1"/>
        <v>17856.635476170017</v>
      </c>
      <c r="M13" s="32">
        <f t="shared" si="1"/>
        <v>18218.736355139979</v>
      </c>
      <c r="N13" s="32">
        <f t="shared" si="1"/>
        <v>19231.24338068999</v>
      </c>
      <c r="O13" s="32">
        <f t="shared" si="1"/>
        <v>20940.26556330001</v>
      </c>
    </row>
    <row r="14" spans="1:15" x14ac:dyDescent="0.25">
      <c r="A14" s="38" t="s">
        <v>137</v>
      </c>
      <c r="B14" s="38"/>
      <c r="C14" s="38" t="s">
        <v>137</v>
      </c>
      <c r="D14" s="12">
        <v>3970.1231343299974</v>
      </c>
      <c r="E14" s="12">
        <v>3987.190933860004</v>
      </c>
      <c r="F14" s="12">
        <v>3902.0386659499959</v>
      </c>
      <c r="G14" s="12">
        <v>4300.9665845599993</v>
      </c>
      <c r="H14" s="12">
        <v>4112.8145946700033</v>
      </c>
      <c r="I14" s="12">
        <v>4367.99434673</v>
      </c>
      <c r="J14" s="12">
        <v>4639.5726368299993</v>
      </c>
      <c r="K14" s="12">
        <v>5717.0823872699966</v>
      </c>
      <c r="L14" s="12">
        <v>5450.4075573400114</v>
      </c>
      <c r="M14" s="12">
        <v>5784.8509705600063</v>
      </c>
      <c r="N14" s="12">
        <v>5412.7242522800025</v>
      </c>
      <c r="O14" s="12">
        <v>5816.7829588500099</v>
      </c>
    </row>
    <row r="15" spans="1:15" x14ac:dyDescent="0.25">
      <c r="A15" s="38" t="s">
        <v>140</v>
      </c>
      <c r="B15" s="38"/>
      <c r="C15" s="38" t="s">
        <v>140</v>
      </c>
      <c r="D15" s="12">
        <v>7594.2783421199883</v>
      </c>
      <c r="E15" s="12">
        <v>7983.6199683900222</v>
      </c>
      <c r="F15" s="12">
        <v>8158.3163406299836</v>
      </c>
      <c r="G15" s="12">
        <v>8031.3389316300199</v>
      </c>
      <c r="H15" s="12">
        <v>8289.2294224900106</v>
      </c>
      <c r="I15" s="12">
        <v>8612.1677266100196</v>
      </c>
      <c r="J15" s="12">
        <v>9877.6616729299603</v>
      </c>
      <c r="K15" s="12">
        <v>10728.007578540006</v>
      </c>
      <c r="L15" s="12">
        <v>11546.294714680009</v>
      </c>
      <c r="M15" s="12">
        <v>11501.741647999977</v>
      </c>
      <c r="N15" s="12">
        <v>12368.889276489988</v>
      </c>
      <c r="O15" s="12">
        <v>13120.53926895</v>
      </c>
    </row>
    <row r="16" spans="1:15" x14ac:dyDescent="0.25">
      <c r="A16" s="38" t="s">
        <v>188</v>
      </c>
      <c r="B16" s="38"/>
      <c r="C16" s="38" t="s">
        <v>188</v>
      </c>
      <c r="D16" s="12">
        <v>361.16679539000006</v>
      </c>
      <c r="E16" s="12">
        <v>381.57566683999994</v>
      </c>
      <c r="F16" s="12">
        <v>376.44229788999991</v>
      </c>
      <c r="G16" s="12">
        <v>646.63298116999999</v>
      </c>
      <c r="H16" s="12">
        <v>662.80976896999994</v>
      </c>
      <c r="I16" s="12">
        <v>653.13094023000008</v>
      </c>
      <c r="J16" s="12">
        <v>674.60092488999896</v>
      </c>
      <c r="K16" s="12">
        <v>754.24303419000114</v>
      </c>
      <c r="L16" s="12">
        <v>859.93320414999982</v>
      </c>
      <c r="M16" s="12">
        <v>932.14373657999863</v>
      </c>
      <c r="N16" s="12">
        <v>1449.62985192</v>
      </c>
      <c r="O16" s="12">
        <v>2002.943335500001</v>
      </c>
    </row>
    <row r="17" spans="1:15" s="1" customFormat="1" x14ac:dyDescent="0.25">
      <c r="A17" s="18" t="s">
        <v>232</v>
      </c>
      <c r="B17" s="18"/>
      <c r="C17" s="18" t="s">
        <v>679</v>
      </c>
      <c r="D17" s="61">
        <f t="shared" ref="D17:H17" si="2">SUM(D18:D20)</f>
        <v>10643.512351039999</v>
      </c>
      <c r="E17" s="61">
        <f t="shared" si="2"/>
        <v>10753.583673999998</v>
      </c>
      <c r="F17" s="61">
        <f t="shared" si="2"/>
        <v>10718.255635799997</v>
      </c>
      <c r="G17" s="61">
        <f t="shared" si="2"/>
        <v>10650.867096300004</v>
      </c>
      <c r="H17" s="61">
        <f t="shared" si="2"/>
        <v>10540.606571799999</v>
      </c>
      <c r="I17" s="61">
        <f t="shared" ref="I17:O17" si="3">SUM(I18:I20)</f>
        <v>10164.542460719993</v>
      </c>
      <c r="J17" s="61">
        <f t="shared" si="3"/>
        <v>9689.3325954500015</v>
      </c>
      <c r="K17" s="61">
        <f t="shared" si="3"/>
        <v>9256.0573996299991</v>
      </c>
      <c r="L17" s="61">
        <f t="shared" si="3"/>
        <v>9593.2277728900026</v>
      </c>
      <c r="M17" s="61">
        <f t="shared" si="3"/>
        <v>10014.660253779999</v>
      </c>
      <c r="N17" s="61">
        <f t="shared" si="3"/>
        <v>10030.245326799999</v>
      </c>
      <c r="O17" s="61">
        <f t="shared" si="3"/>
        <v>10160.918785500005</v>
      </c>
    </row>
    <row r="18" spans="1:15" x14ac:dyDescent="0.25">
      <c r="A18" s="38" t="s">
        <v>137</v>
      </c>
      <c r="B18" s="38"/>
      <c r="C18" s="38" t="s">
        <v>137</v>
      </c>
      <c r="D18" s="12">
        <v>9127.8597273599989</v>
      </c>
      <c r="E18" s="12">
        <v>9352.8182880399982</v>
      </c>
      <c r="F18" s="12">
        <v>9482.5040439499953</v>
      </c>
      <c r="G18" s="12">
        <v>9420.6925665700037</v>
      </c>
      <c r="H18" s="12">
        <v>9266.8309470999993</v>
      </c>
      <c r="I18" s="12">
        <v>8866.7180693899918</v>
      </c>
      <c r="J18" s="12">
        <v>8584.316628210001</v>
      </c>
      <c r="K18" s="12">
        <v>7919.0127593399993</v>
      </c>
      <c r="L18" s="12">
        <v>8426.2892150000025</v>
      </c>
      <c r="M18" s="12">
        <v>8855.17391804</v>
      </c>
      <c r="N18" s="12">
        <v>8700.1083327399974</v>
      </c>
      <c r="O18" s="12">
        <v>8710.5992191400037</v>
      </c>
    </row>
    <row r="19" spans="1:15" x14ac:dyDescent="0.25">
      <c r="A19" s="38" t="s">
        <v>140</v>
      </c>
      <c r="B19" s="38"/>
      <c r="C19" s="38" t="s">
        <v>140</v>
      </c>
      <c r="D19" s="12">
        <v>1500.8752229400002</v>
      </c>
      <c r="E19" s="12">
        <v>1383.6818520300003</v>
      </c>
      <c r="F19" s="12">
        <v>1214.7203988100007</v>
      </c>
      <c r="G19" s="12">
        <v>1206.0681494900002</v>
      </c>
      <c r="H19" s="12">
        <v>1248.2201127399999</v>
      </c>
      <c r="I19" s="12">
        <v>1272.7897308000006</v>
      </c>
      <c r="J19" s="12">
        <v>1079.9052592199998</v>
      </c>
      <c r="K19" s="12">
        <v>1313.2564823600001</v>
      </c>
      <c r="L19" s="12">
        <v>1146.3384767999996</v>
      </c>
      <c r="M19" s="12">
        <v>1125.8193556800002</v>
      </c>
      <c r="N19" s="12">
        <v>1301.0227855400003</v>
      </c>
      <c r="O19" s="12">
        <v>1416.8301822300009</v>
      </c>
    </row>
    <row r="20" spans="1:15" x14ac:dyDescent="0.25">
      <c r="A20" s="38" t="s">
        <v>188</v>
      </c>
      <c r="B20" s="38"/>
      <c r="C20" s="38" t="s">
        <v>188</v>
      </c>
      <c r="D20" s="12">
        <v>14.777400740000001</v>
      </c>
      <c r="E20" s="12">
        <v>17.083533929999998</v>
      </c>
      <c r="F20" s="12">
        <v>21.031193040000002</v>
      </c>
      <c r="G20" s="12">
        <v>24.10638024</v>
      </c>
      <c r="H20" s="12">
        <v>25.555511959999997</v>
      </c>
      <c r="I20" s="12">
        <v>25.03466053</v>
      </c>
      <c r="J20" s="12">
        <v>25.110708020000001</v>
      </c>
      <c r="K20" s="12">
        <v>23.788157929999997</v>
      </c>
      <c r="L20" s="12">
        <v>20.60008109</v>
      </c>
      <c r="M20" s="12">
        <v>33.66698006</v>
      </c>
      <c r="N20" s="12">
        <v>29.114208519999998</v>
      </c>
      <c r="O20" s="12">
        <v>33.489384129999998</v>
      </c>
    </row>
    <row r="21" spans="1:15" s="1" customFormat="1" x14ac:dyDescent="0.25">
      <c r="A21" s="18" t="s">
        <v>231</v>
      </c>
      <c r="B21" s="18"/>
      <c r="C21" s="18" t="s">
        <v>680</v>
      </c>
      <c r="D21" s="32">
        <f t="shared" ref="D21:H21" si="4">SUM(D22:D24)</f>
        <v>2285.8124734060002</v>
      </c>
      <c r="E21" s="32">
        <f t="shared" si="4"/>
        <v>2221.0760576176735</v>
      </c>
      <c r="F21" s="32">
        <f t="shared" si="4"/>
        <v>2167.9216176674258</v>
      </c>
      <c r="G21" s="32">
        <f t="shared" si="4"/>
        <v>2610.5064117294905</v>
      </c>
      <c r="H21" s="32">
        <f t="shared" si="4"/>
        <v>2897.6816648894901</v>
      </c>
      <c r="I21" s="32">
        <f t="shared" ref="I21:O21" si="5">SUM(I22:I24)</f>
        <v>3266.8416535977512</v>
      </c>
      <c r="J21" s="32">
        <f t="shared" si="5"/>
        <v>3354.3374118977517</v>
      </c>
      <c r="K21" s="32">
        <f t="shared" si="5"/>
        <v>3692.3248867041912</v>
      </c>
      <c r="L21" s="32">
        <f t="shared" si="5"/>
        <v>3651.3204275570788</v>
      </c>
      <c r="M21" s="32">
        <f t="shared" si="5"/>
        <v>3831.4524998994521</v>
      </c>
      <c r="N21" s="32">
        <f t="shared" si="5"/>
        <v>3667.0855124299223</v>
      </c>
      <c r="O21" s="32">
        <f t="shared" si="5"/>
        <v>3277.2306769799998</v>
      </c>
    </row>
    <row r="22" spans="1:15" x14ac:dyDescent="0.25">
      <c r="A22" s="38" t="s">
        <v>137</v>
      </c>
      <c r="B22" s="38"/>
      <c r="C22" s="38" t="s">
        <v>137</v>
      </c>
      <c r="D22" s="12">
        <v>1441.6853762460003</v>
      </c>
      <c r="E22" s="12">
        <v>1288.2109872376736</v>
      </c>
      <c r="F22" s="12">
        <v>1235.046466057426</v>
      </c>
      <c r="G22" s="12">
        <v>1198.0206675594902</v>
      </c>
      <c r="H22" s="12">
        <v>1310.0345947994899</v>
      </c>
      <c r="I22" s="12">
        <v>1467.1323333637508</v>
      </c>
      <c r="J22" s="12">
        <v>1649.0661522337518</v>
      </c>
      <c r="K22" s="12">
        <v>1792.830172297191</v>
      </c>
      <c r="L22" s="12">
        <v>1848.4745266500793</v>
      </c>
      <c r="M22" s="12">
        <v>2131.251933602452</v>
      </c>
      <c r="N22" s="12">
        <v>2056.2625018629224</v>
      </c>
      <c r="O22" s="12">
        <v>1790.5351193999998</v>
      </c>
    </row>
    <row r="23" spans="1:15" x14ac:dyDescent="0.25">
      <c r="A23" s="38" t="s">
        <v>140</v>
      </c>
      <c r="B23" s="38"/>
      <c r="C23" s="38" t="s">
        <v>140</v>
      </c>
      <c r="D23" s="12">
        <v>844.12709715999995</v>
      </c>
      <c r="E23" s="12">
        <v>932.86507037999991</v>
      </c>
      <c r="F23" s="12">
        <v>932.87515160999999</v>
      </c>
      <c r="G23" s="12">
        <v>1412.4857441700003</v>
      </c>
      <c r="H23" s="12">
        <v>1587.6470700900002</v>
      </c>
      <c r="I23" s="12">
        <v>1799.7093202340004</v>
      </c>
      <c r="J23" s="12">
        <v>1705.2712596640001</v>
      </c>
      <c r="K23" s="12">
        <v>1892.1586486069998</v>
      </c>
      <c r="L23" s="12">
        <v>1802.8459009069998</v>
      </c>
      <c r="M23" s="12">
        <v>1700.2005662969998</v>
      </c>
      <c r="N23" s="12">
        <v>1610.8230105669998</v>
      </c>
      <c r="O23" s="12">
        <v>1486.6955575800002</v>
      </c>
    </row>
    <row r="24" spans="1:15" x14ac:dyDescent="0.25">
      <c r="A24" s="38" t="s">
        <v>188</v>
      </c>
      <c r="B24" s="38"/>
      <c r="C24" s="38" t="s">
        <v>188</v>
      </c>
      <c r="D24" s="12">
        <v>0</v>
      </c>
      <c r="E24" s="12">
        <v>0</v>
      </c>
      <c r="F24" s="12">
        <v>0</v>
      </c>
      <c r="G24" s="12">
        <v>0</v>
      </c>
      <c r="H24" s="12">
        <v>0</v>
      </c>
      <c r="I24" s="12">
        <v>0</v>
      </c>
      <c r="J24" s="12">
        <v>0</v>
      </c>
      <c r="K24" s="12">
        <v>7.3360658000000001</v>
      </c>
      <c r="L24" s="12">
        <v>0</v>
      </c>
      <c r="M24" s="12">
        <v>0</v>
      </c>
      <c r="N24" s="12">
        <v>0</v>
      </c>
      <c r="O24" s="12">
        <v>0</v>
      </c>
    </row>
    <row r="25" spans="1:15" x14ac:dyDescent="0.25">
      <c r="A25" s="18" t="s">
        <v>230</v>
      </c>
      <c r="B25" s="18"/>
      <c r="C25" s="18" t="s">
        <v>681</v>
      </c>
      <c r="D25" s="32">
        <f t="shared" ref="D25:H25" si="6">D21+D17+D13</f>
        <v>24854.893096285985</v>
      </c>
      <c r="E25" s="32">
        <f t="shared" si="6"/>
        <v>25327.046300707698</v>
      </c>
      <c r="F25" s="32">
        <f t="shared" si="6"/>
        <v>25322.974557937399</v>
      </c>
      <c r="G25" s="32">
        <f t="shared" si="6"/>
        <v>26240.312005389511</v>
      </c>
      <c r="H25" s="32">
        <f t="shared" si="6"/>
        <v>26503.142022819502</v>
      </c>
      <c r="I25" s="32">
        <f>I21+I17+I13</f>
        <v>27064.677127887764</v>
      </c>
      <c r="J25" s="32">
        <f>J21+J17+J13</f>
        <v>28235.505241997711</v>
      </c>
      <c r="K25" s="32">
        <f t="shared" ref="K25:O25" si="7">SUM(K26:K28)</f>
        <v>30147.715286334194</v>
      </c>
      <c r="L25" s="32">
        <f t="shared" si="7"/>
        <v>31101.1836766171</v>
      </c>
      <c r="M25" s="32">
        <f t="shared" si="7"/>
        <v>32064.849108819435</v>
      </c>
      <c r="N25" s="32">
        <f t="shared" si="7"/>
        <v>32928.574219919916</v>
      </c>
      <c r="O25" s="32">
        <f t="shared" si="7"/>
        <v>34378.415025780014</v>
      </c>
    </row>
    <row r="26" spans="1:15" x14ac:dyDescent="0.25">
      <c r="A26" s="38" t="s">
        <v>137</v>
      </c>
      <c r="B26" s="38"/>
      <c r="C26" s="38" t="s">
        <v>137</v>
      </c>
      <c r="D26" s="12">
        <f t="shared" ref="D26:I26" si="8">D14+D18+D22</f>
        <v>14539.668237935995</v>
      </c>
      <c r="E26" s="12">
        <f t="shared" si="8"/>
        <v>14628.220209137675</v>
      </c>
      <c r="F26" s="12">
        <f t="shared" si="8"/>
        <v>14619.589175957417</v>
      </c>
      <c r="G26" s="12">
        <f t="shared" si="8"/>
        <v>14919.679818689494</v>
      </c>
      <c r="H26" s="12">
        <f t="shared" si="8"/>
        <v>14689.680136569492</v>
      </c>
      <c r="I26" s="12">
        <f t="shared" si="8"/>
        <v>14701.844749483742</v>
      </c>
      <c r="J26" s="12">
        <f t="shared" ref="J26:L27" si="9">J14+J18+J22</f>
        <v>14872.955417273753</v>
      </c>
      <c r="K26" s="12">
        <f t="shared" si="9"/>
        <v>15428.925318907186</v>
      </c>
      <c r="L26" s="12">
        <f t="shared" si="9"/>
        <v>15725.171298990093</v>
      </c>
      <c r="M26" s="12">
        <f t="shared" ref="M26:N26" si="10">M14+M18+M22</f>
        <v>16771.276822202457</v>
      </c>
      <c r="N26" s="12">
        <f t="shared" si="10"/>
        <v>16169.095086882922</v>
      </c>
      <c r="O26" s="12">
        <f t="shared" ref="O26" si="11">O14+O18+O22</f>
        <v>16317.917297390013</v>
      </c>
    </row>
    <row r="27" spans="1:15" x14ac:dyDescent="0.25">
      <c r="A27" s="38" t="s">
        <v>140</v>
      </c>
      <c r="B27" s="38"/>
      <c r="C27" s="38" t="s">
        <v>140</v>
      </c>
      <c r="D27" s="12">
        <f t="shared" ref="D27:I27" si="12">D15+D19+D23</f>
        <v>9939.2806622199896</v>
      </c>
      <c r="E27" s="12">
        <f t="shared" si="12"/>
        <v>10300.166890800023</v>
      </c>
      <c r="F27" s="12">
        <f t="shared" si="12"/>
        <v>10305.911891049984</v>
      </c>
      <c r="G27" s="12">
        <f t="shared" si="12"/>
        <v>10649.89282529002</v>
      </c>
      <c r="H27" s="12">
        <f t="shared" si="12"/>
        <v>11125.096605320012</v>
      </c>
      <c r="I27" s="12">
        <f t="shared" si="12"/>
        <v>11684.666777644021</v>
      </c>
      <c r="J27" s="12">
        <f t="shared" si="9"/>
        <v>12662.83819181396</v>
      </c>
      <c r="K27" s="12">
        <f t="shared" si="9"/>
        <v>13933.422709507005</v>
      </c>
      <c r="L27" s="12">
        <f t="shared" si="9"/>
        <v>14495.479092387008</v>
      </c>
      <c r="M27" s="12">
        <f t="shared" ref="M27:N27" si="13">M15+M19+M23</f>
        <v>14327.761569976978</v>
      </c>
      <c r="N27" s="12">
        <f t="shared" si="13"/>
        <v>15280.735072596988</v>
      </c>
      <c r="O27" s="12">
        <f t="shared" ref="O27" si="14">O15+O19+O23</f>
        <v>16024.065008760002</v>
      </c>
    </row>
    <row r="28" spans="1:15" x14ac:dyDescent="0.25">
      <c r="A28" s="38" t="s">
        <v>188</v>
      </c>
      <c r="B28" s="38"/>
      <c r="C28" s="38" t="s">
        <v>188</v>
      </c>
      <c r="D28" s="12">
        <f t="shared" ref="D28:I28" si="15">D16+D20</f>
        <v>375.94419613000008</v>
      </c>
      <c r="E28" s="12">
        <f t="shared" si="15"/>
        <v>398.65920076999993</v>
      </c>
      <c r="F28" s="12">
        <f t="shared" si="15"/>
        <v>397.47349092999991</v>
      </c>
      <c r="G28" s="12">
        <f t="shared" si="15"/>
        <v>670.73936141000001</v>
      </c>
      <c r="H28" s="12">
        <f t="shared" si="15"/>
        <v>688.36528092999993</v>
      </c>
      <c r="I28" s="12">
        <f t="shared" si="15"/>
        <v>678.16560076000007</v>
      </c>
      <c r="J28" s="12">
        <f>J16+J20</f>
        <v>699.71163290999891</v>
      </c>
      <c r="K28" s="12">
        <f t="shared" ref="K28:O28" si="16">K16+K20+K24</f>
        <v>785.36725792000118</v>
      </c>
      <c r="L28" s="12">
        <f t="shared" si="16"/>
        <v>880.53328523999983</v>
      </c>
      <c r="M28" s="12">
        <f t="shared" si="16"/>
        <v>965.81071663999865</v>
      </c>
      <c r="N28" s="12">
        <f t="shared" si="16"/>
        <v>1478.7440604399999</v>
      </c>
      <c r="O28" s="12">
        <f t="shared" si="16"/>
        <v>2036.432719630001</v>
      </c>
    </row>
    <row r="29" spans="1:15" x14ac:dyDescent="0.25">
      <c r="C29" s="27"/>
      <c r="D29" s="12"/>
      <c r="E29" s="12"/>
      <c r="F29" s="12"/>
      <c r="G29" s="12"/>
      <c r="H29" s="12"/>
      <c r="I29" s="12"/>
      <c r="J29" s="12"/>
      <c r="K29" s="12"/>
      <c r="L29" s="12"/>
      <c r="M29" s="12"/>
      <c r="N29" s="12"/>
      <c r="O29" s="12"/>
    </row>
    <row r="30" spans="1:15" x14ac:dyDescent="0.25">
      <c r="A30" s="94" t="s">
        <v>319</v>
      </c>
      <c r="B30" s="94"/>
      <c r="C30" s="54" t="s">
        <v>758</v>
      </c>
      <c r="D30" s="59"/>
      <c r="E30" s="59"/>
      <c r="F30" s="59"/>
      <c r="G30" s="59"/>
      <c r="H30" s="59"/>
      <c r="I30" s="59"/>
      <c r="J30" s="59"/>
      <c r="K30" s="59"/>
      <c r="L30" s="59"/>
      <c r="M30" s="59"/>
      <c r="N30" s="59"/>
      <c r="O30" s="59"/>
    </row>
    <row r="31" spans="1:15" x14ac:dyDescent="0.25">
      <c r="A31" s="38" t="s">
        <v>318</v>
      </c>
      <c r="B31" s="38"/>
      <c r="C31" s="38" t="s">
        <v>318</v>
      </c>
      <c r="D31" s="12">
        <v>18.396182890000009</v>
      </c>
      <c r="E31" s="12">
        <v>15.785488479999994</v>
      </c>
      <c r="F31" s="12">
        <v>15.425534260000012</v>
      </c>
      <c r="G31" s="12">
        <v>14.023831989999996</v>
      </c>
      <c r="H31" s="12">
        <v>14.726165830000006</v>
      </c>
      <c r="I31" s="12">
        <v>12.483073920000002</v>
      </c>
      <c r="J31" s="12">
        <v>10.521831510000002</v>
      </c>
      <c r="K31" s="12">
        <v>12.73089699</v>
      </c>
      <c r="L31" s="12"/>
      <c r="M31" s="12"/>
      <c r="N31" s="12"/>
      <c r="O31" s="12"/>
    </row>
    <row r="32" spans="1:15" x14ac:dyDescent="0.25">
      <c r="A32" s="38" t="s">
        <v>317</v>
      </c>
      <c r="B32" s="38"/>
      <c r="C32" s="38" t="s">
        <v>317</v>
      </c>
      <c r="D32" s="12">
        <v>180.79366270999998</v>
      </c>
      <c r="E32" s="12">
        <v>183.65457765999997</v>
      </c>
      <c r="F32" s="12">
        <v>171.44905836000004</v>
      </c>
      <c r="G32" s="12">
        <v>172.51889385999993</v>
      </c>
      <c r="H32" s="12">
        <v>144.81202008999995</v>
      </c>
      <c r="I32" s="12">
        <v>135.85816636999996</v>
      </c>
      <c r="J32" s="12">
        <v>168.43014305000011</v>
      </c>
      <c r="K32" s="12">
        <v>205.55917444000005</v>
      </c>
      <c r="L32" s="12"/>
      <c r="M32" s="12"/>
      <c r="N32" s="12"/>
      <c r="O32" s="12"/>
    </row>
    <row r="33" spans="1:15" x14ac:dyDescent="0.25">
      <c r="A33" s="38" t="s">
        <v>316</v>
      </c>
      <c r="B33" s="38"/>
      <c r="C33" s="38" t="s">
        <v>316</v>
      </c>
      <c r="D33" s="11">
        <v>753.40838452000025</v>
      </c>
      <c r="E33" s="11">
        <v>731.45758521999949</v>
      </c>
      <c r="F33" s="11">
        <v>718.31121083000005</v>
      </c>
      <c r="G33" s="11">
        <v>690.14732902999958</v>
      </c>
      <c r="H33" s="11">
        <v>703.09116840000081</v>
      </c>
      <c r="I33" s="11">
        <v>707.71535480000034</v>
      </c>
      <c r="J33" s="11">
        <v>768.33783941999968</v>
      </c>
      <c r="K33" s="11">
        <v>761.42910569000082</v>
      </c>
      <c r="L33" s="11"/>
      <c r="M33" s="11"/>
      <c r="N33" s="11"/>
      <c r="O33" s="11"/>
    </row>
    <row r="34" spans="1:15" x14ac:dyDescent="0.25">
      <c r="A34" s="38" t="s">
        <v>312</v>
      </c>
      <c r="B34" s="38"/>
      <c r="C34" s="38" t="s">
        <v>312</v>
      </c>
      <c r="D34" s="11">
        <v>1228.3728522699998</v>
      </c>
      <c r="E34" s="11">
        <v>1207.2138123899997</v>
      </c>
      <c r="F34" s="11">
        <v>1345.8890014199994</v>
      </c>
      <c r="G34" s="11">
        <v>1276.9152507799997</v>
      </c>
      <c r="H34" s="11">
        <v>1313.4827698899994</v>
      </c>
      <c r="I34" s="11">
        <v>1485.06900507</v>
      </c>
      <c r="J34" s="11">
        <v>1259.8818044300003</v>
      </c>
      <c r="K34" s="11">
        <v>1236.0168938499996</v>
      </c>
      <c r="L34" s="11"/>
      <c r="M34" s="11"/>
      <c r="N34" s="11"/>
      <c r="O34" s="11"/>
    </row>
    <row r="35" spans="1:15" x14ac:dyDescent="0.25">
      <c r="A35" s="38" t="s">
        <v>313</v>
      </c>
      <c r="B35" s="38"/>
      <c r="C35" s="38" t="s">
        <v>313</v>
      </c>
      <c r="D35" s="11">
        <v>9744.5971894499799</v>
      </c>
      <c r="E35" s="11">
        <v>10214.275105340006</v>
      </c>
      <c r="F35" s="11">
        <v>10185.722499599999</v>
      </c>
      <c r="G35" s="11">
        <v>10825.333191700003</v>
      </c>
      <c r="H35" s="11">
        <v>10888.741661920001</v>
      </c>
      <c r="I35" s="11">
        <v>11292.167413409987</v>
      </c>
      <c r="J35" s="11">
        <v>12984.663616239995</v>
      </c>
      <c r="K35" s="11">
        <v>14983.596929030005</v>
      </c>
      <c r="L35" s="11"/>
      <c r="M35" s="11"/>
      <c r="N35" s="11"/>
      <c r="O35" s="11"/>
    </row>
    <row r="36" spans="1:15" x14ac:dyDescent="0.25">
      <c r="A36" s="53" t="s">
        <v>221</v>
      </c>
      <c r="B36" s="53"/>
      <c r="C36" s="53" t="s">
        <v>221</v>
      </c>
      <c r="D36" s="68">
        <f t="shared" ref="D36:K36" si="17">SUM(D31:D35)</f>
        <v>11925.56827183998</v>
      </c>
      <c r="E36" s="68">
        <f t="shared" si="17"/>
        <v>12352.386569090006</v>
      </c>
      <c r="F36" s="68">
        <f t="shared" si="17"/>
        <v>12436.797304469997</v>
      </c>
      <c r="G36" s="68">
        <f t="shared" si="17"/>
        <v>12978.938497360003</v>
      </c>
      <c r="H36" s="68">
        <f t="shared" si="17"/>
        <v>13064.853786130001</v>
      </c>
      <c r="I36" s="68">
        <f t="shared" si="17"/>
        <v>13633.293013569986</v>
      </c>
      <c r="J36" s="68">
        <f t="shared" si="17"/>
        <v>15191.835234649996</v>
      </c>
      <c r="K36" s="68">
        <f t="shared" si="17"/>
        <v>17199.333000000006</v>
      </c>
      <c r="L36" s="68"/>
      <c r="M36" s="68"/>
      <c r="N36" s="68"/>
      <c r="O36" s="68"/>
    </row>
    <row r="37" spans="1:15" x14ac:dyDescent="0.25">
      <c r="A37" s="38" t="s">
        <v>311</v>
      </c>
      <c r="B37" s="38"/>
      <c r="C37" s="38" t="s">
        <v>311</v>
      </c>
      <c r="D37" s="12"/>
      <c r="E37" s="12"/>
      <c r="F37" s="12"/>
      <c r="G37" s="12"/>
      <c r="H37" s="12"/>
      <c r="I37" s="12"/>
      <c r="J37" s="12"/>
      <c r="K37" s="12"/>
      <c r="L37" s="12">
        <v>987.49181034999992</v>
      </c>
      <c r="M37" s="12">
        <v>956.32749508000006</v>
      </c>
      <c r="N37" s="12">
        <v>1409.8253188800004</v>
      </c>
      <c r="O37" s="12">
        <v>1773.905259109999</v>
      </c>
    </row>
    <row r="38" spans="1:15" x14ac:dyDescent="0.25">
      <c r="A38" s="38" t="s">
        <v>312</v>
      </c>
      <c r="B38" s="38"/>
      <c r="C38" s="38" t="s">
        <v>312</v>
      </c>
      <c r="D38" s="12"/>
      <c r="E38" s="12"/>
      <c r="F38" s="12"/>
      <c r="G38" s="12"/>
      <c r="H38" s="12"/>
      <c r="I38" s="12"/>
      <c r="J38" s="12"/>
      <c r="K38" s="12"/>
      <c r="L38" s="12">
        <v>1208.0797193800001</v>
      </c>
      <c r="M38" s="12">
        <v>1155.4215034799997</v>
      </c>
      <c r="N38" s="12">
        <v>1440.1493125800005</v>
      </c>
      <c r="O38" s="12">
        <v>1811.2474469599999</v>
      </c>
    </row>
    <row r="39" spans="1:15" x14ac:dyDescent="0.25">
      <c r="A39" s="38" t="s">
        <v>314</v>
      </c>
      <c r="B39" s="38"/>
      <c r="C39" s="38" t="s">
        <v>314</v>
      </c>
      <c r="D39" s="11"/>
      <c r="E39" s="11"/>
      <c r="F39" s="11"/>
      <c r="G39" s="11"/>
      <c r="H39" s="11"/>
      <c r="I39" s="11"/>
      <c r="J39" s="11"/>
      <c r="K39" s="11"/>
      <c r="L39" s="11">
        <v>8171.3125635100005</v>
      </c>
      <c r="M39" s="11">
        <v>8178.3703655900035</v>
      </c>
      <c r="N39" s="11">
        <v>8496.208682980001</v>
      </c>
      <c r="O39" s="11">
        <v>9177.044984690001</v>
      </c>
    </row>
    <row r="40" spans="1:15" x14ac:dyDescent="0.25">
      <c r="A40" s="38" t="s">
        <v>315</v>
      </c>
      <c r="B40" s="38"/>
      <c r="C40" s="38" t="s">
        <v>315</v>
      </c>
      <c r="D40" s="11"/>
      <c r="E40" s="11"/>
      <c r="F40" s="11"/>
      <c r="G40" s="11"/>
      <c r="H40" s="11"/>
      <c r="I40" s="11"/>
      <c r="J40" s="11"/>
      <c r="K40" s="11"/>
      <c r="L40" s="11">
        <v>7489.7513829300005</v>
      </c>
      <c r="M40" s="11">
        <v>7928.6169909900018</v>
      </c>
      <c r="N40" s="11">
        <v>7885.0600662499965</v>
      </c>
      <c r="O40" s="11">
        <v>8178.0678725999996</v>
      </c>
    </row>
    <row r="41" spans="1:15" x14ac:dyDescent="0.25">
      <c r="A41" s="53" t="s">
        <v>221</v>
      </c>
      <c r="B41" s="53"/>
      <c r="C41" s="53" t="s">
        <v>221</v>
      </c>
      <c r="D41" s="68"/>
      <c r="E41" s="68"/>
      <c r="F41" s="68"/>
      <c r="G41" s="68"/>
      <c r="H41" s="68"/>
      <c r="I41" s="68"/>
      <c r="J41" s="68"/>
      <c r="K41" s="68"/>
      <c r="L41" s="68">
        <f t="shared" ref="L41:N41" si="18">SUM(L37:L40)</f>
        <v>17856.635476170002</v>
      </c>
      <c r="M41" s="68">
        <f t="shared" si="18"/>
        <v>18218.736355140005</v>
      </c>
      <c r="N41" s="68">
        <f t="shared" si="18"/>
        <v>19231.243380689997</v>
      </c>
      <c r="O41" s="68">
        <f>SUM(O37:O40)</f>
        <v>20940.265563360001</v>
      </c>
    </row>
    <row r="42" spans="1:15" ht="30.75" customHeight="1" x14ac:dyDescent="0.25">
      <c r="A42" s="125" t="s">
        <v>320</v>
      </c>
      <c r="B42" s="125"/>
      <c r="C42" s="231" t="s">
        <v>759</v>
      </c>
      <c r="D42" s="11"/>
      <c r="E42" s="11"/>
      <c r="F42" s="11"/>
      <c r="G42" s="11"/>
      <c r="H42" s="11"/>
      <c r="I42" s="11"/>
      <c r="J42" s="11"/>
      <c r="K42" s="11"/>
      <c r="L42" s="11"/>
      <c r="M42" s="11"/>
      <c r="N42" s="11"/>
      <c r="O42" s="11"/>
    </row>
    <row r="43" spans="1:15" x14ac:dyDescent="0.25">
      <c r="D43" s="11"/>
      <c r="E43" s="11"/>
      <c r="F43" s="11"/>
      <c r="G43" s="11"/>
      <c r="H43" s="11"/>
      <c r="I43" s="11"/>
      <c r="J43" s="11"/>
      <c r="K43" s="11"/>
      <c r="L43" s="11"/>
      <c r="M43" s="11"/>
      <c r="N43" s="11"/>
      <c r="O43" s="11"/>
    </row>
    <row r="44" spans="1:15" x14ac:dyDescent="0.25">
      <c r="A44" s="54" t="s">
        <v>284</v>
      </c>
      <c r="B44" s="54"/>
      <c r="C44" s="54" t="s">
        <v>684</v>
      </c>
      <c r="D44" s="58"/>
      <c r="E44" s="58"/>
      <c r="F44" s="58"/>
      <c r="G44" s="58"/>
      <c r="H44" s="58"/>
      <c r="I44" s="58"/>
      <c r="J44" s="58"/>
      <c r="K44" s="58"/>
      <c r="L44" s="58"/>
      <c r="M44" s="58"/>
      <c r="N44" s="58"/>
      <c r="O44" s="58"/>
    </row>
    <row r="45" spans="1:15" x14ac:dyDescent="0.25">
      <c r="A45" s="38" t="s">
        <v>141</v>
      </c>
      <c r="B45" s="38"/>
      <c r="C45" s="38" t="s">
        <v>694</v>
      </c>
      <c r="D45" s="11">
        <v>2899.5999999999995</v>
      </c>
      <c r="E45" s="11">
        <v>3032.5499999999997</v>
      </c>
      <c r="F45" s="11">
        <v>2847.5999999999995</v>
      </c>
      <c r="G45" s="11">
        <v>3161.1899999999996</v>
      </c>
      <c r="H45" s="11">
        <v>2983.3</v>
      </c>
      <c r="I45" s="11">
        <v>3754.0549999999998</v>
      </c>
      <c r="J45" s="11">
        <v>3525.59</v>
      </c>
      <c r="K45" s="11">
        <v>4424.5910000000003</v>
      </c>
      <c r="L45" s="11">
        <v>3983.4</v>
      </c>
      <c r="M45" s="11">
        <v>4516.8109999999997</v>
      </c>
      <c r="N45" s="11">
        <v>4083.9340000000002</v>
      </c>
      <c r="O45" s="11">
        <v>4328.8999999999996</v>
      </c>
    </row>
    <row r="46" spans="1:15" x14ac:dyDescent="0.25">
      <c r="A46" s="38" t="s">
        <v>142</v>
      </c>
      <c r="B46" s="38"/>
      <c r="C46" s="38" t="s">
        <v>695</v>
      </c>
      <c r="D46" s="11">
        <v>4736.3900000000003</v>
      </c>
      <c r="E46" s="11">
        <v>4980.67</v>
      </c>
      <c r="F46" s="11">
        <v>5279.3</v>
      </c>
      <c r="G46" s="11">
        <v>5614.9800000000005</v>
      </c>
      <c r="H46" s="11">
        <v>5638.76</v>
      </c>
      <c r="I46" s="11">
        <v>5158.4920000000002</v>
      </c>
      <c r="J46" s="11">
        <v>6067.826</v>
      </c>
      <c r="K46" s="11">
        <v>6376.7719999999999</v>
      </c>
      <c r="L46" s="11">
        <v>7392.5</v>
      </c>
      <c r="M46" s="11">
        <v>7373.4660000000003</v>
      </c>
      <c r="N46" s="11">
        <v>7608.6940000000004</v>
      </c>
      <c r="O46" s="11">
        <v>7666.83</v>
      </c>
    </row>
    <row r="47" spans="1:15" x14ac:dyDescent="0.25">
      <c r="A47" s="38" t="s">
        <v>143</v>
      </c>
      <c r="B47" s="38"/>
      <c r="C47" s="38" t="s">
        <v>696</v>
      </c>
      <c r="D47" s="11">
        <v>3605.8599999999997</v>
      </c>
      <c r="E47" s="11">
        <v>3585.5200000000004</v>
      </c>
      <c r="F47" s="11">
        <v>3555.89</v>
      </c>
      <c r="G47" s="11">
        <v>3523.67</v>
      </c>
      <c r="H47" s="11">
        <v>3649.09</v>
      </c>
      <c r="I47" s="11">
        <v>3859.98</v>
      </c>
      <c r="J47" s="11">
        <v>4331.6670000000004</v>
      </c>
      <c r="K47" s="11">
        <v>4969.143</v>
      </c>
      <c r="L47" s="11">
        <v>5060.5</v>
      </c>
      <c r="M47" s="11">
        <v>5095.8829999999998</v>
      </c>
      <c r="N47" s="11">
        <v>5958.5290000000005</v>
      </c>
      <c r="O47" s="11">
        <v>7144.51</v>
      </c>
    </row>
    <row r="48" spans="1:15" x14ac:dyDescent="0.25">
      <c r="A48" s="38" t="s">
        <v>144</v>
      </c>
      <c r="B48" s="38"/>
      <c r="C48" s="38" t="s">
        <v>697</v>
      </c>
      <c r="D48" s="11">
        <v>683.73</v>
      </c>
      <c r="E48" s="11">
        <v>753.65</v>
      </c>
      <c r="F48" s="11">
        <v>754</v>
      </c>
      <c r="G48" s="11">
        <v>679.07999999999993</v>
      </c>
      <c r="H48" s="11">
        <v>793.71</v>
      </c>
      <c r="I48" s="11">
        <v>860.76800000000003</v>
      </c>
      <c r="J48" s="11">
        <v>1266.7380000000001</v>
      </c>
      <c r="K48" s="11">
        <v>1428.827</v>
      </c>
      <c r="L48" s="11">
        <v>1420.1</v>
      </c>
      <c r="M48" s="11">
        <v>1232.5709999999999</v>
      </c>
      <c r="N48" s="11">
        <v>1580.0920000000001</v>
      </c>
      <c r="O48" s="11">
        <v>1800.09</v>
      </c>
    </row>
    <row r="49" spans="1:15" x14ac:dyDescent="0.25">
      <c r="A49" s="53" t="s">
        <v>221</v>
      </c>
      <c r="B49" s="53"/>
      <c r="C49" s="53" t="s">
        <v>221</v>
      </c>
      <c r="D49" s="68">
        <f t="shared" ref="D49:H49" si="19">SUM(D45:D48)</f>
        <v>11925.579999999998</v>
      </c>
      <c r="E49" s="68">
        <f t="shared" si="19"/>
        <v>12352.39</v>
      </c>
      <c r="F49" s="68">
        <f t="shared" si="19"/>
        <v>12436.789999999999</v>
      </c>
      <c r="G49" s="68">
        <f t="shared" si="19"/>
        <v>12978.92</v>
      </c>
      <c r="H49" s="68">
        <f t="shared" si="19"/>
        <v>13064.86</v>
      </c>
      <c r="I49" s="68">
        <f t="shared" ref="I49:O49" si="20">SUM(I45:I48)</f>
        <v>13633.295</v>
      </c>
      <c r="J49" s="68">
        <f t="shared" si="20"/>
        <v>15191.821000000002</v>
      </c>
      <c r="K49" s="68">
        <f t="shared" si="20"/>
        <v>17199.333000000002</v>
      </c>
      <c r="L49" s="68">
        <f t="shared" si="20"/>
        <v>17856.5</v>
      </c>
      <c r="M49" s="68">
        <f t="shared" si="20"/>
        <v>18218.731</v>
      </c>
      <c r="N49" s="68">
        <f t="shared" si="20"/>
        <v>19231.249</v>
      </c>
      <c r="O49" s="68">
        <f t="shared" si="20"/>
        <v>20940.329999999998</v>
      </c>
    </row>
    <row r="50" spans="1:15" x14ac:dyDescent="0.25">
      <c r="C50" s="27"/>
      <c r="D50" s="11"/>
      <c r="E50" s="11"/>
      <c r="F50" s="11"/>
      <c r="G50" s="11"/>
      <c r="H50" s="11"/>
      <c r="I50" s="11"/>
      <c r="J50" s="11"/>
      <c r="K50" s="11"/>
      <c r="L50" s="11"/>
      <c r="M50" s="11"/>
      <c r="N50" s="11"/>
      <c r="O50" s="11"/>
    </row>
    <row r="51" spans="1:15" x14ac:dyDescent="0.25">
      <c r="A51" s="54" t="s">
        <v>229</v>
      </c>
      <c r="B51" s="54"/>
      <c r="C51" s="54" t="s">
        <v>760</v>
      </c>
      <c r="D51" s="59"/>
      <c r="E51" s="59"/>
      <c r="F51" s="59"/>
      <c r="G51" s="59"/>
      <c r="H51" s="59"/>
      <c r="I51" s="59"/>
      <c r="J51" s="59"/>
      <c r="K51" s="59"/>
      <c r="L51" s="59"/>
      <c r="M51" s="59"/>
      <c r="N51" s="59"/>
      <c r="O51" s="59"/>
    </row>
    <row r="52" spans="1:15" x14ac:dyDescent="0.25">
      <c r="A52" s="38" t="s">
        <v>141</v>
      </c>
      <c r="B52" s="38"/>
      <c r="C52" s="38" t="s">
        <v>694</v>
      </c>
      <c r="D52" s="11">
        <v>1825.84</v>
      </c>
      <c r="E52" s="11">
        <v>1197.52</v>
      </c>
      <c r="F52" s="11">
        <v>2009.14</v>
      </c>
      <c r="G52" s="11">
        <v>1730.59</v>
      </c>
      <c r="H52" s="11">
        <v>2261.84</v>
      </c>
      <c r="I52" s="11">
        <v>1788.6</v>
      </c>
      <c r="J52" s="11">
        <v>402.995</v>
      </c>
      <c r="K52" s="11">
        <v>2083.4879999999998</v>
      </c>
      <c r="L52" s="11">
        <v>1693.9</v>
      </c>
      <c r="M52" s="11">
        <v>1533.3689999999999</v>
      </c>
      <c r="N52" s="11">
        <v>1853.5150000000001</v>
      </c>
      <c r="O52" s="11">
        <v>1909.86</v>
      </c>
    </row>
    <row r="53" spans="1:15" x14ac:dyDescent="0.25">
      <c r="A53" s="38" t="s">
        <v>142</v>
      </c>
      <c r="B53" s="38"/>
      <c r="C53" s="38" t="s">
        <v>695</v>
      </c>
      <c r="D53" s="11">
        <v>4305.72</v>
      </c>
      <c r="E53" s="11">
        <v>5496.17</v>
      </c>
      <c r="F53" s="11">
        <v>5312.06</v>
      </c>
      <c r="G53" s="11">
        <v>6342.06</v>
      </c>
      <c r="H53" s="11">
        <v>6030.92</v>
      </c>
      <c r="I53" s="11">
        <v>5712.06</v>
      </c>
      <c r="J53" s="11">
        <v>5585.0280000000002</v>
      </c>
      <c r="K53" s="11">
        <v>3872.201</v>
      </c>
      <c r="L53" s="11">
        <v>4411.5</v>
      </c>
      <c r="M53" s="11">
        <v>4910.6880000000001</v>
      </c>
      <c r="N53" s="11">
        <v>4162.9260000000004</v>
      </c>
      <c r="O53" s="11">
        <v>4624.71</v>
      </c>
    </row>
    <row r="54" spans="1:15" x14ac:dyDescent="0.25">
      <c r="A54" s="38" t="s">
        <v>143</v>
      </c>
      <c r="B54" s="38"/>
      <c r="C54" s="38" t="s">
        <v>696</v>
      </c>
      <c r="D54" s="11">
        <v>4213</v>
      </c>
      <c r="E54" s="11">
        <v>4024.91</v>
      </c>
      <c r="F54" s="11">
        <v>3386.14</v>
      </c>
      <c r="G54" s="11">
        <v>2540.75</v>
      </c>
      <c r="H54" s="11">
        <v>2212.2399999999998</v>
      </c>
      <c r="I54" s="11">
        <v>2627.91</v>
      </c>
      <c r="J54" s="11">
        <v>3646.4850000000001</v>
      </c>
      <c r="K54" s="11">
        <v>3281.4879999999998</v>
      </c>
      <c r="L54" s="11">
        <v>3468.9</v>
      </c>
      <c r="M54" s="11">
        <v>3543.2539999999999</v>
      </c>
      <c r="N54" s="11">
        <v>3986.4549999999999</v>
      </c>
      <c r="O54" s="11">
        <v>3582.08</v>
      </c>
    </row>
    <row r="55" spans="1:15" x14ac:dyDescent="0.25">
      <c r="A55" s="38" t="s">
        <v>144</v>
      </c>
      <c r="B55" s="38"/>
      <c r="C55" s="38" t="s">
        <v>697</v>
      </c>
      <c r="D55" s="12">
        <v>298.95</v>
      </c>
      <c r="E55" s="12">
        <v>34.99</v>
      </c>
      <c r="F55" s="12">
        <v>10.92</v>
      </c>
      <c r="G55" s="12">
        <v>37.479999999999997</v>
      </c>
      <c r="H55" s="12">
        <v>35.65</v>
      </c>
      <c r="I55" s="12">
        <v>36.08</v>
      </c>
      <c r="J55" s="12">
        <v>54.932000000000002</v>
      </c>
      <c r="K55" s="12">
        <v>18.949000000000002</v>
      </c>
      <c r="L55" s="12">
        <v>18.98</v>
      </c>
      <c r="M55" s="12">
        <v>27.414999999999999</v>
      </c>
      <c r="N55" s="12">
        <v>27.414999999999999</v>
      </c>
      <c r="O55" s="12">
        <v>44.32</v>
      </c>
    </row>
    <row r="56" spans="1:15" x14ac:dyDescent="0.25">
      <c r="A56" s="53" t="s">
        <v>221</v>
      </c>
      <c r="B56" s="53"/>
      <c r="C56" s="53" t="s">
        <v>221</v>
      </c>
      <c r="D56" s="69">
        <f t="shared" ref="D56:H56" si="21">SUM(D52:D55)</f>
        <v>10643.510000000002</v>
      </c>
      <c r="E56" s="69">
        <f t="shared" si="21"/>
        <v>10753.59</v>
      </c>
      <c r="F56" s="69">
        <f t="shared" si="21"/>
        <v>10718.26</v>
      </c>
      <c r="G56" s="69">
        <f t="shared" si="21"/>
        <v>10650.880000000001</v>
      </c>
      <c r="H56" s="69">
        <f t="shared" si="21"/>
        <v>10540.65</v>
      </c>
      <c r="I56" s="69">
        <f t="shared" ref="I56:O56" si="22">SUM(I52:I55)</f>
        <v>10164.65</v>
      </c>
      <c r="J56" s="69">
        <f t="shared" si="22"/>
        <v>9689.44</v>
      </c>
      <c r="K56" s="69">
        <f t="shared" si="22"/>
        <v>9256.1260000000002</v>
      </c>
      <c r="L56" s="69">
        <f t="shared" si="22"/>
        <v>9593.2799999999988</v>
      </c>
      <c r="M56" s="69">
        <f t="shared" si="22"/>
        <v>10014.726000000001</v>
      </c>
      <c r="N56" s="69">
        <f t="shared" si="22"/>
        <v>10030.311000000002</v>
      </c>
      <c r="O56" s="69">
        <f t="shared" si="22"/>
        <v>10160.969999999999</v>
      </c>
    </row>
    <row r="57" spans="1:15" x14ac:dyDescent="0.25">
      <c r="C57" s="27"/>
      <c r="D57" s="33"/>
      <c r="E57" s="33"/>
      <c r="F57" s="33"/>
      <c r="G57" s="33"/>
      <c r="H57" s="33"/>
      <c r="I57" s="33"/>
      <c r="J57" s="33"/>
      <c r="K57" s="33"/>
      <c r="L57" s="33"/>
      <c r="M57" s="33"/>
      <c r="N57" s="33"/>
      <c r="O57" s="33"/>
    </row>
    <row r="58" spans="1:15" x14ac:dyDescent="0.25">
      <c r="A58" s="54" t="s">
        <v>228</v>
      </c>
      <c r="B58" s="54"/>
      <c r="C58" s="54" t="s">
        <v>761</v>
      </c>
      <c r="D58" s="59"/>
      <c r="E58" s="59"/>
      <c r="F58" s="59"/>
      <c r="G58" s="59"/>
      <c r="H58" s="59"/>
      <c r="I58" s="59"/>
      <c r="J58" s="59"/>
      <c r="K58" s="59"/>
      <c r="L58" s="59"/>
      <c r="M58" s="59"/>
      <c r="N58" s="59"/>
      <c r="O58" s="59"/>
    </row>
    <row r="59" spans="1:15" x14ac:dyDescent="0.25">
      <c r="A59" s="38" t="s">
        <v>145</v>
      </c>
      <c r="B59" s="38"/>
      <c r="C59" s="38" t="s">
        <v>145</v>
      </c>
      <c r="D59" s="12">
        <v>612.34970599999974</v>
      </c>
      <c r="E59" s="12">
        <v>820.36300000000006</v>
      </c>
      <c r="F59" s="12">
        <v>761.00344126999983</v>
      </c>
      <c r="G59" s="12">
        <v>1314.16493227</v>
      </c>
      <c r="H59" s="12">
        <v>1373.8901228799996</v>
      </c>
      <c r="I59" s="12">
        <v>1670.4039664200002</v>
      </c>
      <c r="J59" s="12">
        <v>1800.7180000000001</v>
      </c>
      <c r="K59" s="12">
        <v>3152.8072661200044</v>
      </c>
      <c r="L59" s="12">
        <v>2649.255912470001</v>
      </c>
      <c r="M59" s="12">
        <v>2389.665678169999</v>
      </c>
      <c r="N59" s="12">
        <v>2432.6109956199998</v>
      </c>
      <c r="O59" s="12">
        <v>3225.6976620199998</v>
      </c>
    </row>
    <row r="60" spans="1:15" x14ac:dyDescent="0.25">
      <c r="A60" s="38" t="s">
        <v>146</v>
      </c>
      <c r="B60" s="38"/>
      <c r="C60" s="38" t="s">
        <v>146</v>
      </c>
      <c r="D60" s="12">
        <v>4328.8936745599985</v>
      </c>
      <c r="E60" s="12">
        <v>4419.9769999999999</v>
      </c>
      <c r="F60" s="12">
        <v>4236.3756782299952</v>
      </c>
      <c r="G60" s="12">
        <v>4443.1984853900012</v>
      </c>
      <c r="H60" s="12">
        <v>4686.9652970199995</v>
      </c>
      <c r="I60" s="12">
        <v>4698.7546938999958</v>
      </c>
      <c r="J60" s="12">
        <v>5138.7309999999998</v>
      </c>
      <c r="K60" s="12">
        <v>5262.5014225500054</v>
      </c>
      <c r="L60" s="12">
        <v>6009.0979033100029</v>
      </c>
      <c r="M60" s="12">
        <v>5659.0207417600013</v>
      </c>
      <c r="N60" s="12">
        <v>6540.0910667600019</v>
      </c>
      <c r="O60" s="12">
        <v>7240.6500661099999</v>
      </c>
    </row>
    <row r="61" spans="1:15" x14ac:dyDescent="0.25">
      <c r="A61" s="38" t="s">
        <v>147</v>
      </c>
      <c r="B61" s="38"/>
      <c r="C61" s="38" t="s">
        <v>147</v>
      </c>
      <c r="D61" s="12">
        <v>5101.9198732099958</v>
      </c>
      <c r="E61" s="12">
        <v>5068.8580000000002</v>
      </c>
      <c r="F61" s="12">
        <v>5207.2677891999865</v>
      </c>
      <c r="G61" s="12">
        <v>5052.1628975799922</v>
      </c>
      <c r="H61" s="12">
        <v>4724.0908076499945</v>
      </c>
      <c r="I61" s="12">
        <v>5051.3094883700114</v>
      </c>
      <c r="J61" s="12">
        <v>6051.5029999999997</v>
      </c>
      <c r="K61" s="12">
        <v>6426.835</v>
      </c>
      <c r="L61" s="12">
        <v>6471.1088234200088</v>
      </c>
      <c r="M61" s="12">
        <v>7109.8935363899964</v>
      </c>
      <c r="N61" s="12">
        <v>6991.8161634100006</v>
      </c>
      <c r="O61" s="12">
        <v>7664.9714498899903</v>
      </c>
    </row>
    <row r="62" spans="1:15" x14ac:dyDescent="0.25">
      <c r="A62" s="38" t="s">
        <v>148</v>
      </c>
      <c r="B62" s="38"/>
      <c r="C62" s="38" t="s">
        <v>148</v>
      </c>
      <c r="D62" s="12">
        <v>1318.9442275499998</v>
      </c>
      <c r="E62" s="12">
        <v>1408.027</v>
      </c>
      <c r="F62" s="12">
        <v>1555.6158952299988</v>
      </c>
      <c r="G62" s="12">
        <v>1479.14339307</v>
      </c>
      <c r="H62" s="12">
        <v>1576.4854582599996</v>
      </c>
      <c r="I62" s="12">
        <v>1463.8715526200006</v>
      </c>
      <c r="J62" s="12">
        <v>1497.107</v>
      </c>
      <c r="K62" s="12">
        <v>1632.114</v>
      </c>
      <c r="L62" s="12">
        <v>1995.545429660001</v>
      </c>
      <c r="M62" s="12">
        <v>2081.6171725000008</v>
      </c>
      <c r="N62" s="12">
        <v>2259.4662673999997</v>
      </c>
      <c r="O62" s="12">
        <v>1888.9957477999999</v>
      </c>
    </row>
    <row r="63" spans="1:15" x14ac:dyDescent="0.25">
      <c r="A63" s="38" t="s">
        <v>149</v>
      </c>
      <c r="B63" s="38"/>
      <c r="C63" s="38" t="s">
        <v>149</v>
      </c>
      <c r="D63" s="12">
        <v>298.54402379000004</v>
      </c>
      <c r="E63" s="12">
        <v>358.51400000000001</v>
      </c>
      <c r="F63" s="12">
        <v>323.18976134000019</v>
      </c>
      <c r="G63" s="12">
        <v>317.32252876000007</v>
      </c>
      <c r="H63" s="12">
        <v>265.70965277000005</v>
      </c>
      <c r="I63" s="12">
        <v>320.57326985999993</v>
      </c>
      <c r="J63" s="12">
        <v>289.20999999999998</v>
      </c>
      <c r="K63" s="12">
        <v>280.935</v>
      </c>
      <c r="L63" s="12">
        <v>269.98002735999995</v>
      </c>
      <c r="M63" s="12">
        <v>502.84552206999996</v>
      </c>
      <c r="N63" s="12">
        <v>514.90464108000003</v>
      </c>
      <c r="O63" s="12">
        <v>202.03686624000002</v>
      </c>
    </row>
    <row r="64" spans="1:15" x14ac:dyDescent="0.25">
      <c r="A64" s="38" t="s">
        <v>150</v>
      </c>
      <c r="B64" s="38"/>
      <c r="C64" s="38" t="s">
        <v>150</v>
      </c>
      <c r="D64" s="12">
        <v>152.05404627000001</v>
      </c>
      <c r="E64" s="12">
        <v>184.494</v>
      </c>
      <c r="F64" s="12">
        <v>255.49172218999996</v>
      </c>
      <c r="G64" s="12">
        <v>232.45020170000001</v>
      </c>
      <c r="H64" s="12">
        <v>295.84460705999999</v>
      </c>
      <c r="I64" s="12">
        <v>267.04116418000007</v>
      </c>
      <c r="J64" s="12">
        <v>141.352</v>
      </c>
      <c r="K64" s="12">
        <v>182.59800000000001</v>
      </c>
      <c r="L64" s="12">
        <v>114.53130017000001</v>
      </c>
      <c r="M64" s="12">
        <v>115.54124867000002</v>
      </c>
      <c r="N64" s="12">
        <v>139.85646672999999</v>
      </c>
      <c r="O64" s="12">
        <v>322.88037044999999</v>
      </c>
    </row>
    <row r="65" spans="1:15" x14ac:dyDescent="0.25">
      <c r="A65" s="38" t="s">
        <v>151</v>
      </c>
      <c r="B65" s="38"/>
      <c r="C65" s="38" t="s">
        <v>151</v>
      </c>
      <c r="D65" s="12">
        <v>28.988714000000002</v>
      </c>
      <c r="E65" s="12">
        <v>24.652999999999999</v>
      </c>
      <c r="F65" s="12">
        <v>16.785265920000001</v>
      </c>
      <c r="G65" s="12">
        <v>40.677555480000002</v>
      </c>
      <c r="H65" s="12">
        <v>43.4106466</v>
      </c>
      <c r="I65" s="12">
        <v>42.654991489999993</v>
      </c>
      <c r="J65" s="12">
        <v>158.643</v>
      </c>
      <c r="K65" s="12">
        <v>107.449</v>
      </c>
      <c r="L65" s="12">
        <v>199.13189313999999</v>
      </c>
      <c r="M65" s="12">
        <v>99.018078820000014</v>
      </c>
      <c r="N65" s="12">
        <v>54.330509380000002</v>
      </c>
      <c r="O65" s="12">
        <v>136.26234740000001</v>
      </c>
    </row>
    <row r="66" spans="1:15" x14ac:dyDescent="0.25">
      <c r="A66" s="38" t="s">
        <v>152</v>
      </c>
      <c r="B66" s="38"/>
      <c r="C66" s="38" t="s">
        <v>152</v>
      </c>
      <c r="D66" s="12">
        <v>29.886842009999995</v>
      </c>
      <c r="E66" s="12">
        <v>30.349</v>
      </c>
      <c r="F66" s="12">
        <v>40.229353340000003</v>
      </c>
      <c r="G66" s="12">
        <v>46.833807160000006</v>
      </c>
      <c r="H66" s="12">
        <v>47.085909140000012</v>
      </c>
      <c r="I66" s="12">
        <v>58.969200330000007</v>
      </c>
      <c r="J66" s="12">
        <v>40.888000000000005</v>
      </c>
      <c r="K66" s="12">
        <v>69.793999999999997</v>
      </c>
      <c r="L66" s="12">
        <v>71.546722080000009</v>
      </c>
      <c r="M66" s="12">
        <v>177.23692637000002</v>
      </c>
      <c r="N66" s="12">
        <v>97.597742389999993</v>
      </c>
      <c r="O66" s="12">
        <v>108.49735803999999</v>
      </c>
    </row>
    <row r="67" spans="1:15" x14ac:dyDescent="0.25">
      <c r="A67" s="38" t="s">
        <v>153</v>
      </c>
      <c r="B67" s="38"/>
      <c r="C67" s="38" t="s">
        <v>153</v>
      </c>
      <c r="D67" s="12">
        <v>53.987164450000016</v>
      </c>
      <c r="E67" s="12">
        <v>37.152000000000001</v>
      </c>
      <c r="F67" s="12">
        <v>40.788397750000001</v>
      </c>
      <c r="G67" s="12">
        <v>52.934695949999998</v>
      </c>
      <c r="H67" s="12">
        <v>51.321284749999997</v>
      </c>
      <c r="I67" s="12">
        <v>59.664686400000001</v>
      </c>
      <c r="J67" s="12">
        <v>73.619</v>
      </c>
      <c r="K67" s="12">
        <v>84.299522479999993</v>
      </c>
      <c r="L67" s="12">
        <v>76.437464559999995</v>
      </c>
      <c r="M67" s="12">
        <v>83.897450390000003</v>
      </c>
      <c r="N67" s="12">
        <v>200.56952791999998</v>
      </c>
      <c r="O67" s="12">
        <v>150.27369535</v>
      </c>
    </row>
    <row r="68" spans="1:15" s="1" customFormat="1" x14ac:dyDescent="0.25">
      <c r="A68" s="86" t="s">
        <v>221</v>
      </c>
      <c r="B68" s="86"/>
      <c r="C68" s="86" t="s">
        <v>221</v>
      </c>
      <c r="D68" s="64">
        <v>11925.568271839995</v>
      </c>
      <c r="E68" s="64">
        <v>12352.387000000001</v>
      </c>
      <c r="F68" s="64">
        <v>12436.747304469982</v>
      </c>
      <c r="G68" s="64">
        <v>12978.888497359992</v>
      </c>
      <c r="H68" s="64">
        <v>13064.803786129993</v>
      </c>
      <c r="I68" s="66">
        <f t="shared" ref="I68:O68" si="23">SUM(I59:I67)</f>
        <v>13633.243013570011</v>
      </c>
      <c r="J68" s="66">
        <f t="shared" si="23"/>
        <v>15191.771000000001</v>
      </c>
      <c r="K68" s="66">
        <f t="shared" si="23"/>
        <v>17199.333211150017</v>
      </c>
      <c r="L68" s="66">
        <f t="shared" si="23"/>
        <v>17856.635476170013</v>
      </c>
      <c r="M68" s="66">
        <f t="shared" si="23"/>
        <v>18218.736355139998</v>
      </c>
      <c r="N68" s="66">
        <f t="shared" si="23"/>
        <v>19231.243380690004</v>
      </c>
      <c r="O68" s="66">
        <f t="shared" si="23"/>
        <v>20940.265563299989</v>
      </c>
    </row>
    <row r="70" spans="1:15" x14ac:dyDescent="0.25">
      <c r="A70" s="54" t="s">
        <v>282</v>
      </c>
      <c r="B70" s="54"/>
      <c r="C70" s="54" t="s">
        <v>762</v>
      </c>
      <c r="D70" s="58"/>
      <c r="E70" s="58"/>
      <c r="F70" s="58"/>
      <c r="G70" s="58"/>
      <c r="H70" s="58"/>
      <c r="I70" s="58"/>
      <c r="J70" s="58"/>
      <c r="K70" s="58"/>
      <c r="L70" s="58"/>
      <c r="M70" s="58"/>
      <c r="N70" s="58"/>
      <c r="O70" s="58"/>
    </row>
    <row r="71" spans="1:15" x14ac:dyDescent="0.25">
      <c r="A71" s="38" t="s">
        <v>280</v>
      </c>
      <c r="B71" s="38"/>
      <c r="C71" s="38" t="s">
        <v>702</v>
      </c>
      <c r="D71" s="12">
        <v>346.46300000000002</v>
      </c>
      <c r="E71" s="12">
        <v>335.38401292999998</v>
      </c>
      <c r="F71" s="12">
        <v>388.69600000000003</v>
      </c>
      <c r="G71" s="12">
        <v>356.75200000000001</v>
      </c>
      <c r="H71" s="12">
        <v>337.89499999999998</v>
      </c>
      <c r="I71" s="12">
        <v>292.428</v>
      </c>
      <c r="J71" s="12">
        <v>270.161</v>
      </c>
      <c r="K71" s="12">
        <v>163.28700000000001</v>
      </c>
      <c r="L71" s="12">
        <v>166.09299999999999</v>
      </c>
      <c r="M71" s="12">
        <v>315.69600000000003</v>
      </c>
      <c r="N71" s="12">
        <v>201.12299999999999</v>
      </c>
      <c r="O71" s="12">
        <v>212.22399999999999</v>
      </c>
    </row>
    <row r="72" spans="1:15" x14ac:dyDescent="0.25">
      <c r="A72" s="38" t="s">
        <v>281</v>
      </c>
      <c r="B72" s="38"/>
      <c r="C72" s="38" t="s">
        <v>710</v>
      </c>
      <c r="D72" s="12">
        <v>1.827</v>
      </c>
      <c r="E72" s="12">
        <v>1.4470000000000001</v>
      </c>
      <c r="F72" s="12">
        <v>1.266</v>
      </c>
      <c r="G72" s="12">
        <v>12.176999999999998</v>
      </c>
      <c r="H72" s="12">
        <v>2.5099999999999998</v>
      </c>
      <c r="I72" s="12">
        <v>2.9740000000000002</v>
      </c>
      <c r="J72" s="12">
        <v>2.1796537499999999</v>
      </c>
      <c r="K72" s="12">
        <v>3.8213462499999995</v>
      </c>
      <c r="L72" s="12">
        <v>0.36899999999999999</v>
      </c>
      <c r="M72" s="12">
        <v>9.4506454740000017</v>
      </c>
      <c r="N72" s="12">
        <v>1.7117132799999999</v>
      </c>
      <c r="O72" s="12">
        <v>1.17300786</v>
      </c>
    </row>
    <row r="73" spans="1:15" x14ac:dyDescent="0.25">
      <c r="A73" s="38"/>
      <c r="B73" s="38"/>
    </row>
    <row r="74" spans="1:15" s="1" customFormat="1" x14ac:dyDescent="0.25">
      <c r="A74" s="54" t="s">
        <v>283</v>
      </c>
      <c r="B74" s="54"/>
      <c r="C74" s="54" t="s">
        <v>763</v>
      </c>
      <c r="D74" s="111">
        <v>87.699515719999994</v>
      </c>
      <c r="E74" s="111">
        <v>38.026235600000007</v>
      </c>
      <c r="F74" s="111">
        <v>4.1458337500000004</v>
      </c>
      <c r="G74" s="111">
        <v>6.37198025</v>
      </c>
      <c r="H74" s="111">
        <v>6.2385503299999998</v>
      </c>
      <c r="I74" s="111">
        <v>6.1961112100000006</v>
      </c>
      <c r="J74" s="111">
        <v>12.159046829999999</v>
      </c>
      <c r="K74" s="111">
        <v>9.3951525500000006</v>
      </c>
      <c r="L74" s="111">
        <v>15.40781048</v>
      </c>
      <c r="M74" s="111">
        <v>39.057897509999997</v>
      </c>
      <c r="N74" s="111">
        <v>14.586028929999999</v>
      </c>
      <c r="O74" s="111">
        <v>19.259757530000002</v>
      </c>
    </row>
    <row r="76" spans="1:15" ht="15.75" x14ac:dyDescent="0.25">
      <c r="A76" s="109" t="s">
        <v>250</v>
      </c>
      <c r="B76" s="109"/>
      <c r="C76" s="39" t="s">
        <v>764</v>
      </c>
    </row>
    <row r="77" spans="1:15" x14ac:dyDescent="0.25">
      <c r="A77" s="1"/>
      <c r="B77" s="1"/>
      <c r="C77" s="232"/>
    </row>
    <row r="78" spans="1:15" x14ac:dyDescent="0.25">
      <c r="A78" s="96" t="s">
        <v>158</v>
      </c>
      <c r="B78" s="96"/>
      <c r="C78" s="96" t="s">
        <v>158</v>
      </c>
      <c r="D78" s="65"/>
      <c r="E78" s="65"/>
      <c r="F78" s="65"/>
      <c r="G78" s="65"/>
      <c r="H78" s="65"/>
      <c r="I78" s="65"/>
      <c r="J78" s="65"/>
      <c r="K78" s="65"/>
      <c r="L78" s="65"/>
      <c r="M78" s="65"/>
      <c r="N78" s="65"/>
      <c r="O78" s="65"/>
    </row>
    <row r="79" spans="1:15" x14ac:dyDescent="0.25">
      <c r="A79" s="38" t="s">
        <v>836</v>
      </c>
      <c r="B79" s="38"/>
      <c r="C79" s="38" t="s">
        <v>838</v>
      </c>
      <c r="D79" s="7">
        <v>774</v>
      </c>
      <c r="E79" s="67">
        <v>412</v>
      </c>
      <c r="F79" s="67">
        <v>429</v>
      </c>
      <c r="G79" s="7">
        <v>406</v>
      </c>
      <c r="H79" s="8">
        <v>408</v>
      </c>
      <c r="I79" s="8">
        <v>400</v>
      </c>
      <c r="J79" s="8">
        <v>400</v>
      </c>
      <c r="K79" s="8">
        <v>414</v>
      </c>
      <c r="L79" s="8">
        <v>419</v>
      </c>
      <c r="M79" s="8">
        <v>402</v>
      </c>
      <c r="N79" s="11">
        <v>407</v>
      </c>
      <c r="O79" s="11">
        <v>430</v>
      </c>
    </row>
    <row r="80" spans="1:15" x14ac:dyDescent="0.25">
      <c r="A80" s="38" t="s">
        <v>837</v>
      </c>
      <c r="B80" s="38"/>
      <c r="C80" s="38" t="s">
        <v>839</v>
      </c>
      <c r="D80" s="7">
        <v>503</v>
      </c>
      <c r="E80" s="67">
        <v>260</v>
      </c>
      <c r="F80" s="67">
        <v>266</v>
      </c>
      <c r="G80" s="7">
        <v>249</v>
      </c>
      <c r="H80" s="8">
        <v>255</v>
      </c>
      <c r="I80" s="8">
        <v>256</v>
      </c>
      <c r="J80" s="8">
        <v>231</v>
      </c>
      <c r="K80" s="8">
        <v>237</v>
      </c>
      <c r="L80" s="8">
        <v>246</v>
      </c>
      <c r="M80" s="8">
        <v>249</v>
      </c>
      <c r="N80" s="11">
        <v>239</v>
      </c>
      <c r="O80" s="11">
        <v>247</v>
      </c>
    </row>
    <row r="81" spans="1:15" x14ac:dyDescent="0.25">
      <c r="A81" s="38" t="s">
        <v>223</v>
      </c>
      <c r="B81" s="38"/>
      <c r="C81" s="38" t="s">
        <v>765</v>
      </c>
      <c r="D81" s="12">
        <v>26.039727359224649</v>
      </c>
      <c r="E81" s="11">
        <v>51.307727776538449</v>
      </c>
      <c r="F81" s="12">
        <v>50.317829736466138</v>
      </c>
      <c r="G81" s="12">
        <v>55.107064863975914</v>
      </c>
      <c r="H81" s="11">
        <v>52.469198203019616</v>
      </c>
      <c r="I81" s="11">
        <v>51.7</v>
      </c>
      <c r="J81" s="11">
        <v>57.246273874632038</v>
      </c>
      <c r="K81" s="11">
        <v>57.536266441392385</v>
      </c>
      <c r="L81" s="11">
        <v>56.409336472926888</v>
      </c>
      <c r="M81" s="11">
        <v>58.795280677108458</v>
      </c>
      <c r="N81" s="8">
        <v>59.049508723933052</v>
      </c>
      <c r="O81" s="8">
        <v>58.815312461498017</v>
      </c>
    </row>
    <row r="82" spans="1:15" x14ac:dyDescent="0.25">
      <c r="A82" s="38" t="s">
        <v>295</v>
      </c>
      <c r="B82" s="38"/>
      <c r="C82" s="38" t="s">
        <v>766</v>
      </c>
      <c r="D82" s="7">
        <v>376</v>
      </c>
      <c r="E82" s="67">
        <v>356.52520811315486</v>
      </c>
      <c r="F82" s="67">
        <v>346.26787386819927</v>
      </c>
      <c r="G82" s="7">
        <v>318.0186496362457</v>
      </c>
      <c r="H82" s="8">
        <v>289.85630557384985</v>
      </c>
      <c r="I82" s="8">
        <v>303.49365587419629</v>
      </c>
      <c r="J82" s="8">
        <v>344</v>
      </c>
      <c r="K82" s="8">
        <v>361</v>
      </c>
      <c r="L82" s="8">
        <v>376</v>
      </c>
      <c r="M82" s="7">
        <v>367</v>
      </c>
      <c r="N82" s="8">
        <v>355.49845748903874</v>
      </c>
      <c r="O82" s="8">
        <v>358.53146362845098</v>
      </c>
    </row>
    <row r="83" spans="1:15" x14ac:dyDescent="0.25">
      <c r="A83" s="38"/>
      <c r="B83" s="38"/>
      <c r="C83" s="27"/>
      <c r="D83" s="7"/>
      <c r="E83" s="67"/>
      <c r="F83" s="67"/>
      <c r="G83" s="7"/>
      <c r="H83" s="8"/>
      <c r="I83" s="8"/>
      <c r="J83" s="8"/>
      <c r="K83" s="8"/>
      <c r="L83" s="8"/>
      <c r="M83" s="7"/>
      <c r="N83" s="7"/>
      <c r="O83" s="7"/>
    </row>
    <row r="84" spans="1:15" x14ac:dyDescent="0.25">
      <c r="A84" s="54" t="s">
        <v>227</v>
      </c>
      <c r="B84" s="54"/>
      <c r="C84" s="54" t="s">
        <v>767</v>
      </c>
      <c r="D84" s="65"/>
      <c r="E84" s="65"/>
      <c r="F84" s="65"/>
      <c r="G84" s="65"/>
      <c r="H84" s="65"/>
      <c r="I84" s="65"/>
      <c r="J84" s="65"/>
      <c r="K84" s="65"/>
      <c r="L84" s="65"/>
      <c r="M84" s="65"/>
      <c r="N84" s="65"/>
      <c r="O84" s="65"/>
    </row>
    <row r="85" spans="1:15" x14ac:dyDescent="0.25">
      <c r="A85" s="38" t="s">
        <v>235</v>
      </c>
      <c r="B85" s="38"/>
      <c r="C85" s="38" t="s">
        <v>235</v>
      </c>
      <c r="D85" s="28">
        <v>0.65772851480649797</v>
      </c>
      <c r="E85" s="119">
        <v>0.64259190241777575</v>
      </c>
      <c r="F85" s="28">
        <v>0.6427612527133465</v>
      </c>
      <c r="G85" s="28">
        <v>0.63787248358384574</v>
      </c>
      <c r="H85" s="119">
        <v>0.64322909673583639</v>
      </c>
      <c r="I85" s="119">
        <v>0.61972108444569818</v>
      </c>
      <c r="J85" s="119">
        <v>0.59878430115973647</v>
      </c>
      <c r="K85" s="119">
        <v>0.60934596532448915</v>
      </c>
      <c r="L85" s="119">
        <v>0.61812924870158537</v>
      </c>
      <c r="M85" s="119">
        <v>0.60026101990861558</v>
      </c>
      <c r="N85" s="119">
        <v>0.59563513186512151</v>
      </c>
      <c r="O85" s="119">
        <v>0.56211432689735741</v>
      </c>
    </row>
    <row r="86" spans="1:15" x14ac:dyDescent="0.25">
      <c r="A86" s="38" t="s">
        <v>288</v>
      </c>
      <c r="B86" s="38"/>
      <c r="C86" s="38" t="s">
        <v>288</v>
      </c>
      <c r="D86" s="28">
        <v>0.22865240886889918</v>
      </c>
      <c r="E86" s="119">
        <v>0.27416546972580486</v>
      </c>
      <c r="F86" s="28">
        <v>0.23131383187652826</v>
      </c>
      <c r="G86" s="28">
        <v>0.24048595876930615</v>
      </c>
      <c r="H86" s="119">
        <v>0.2748334078487098</v>
      </c>
      <c r="I86" s="119">
        <v>0.29690512319316809</v>
      </c>
      <c r="J86" s="119">
        <v>0.30613574312401493</v>
      </c>
      <c r="K86" s="119">
        <v>0.30804732270451551</v>
      </c>
      <c r="L86" s="119">
        <v>0.29377402520643664</v>
      </c>
      <c r="M86" s="119">
        <v>0.30073551457461228</v>
      </c>
      <c r="N86" s="119">
        <v>0.2986555744977038</v>
      </c>
      <c r="O86" s="119">
        <v>0.33222480460265752</v>
      </c>
    </row>
    <row r="87" spans="1:15" x14ac:dyDescent="0.25">
      <c r="A87" s="38" t="s">
        <v>139</v>
      </c>
      <c r="B87" s="38"/>
      <c r="C87" s="38" t="s">
        <v>691</v>
      </c>
      <c r="D87" s="118">
        <v>0.11361907632460284</v>
      </c>
      <c r="E87" s="20">
        <v>8.3242627856419421E-2</v>
      </c>
      <c r="F87" s="118">
        <v>0.12592491541012524</v>
      </c>
      <c r="G87" s="118">
        <v>0.12164155764684811</v>
      </c>
      <c r="H87" s="20">
        <v>8.1937495415453795E-2</v>
      </c>
      <c r="I87" s="20">
        <v>8.3373792361133653E-2</v>
      </c>
      <c r="J87" s="20">
        <v>9.5079955716248638E-2</v>
      </c>
      <c r="K87" s="20">
        <v>8.2606711970995311E-2</v>
      </c>
      <c r="L87" s="20">
        <v>8.8096726091977953E-2</v>
      </c>
      <c r="M87" s="20">
        <v>9.9003465516772235E-2</v>
      </c>
      <c r="N87" s="20">
        <v>0.10570929363717473</v>
      </c>
      <c r="O87" s="20">
        <v>0.10566086849998502</v>
      </c>
    </row>
    <row r="88" spans="1:15" ht="4.5" customHeight="1" x14ac:dyDescent="0.25">
      <c r="A88" s="73"/>
      <c r="B88" s="73"/>
      <c r="C88" s="73"/>
      <c r="D88" s="62"/>
      <c r="E88" s="63"/>
      <c r="F88" s="62"/>
      <c r="G88" s="62"/>
      <c r="H88" s="63"/>
      <c r="I88" s="63"/>
      <c r="J88" s="63"/>
      <c r="K88" s="63"/>
      <c r="L88" s="63"/>
      <c r="M88" s="63"/>
      <c r="N88" s="63"/>
      <c r="O88" s="63"/>
    </row>
    <row r="89" spans="1:15" x14ac:dyDescent="0.25">
      <c r="A89" s="27"/>
      <c r="B89" s="27"/>
      <c r="C89" s="27"/>
      <c r="D89" s="15"/>
      <c r="E89" s="15"/>
      <c r="F89" s="15"/>
      <c r="G89" s="15"/>
      <c r="H89" s="15"/>
      <c r="I89" s="15"/>
      <c r="J89" s="15"/>
      <c r="K89" s="15"/>
      <c r="L89" s="15"/>
      <c r="M89" s="15"/>
      <c r="N89" s="15"/>
      <c r="O89" s="15"/>
    </row>
    <row r="90" spans="1:15" x14ac:dyDescent="0.25">
      <c r="A90" s="54" t="s">
        <v>159</v>
      </c>
      <c r="B90" s="54"/>
      <c r="C90" s="54" t="s">
        <v>159</v>
      </c>
      <c r="D90" s="65"/>
      <c r="E90" s="65"/>
      <c r="F90" s="65"/>
      <c r="G90" s="65"/>
      <c r="H90" s="65"/>
      <c r="I90" s="65"/>
      <c r="J90" s="65"/>
      <c r="K90" s="65"/>
      <c r="L90" s="65"/>
      <c r="M90" s="65"/>
      <c r="N90" s="65"/>
      <c r="O90" s="65"/>
    </row>
    <row r="91" spans="1:15" x14ac:dyDescent="0.25">
      <c r="A91" s="38" t="s">
        <v>836</v>
      </c>
      <c r="B91" s="38"/>
      <c r="C91" s="38" t="s">
        <v>838</v>
      </c>
      <c r="D91" s="7">
        <v>1131</v>
      </c>
      <c r="E91" s="8">
        <v>1292</v>
      </c>
      <c r="F91" s="8">
        <v>1292</v>
      </c>
      <c r="G91" s="7">
        <v>1198</v>
      </c>
      <c r="H91" s="8">
        <v>1176</v>
      </c>
      <c r="I91" s="8">
        <v>1163</v>
      </c>
      <c r="J91" s="8">
        <v>1098</v>
      </c>
      <c r="K91" s="8">
        <v>1097</v>
      </c>
      <c r="L91" s="8">
        <v>1079</v>
      </c>
      <c r="M91" s="8">
        <v>1036</v>
      </c>
      <c r="N91" s="11">
        <v>1089</v>
      </c>
      <c r="O91" s="11">
        <v>1238</v>
      </c>
    </row>
    <row r="92" spans="1:15" x14ac:dyDescent="0.25">
      <c r="A92" s="38" t="s">
        <v>837</v>
      </c>
      <c r="B92" s="38"/>
      <c r="C92" s="38" t="s">
        <v>839</v>
      </c>
      <c r="D92" s="7">
        <v>773</v>
      </c>
      <c r="E92" s="8">
        <v>883</v>
      </c>
      <c r="F92" s="8">
        <v>884</v>
      </c>
      <c r="G92" s="7">
        <v>771</v>
      </c>
      <c r="H92" s="8">
        <v>752</v>
      </c>
      <c r="I92" s="8">
        <v>769</v>
      </c>
      <c r="J92" s="8">
        <v>779</v>
      </c>
      <c r="K92" s="8">
        <v>793</v>
      </c>
      <c r="L92" s="8">
        <v>758</v>
      </c>
      <c r="M92" s="8">
        <v>732</v>
      </c>
      <c r="N92" s="8">
        <v>880</v>
      </c>
      <c r="O92" s="8">
        <v>999</v>
      </c>
    </row>
    <row r="93" spans="1:15" x14ac:dyDescent="0.25">
      <c r="A93" s="38" t="s">
        <v>223</v>
      </c>
      <c r="B93" s="38"/>
      <c r="C93" s="38" t="s">
        <v>765</v>
      </c>
      <c r="D93" s="12">
        <v>11.766046009133232</v>
      </c>
      <c r="E93" s="11">
        <v>10.608495832865255</v>
      </c>
      <c r="F93" s="11">
        <v>10.602982736923058</v>
      </c>
      <c r="G93" s="12">
        <v>11.981072738158263</v>
      </c>
      <c r="H93" s="11">
        <v>12.68277863727395</v>
      </c>
      <c r="I93" s="11">
        <v>12.9</v>
      </c>
      <c r="J93" s="11">
        <v>14.066196318549371</v>
      </c>
      <c r="K93" s="11">
        <v>15.184443960781849</v>
      </c>
      <c r="L93" s="11">
        <v>16.744898669498692</v>
      </c>
      <c r="M93" s="11">
        <v>17.250766398469914</v>
      </c>
      <c r="N93" s="8">
        <v>15.533990979579533</v>
      </c>
      <c r="O93" s="8">
        <v>14.551921372552554</v>
      </c>
    </row>
    <row r="94" spans="1:15" x14ac:dyDescent="0.25">
      <c r="A94" s="38" t="s">
        <v>224</v>
      </c>
      <c r="B94" s="38"/>
      <c r="C94" s="38" t="s">
        <v>766</v>
      </c>
      <c r="D94" s="7">
        <v>308</v>
      </c>
      <c r="E94" s="8">
        <v>381.39501434663561</v>
      </c>
      <c r="F94" s="8">
        <v>379.30235327145891</v>
      </c>
      <c r="G94" s="7">
        <v>406.67119786401003</v>
      </c>
      <c r="H94" s="8">
        <v>430.27490972796642</v>
      </c>
      <c r="I94" s="8">
        <v>444.26950790149675</v>
      </c>
      <c r="J94" s="8">
        <v>455.55571096459238</v>
      </c>
      <c r="K94" s="8">
        <v>480</v>
      </c>
      <c r="L94" s="8">
        <v>449</v>
      </c>
      <c r="M94" s="8">
        <v>426</v>
      </c>
      <c r="N94" s="8">
        <v>438.36746669668048</v>
      </c>
      <c r="O94" s="8">
        <v>459.37256285207604</v>
      </c>
    </row>
    <row r="95" spans="1:15" x14ac:dyDescent="0.25">
      <c r="A95" s="27"/>
      <c r="B95" s="27"/>
      <c r="C95" s="27"/>
      <c r="D95" s="9"/>
      <c r="E95" s="9"/>
      <c r="F95" s="9"/>
      <c r="G95" s="9"/>
      <c r="H95" s="9"/>
      <c r="I95" s="9"/>
      <c r="J95" s="9"/>
      <c r="K95" s="9"/>
      <c r="L95" s="9"/>
      <c r="M95" s="9"/>
      <c r="N95" s="9"/>
      <c r="O95" s="9"/>
    </row>
    <row r="96" spans="1:15" x14ac:dyDescent="0.25">
      <c r="A96" s="54" t="s">
        <v>226</v>
      </c>
      <c r="B96" s="54"/>
      <c r="C96" s="54" t="s">
        <v>768</v>
      </c>
      <c r="D96" s="65"/>
      <c r="E96" s="65"/>
      <c r="F96" s="65"/>
      <c r="G96" s="65"/>
      <c r="H96" s="65"/>
      <c r="I96" s="65"/>
      <c r="J96" s="65"/>
      <c r="K96" s="65"/>
      <c r="L96" s="65"/>
      <c r="M96" s="65"/>
      <c r="N96" s="65"/>
      <c r="O96" s="65"/>
    </row>
    <row r="97" spans="1:15" x14ac:dyDescent="0.25">
      <c r="A97" s="38" t="s">
        <v>235</v>
      </c>
      <c r="B97" s="38"/>
      <c r="C97" s="38" t="s">
        <v>235</v>
      </c>
      <c r="D97" s="28">
        <v>0.57729388952687388</v>
      </c>
      <c r="E97" s="28">
        <v>0.53905242360365901</v>
      </c>
      <c r="F97" s="28">
        <v>0.58759768952159375</v>
      </c>
      <c r="G97" s="28">
        <v>0.59176162479458294</v>
      </c>
      <c r="H97" s="28">
        <v>0.53458815574543483</v>
      </c>
      <c r="I97" s="28">
        <v>0.5277434637571603</v>
      </c>
      <c r="J97" s="28">
        <v>0.52283601505971256</v>
      </c>
      <c r="K97" s="28">
        <v>0.54134667633564282</v>
      </c>
      <c r="L97" s="28">
        <v>0.52333166276672538</v>
      </c>
      <c r="M97" s="119">
        <v>0.52701233749493037</v>
      </c>
      <c r="N97" s="119">
        <v>0.5208734249812067</v>
      </c>
      <c r="O97" s="119">
        <v>0.52736535832411313</v>
      </c>
    </row>
    <row r="98" spans="1:15" x14ac:dyDescent="0.25">
      <c r="A98" s="38" t="s">
        <v>138</v>
      </c>
      <c r="B98" s="38"/>
      <c r="C98" s="38" t="s">
        <v>138</v>
      </c>
      <c r="D98" s="28">
        <v>8.5080724046147249E-2</v>
      </c>
      <c r="E98" s="119">
        <v>5.9205495710622773E-2</v>
      </c>
      <c r="F98" s="28">
        <v>8.4799740576902066E-2</v>
      </c>
      <c r="G98" s="28">
        <v>8.4129165966675606E-2</v>
      </c>
      <c r="H98" s="119">
        <v>6.1165380415165588E-2</v>
      </c>
      <c r="I98" s="119">
        <v>6.3785001906405028E-2</v>
      </c>
      <c r="J98" s="119">
        <v>6.5791988279835747E-2</v>
      </c>
      <c r="K98" s="119">
        <v>6.4914595970959998E-2</v>
      </c>
      <c r="L98" s="119">
        <v>6.931323138804199E-2</v>
      </c>
      <c r="M98" s="119">
        <v>6.543132945159659E-2</v>
      </c>
      <c r="N98" s="119">
        <v>6.5396755981492555E-2</v>
      </c>
      <c r="O98" s="119">
        <v>6.2963129960441511E-2</v>
      </c>
    </row>
    <row r="99" spans="1:15" x14ac:dyDescent="0.25">
      <c r="A99" s="38" t="s">
        <v>139</v>
      </c>
      <c r="B99" s="38"/>
      <c r="C99" s="38" t="s">
        <v>691</v>
      </c>
      <c r="D99" s="28">
        <v>0.20963264930219255</v>
      </c>
      <c r="E99" s="119">
        <v>0.22233213085710224</v>
      </c>
      <c r="F99" s="28">
        <v>0.19579217058561346</v>
      </c>
      <c r="G99" s="28">
        <v>0.18867979023414322</v>
      </c>
      <c r="H99" s="119">
        <v>0.23499481992651008</v>
      </c>
      <c r="I99" s="119">
        <v>0.23951304028772449</v>
      </c>
      <c r="J99" s="119">
        <v>0.24560631149347636</v>
      </c>
      <c r="K99" s="119">
        <v>0.23894303233138736</v>
      </c>
      <c r="L99" s="119">
        <v>0.24522785638883424</v>
      </c>
      <c r="M99" s="119">
        <v>0.24969843583477183</v>
      </c>
      <c r="N99" s="119">
        <v>0.25170734059918881</v>
      </c>
      <c r="O99" s="119">
        <v>0.24742140604698462</v>
      </c>
    </row>
    <row r="100" spans="1:15" x14ac:dyDescent="0.25">
      <c r="A100" s="38" t="s">
        <v>236</v>
      </c>
      <c r="B100" s="38"/>
      <c r="C100" s="38" t="s">
        <v>692</v>
      </c>
      <c r="D100" s="28">
        <v>5.8711443852023308E-2</v>
      </c>
      <c r="E100" s="119">
        <v>0.10804724084942913</v>
      </c>
      <c r="F100" s="28">
        <v>6.0631003253920124E-2</v>
      </c>
      <c r="G100" s="28">
        <v>6.2851653573351193E-2</v>
      </c>
      <c r="H100" s="119">
        <v>0.11482247460856557</v>
      </c>
      <c r="I100" s="119">
        <v>0.11088676781613815</v>
      </c>
      <c r="J100" s="119">
        <v>0.10148069070888918</v>
      </c>
      <c r="K100" s="119">
        <v>9.2838021534759674E-2</v>
      </c>
      <c r="L100" s="119">
        <v>8.9312261411439095E-2</v>
      </c>
      <c r="M100" s="119">
        <v>8.2753544385448824E-2</v>
      </c>
      <c r="N100" s="119">
        <v>8.8803316677930275E-2</v>
      </c>
      <c r="O100" s="119">
        <v>8.5966341993772885E-2</v>
      </c>
    </row>
    <row r="101" spans="1:15" x14ac:dyDescent="0.25">
      <c r="A101" s="38" t="s">
        <v>189</v>
      </c>
      <c r="B101" s="38"/>
      <c r="C101" s="38" t="s">
        <v>693</v>
      </c>
      <c r="D101" s="118">
        <v>6.9281293272762917E-2</v>
      </c>
      <c r="E101" s="20">
        <v>7.1362708979186923E-2</v>
      </c>
      <c r="F101" s="118">
        <v>7.1179396061970573E-2</v>
      </c>
      <c r="G101" s="118">
        <v>7.2577765431247138E-2</v>
      </c>
      <c r="H101" s="20">
        <v>5.4429169304323954E-2</v>
      </c>
      <c r="I101" s="20">
        <v>5.807172623257207E-2</v>
      </c>
      <c r="J101" s="20">
        <v>6.4284994458086192E-2</v>
      </c>
      <c r="K101" s="20">
        <v>6.1957673827250245E-2</v>
      </c>
      <c r="L101" s="20">
        <v>7.2814988044959325E-2</v>
      </c>
      <c r="M101" s="20">
        <v>7.5104352833252369E-2</v>
      </c>
      <c r="N101" s="20">
        <v>7.32191617601817E-2</v>
      </c>
      <c r="O101" s="20">
        <v>7.6283763674687921E-2</v>
      </c>
    </row>
    <row r="102" spans="1:15" ht="4.5" customHeight="1" x14ac:dyDescent="0.25">
      <c r="A102" s="73"/>
      <c r="B102" s="73"/>
      <c r="C102" s="73"/>
      <c r="D102" s="62"/>
      <c r="E102" s="63"/>
      <c r="F102" s="62"/>
      <c r="G102" s="62"/>
      <c r="H102" s="63"/>
      <c r="I102" s="63"/>
      <c r="J102" s="63"/>
      <c r="K102" s="63"/>
      <c r="L102" s="63"/>
      <c r="M102" s="63"/>
      <c r="N102" s="63"/>
      <c r="O102" s="63"/>
    </row>
    <row r="103" spans="1:15" x14ac:dyDescent="0.25">
      <c r="A103" s="27"/>
      <c r="B103" s="27"/>
      <c r="C103" s="27"/>
      <c r="D103" s="15"/>
      <c r="E103" s="15"/>
      <c r="F103" s="15"/>
      <c r="G103" s="15"/>
      <c r="H103" s="15"/>
      <c r="I103" s="15"/>
      <c r="J103" s="15"/>
      <c r="K103" s="15"/>
      <c r="L103" s="15"/>
      <c r="M103" s="15"/>
      <c r="N103" s="15"/>
      <c r="O103" s="15"/>
    </row>
    <row r="104" spans="1:15" x14ac:dyDescent="0.25">
      <c r="A104" s="54" t="s">
        <v>187</v>
      </c>
      <c r="B104" s="54"/>
      <c r="C104" s="54" t="s">
        <v>187</v>
      </c>
      <c r="D104" s="65"/>
      <c r="E104" s="65"/>
      <c r="F104" s="65"/>
      <c r="G104" s="65"/>
      <c r="H104" s="65"/>
      <c r="I104" s="65"/>
      <c r="J104" s="65"/>
      <c r="K104" s="65"/>
      <c r="L104" s="65"/>
      <c r="M104" s="65"/>
      <c r="N104" s="65"/>
      <c r="O104" s="65"/>
    </row>
    <row r="105" spans="1:15" x14ac:dyDescent="0.25">
      <c r="A105" s="38" t="s">
        <v>836</v>
      </c>
      <c r="B105" s="38"/>
      <c r="C105" s="38" t="s">
        <v>838</v>
      </c>
      <c r="D105" s="12" t="s">
        <v>289</v>
      </c>
      <c r="E105" s="8">
        <v>135</v>
      </c>
      <c r="F105" s="8">
        <v>133</v>
      </c>
      <c r="G105" s="7">
        <v>257</v>
      </c>
      <c r="H105" s="8">
        <v>282</v>
      </c>
      <c r="I105" s="8">
        <v>291</v>
      </c>
      <c r="J105" s="8">
        <v>355</v>
      </c>
      <c r="K105" s="8">
        <v>381</v>
      </c>
      <c r="L105" s="8">
        <v>497</v>
      </c>
      <c r="M105" s="8">
        <v>572</v>
      </c>
      <c r="N105" s="11">
        <v>743</v>
      </c>
      <c r="O105" s="11">
        <v>970</v>
      </c>
    </row>
    <row r="106" spans="1:15" x14ac:dyDescent="0.25">
      <c r="A106" s="38" t="s">
        <v>837</v>
      </c>
      <c r="B106" s="38"/>
      <c r="C106" s="38" t="s">
        <v>839</v>
      </c>
      <c r="D106" s="12" t="s">
        <v>289</v>
      </c>
      <c r="E106" s="8">
        <v>105</v>
      </c>
      <c r="F106" s="8">
        <v>110</v>
      </c>
      <c r="G106" s="7">
        <v>209</v>
      </c>
      <c r="H106" s="8">
        <v>205</v>
      </c>
      <c r="I106" s="8">
        <v>196</v>
      </c>
      <c r="J106" s="8">
        <v>225</v>
      </c>
      <c r="K106" s="8">
        <v>255</v>
      </c>
      <c r="L106" s="8">
        <v>325</v>
      </c>
      <c r="M106" s="8">
        <v>376</v>
      </c>
      <c r="N106" s="8">
        <v>525</v>
      </c>
      <c r="O106" s="8">
        <v>701</v>
      </c>
    </row>
    <row r="107" spans="1:15" x14ac:dyDescent="0.25">
      <c r="A107" s="38" t="s">
        <v>223</v>
      </c>
      <c r="B107" s="38"/>
      <c r="C107" s="38" t="s">
        <v>765</v>
      </c>
      <c r="D107" s="12" t="s">
        <v>289</v>
      </c>
      <c r="E107" s="11">
        <v>3.7967542930476199</v>
      </c>
      <c r="F107" s="11">
        <v>3.6133953720909084</v>
      </c>
      <c r="G107" s="12">
        <v>3.2092792411961724</v>
      </c>
      <c r="H107" s="11">
        <v>3.3578794191707315</v>
      </c>
      <c r="I107" s="11">
        <v>3.5</v>
      </c>
      <c r="J107" s="11">
        <v>3.1098294795999952</v>
      </c>
      <c r="K107" s="11">
        <v>3.0511027141960829</v>
      </c>
      <c r="L107" s="11">
        <v>2.7093331853538456</v>
      </c>
      <c r="M107" s="11">
        <v>2.56864552297872</v>
      </c>
      <c r="N107" s="8">
        <v>2.8166553532190473</v>
      </c>
      <c r="O107" s="8">
        <v>2.9050395429814566</v>
      </c>
    </row>
    <row r="108" spans="1:15" x14ac:dyDescent="0.25">
      <c r="A108" s="38" t="s">
        <v>224</v>
      </c>
      <c r="B108" s="38"/>
      <c r="C108" s="38" t="s">
        <v>766</v>
      </c>
      <c r="D108" s="7" t="s">
        <v>289</v>
      </c>
      <c r="E108" s="8">
        <v>293.99815466023739</v>
      </c>
      <c r="F108" s="8">
        <v>275.6944415635075</v>
      </c>
      <c r="G108" s="7">
        <v>271.54875699207372</v>
      </c>
      <c r="H108" s="8">
        <v>278.11520833249745</v>
      </c>
      <c r="I108" s="8">
        <v>326.93052187496579</v>
      </c>
      <c r="J108" s="8">
        <v>321.52362177335328</v>
      </c>
      <c r="K108" s="8">
        <v>270</v>
      </c>
      <c r="L108" s="8">
        <v>266</v>
      </c>
      <c r="M108" s="8">
        <v>256</v>
      </c>
      <c r="N108" s="8">
        <v>456.54883750072526</v>
      </c>
      <c r="O108" s="8">
        <v>506.26792362260721</v>
      </c>
    </row>
    <row r="109" spans="1:15" x14ac:dyDescent="0.25">
      <c r="A109" s="27"/>
      <c r="B109" s="27"/>
      <c r="C109" s="27"/>
      <c r="D109" s="9"/>
      <c r="E109" s="9"/>
      <c r="F109" s="9"/>
      <c r="G109" s="9"/>
      <c r="H109" s="9"/>
      <c r="I109" s="9"/>
      <c r="J109" s="9"/>
      <c r="K109" s="9"/>
      <c r="L109" s="9"/>
      <c r="M109" s="9"/>
      <c r="N109" s="9"/>
      <c r="O109" s="9"/>
    </row>
    <row r="110" spans="1:15" x14ac:dyDescent="0.25">
      <c r="A110" s="54" t="s">
        <v>225</v>
      </c>
      <c r="B110" s="54"/>
      <c r="C110" s="54" t="s">
        <v>769</v>
      </c>
      <c r="D110" s="65"/>
      <c r="E110" s="65"/>
      <c r="F110" s="65"/>
      <c r="G110" s="65"/>
      <c r="H110" s="65"/>
      <c r="I110" s="65"/>
      <c r="J110" s="65"/>
      <c r="K110" s="65"/>
      <c r="L110" s="65"/>
      <c r="M110" s="65"/>
      <c r="N110" s="65"/>
      <c r="O110" s="65"/>
    </row>
    <row r="111" spans="1:15" x14ac:dyDescent="0.25">
      <c r="A111" s="27" t="s">
        <v>235</v>
      </c>
      <c r="B111" s="27"/>
      <c r="C111" s="38" t="s">
        <v>235</v>
      </c>
      <c r="D111" s="12" t="s">
        <v>289</v>
      </c>
      <c r="E111" s="119">
        <v>1</v>
      </c>
      <c r="F111" s="119">
        <v>1</v>
      </c>
      <c r="G111" s="119">
        <v>1</v>
      </c>
      <c r="H111" s="119">
        <v>1</v>
      </c>
      <c r="I111" s="119">
        <v>1</v>
      </c>
      <c r="J111" s="119">
        <v>1</v>
      </c>
      <c r="K111" s="119">
        <v>0.71408574521015467</v>
      </c>
      <c r="L111" s="119">
        <v>0.6715371076726987</v>
      </c>
      <c r="M111" s="120">
        <v>0.66223807718413275</v>
      </c>
      <c r="N111" s="120">
        <v>0.55907354011197941</v>
      </c>
      <c r="O111" s="120">
        <v>0.5310019617820616</v>
      </c>
    </row>
    <row r="112" spans="1:15" x14ac:dyDescent="0.25">
      <c r="A112" s="27" t="s">
        <v>288</v>
      </c>
      <c r="B112" s="27"/>
      <c r="C112" s="38" t="s">
        <v>288</v>
      </c>
      <c r="D112" s="12" t="s">
        <v>289</v>
      </c>
      <c r="E112" s="5">
        <v>0</v>
      </c>
      <c r="F112" s="5">
        <v>0</v>
      </c>
      <c r="G112" s="5">
        <v>0</v>
      </c>
      <c r="H112" s="5">
        <v>0</v>
      </c>
      <c r="I112" s="5">
        <v>0</v>
      </c>
      <c r="J112" s="5">
        <v>0</v>
      </c>
      <c r="K112" s="120">
        <v>8.267698695696947E-2</v>
      </c>
      <c r="L112" s="120">
        <v>8.6442576781998945E-2</v>
      </c>
      <c r="M112" s="120">
        <v>9.8095051133090846E-2</v>
      </c>
      <c r="N112" s="120">
        <v>0.15643001314277577</v>
      </c>
      <c r="O112" s="120">
        <v>0.18253915754117986</v>
      </c>
    </row>
    <row r="113" spans="1:15" x14ac:dyDescent="0.25">
      <c r="A113" s="27" t="s">
        <v>139</v>
      </c>
      <c r="B113" s="27"/>
      <c r="C113" s="38" t="s">
        <v>139</v>
      </c>
      <c r="D113" s="12" t="s">
        <v>289</v>
      </c>
      <c r="E113" s="5">
        <v>0</v>
      </c>
      <c r="F113" s="5">
        <v>0</v>
      </c>
      <c r="G113" s="5">
        <v>0</v>
      </c>
      <c r="H113" s="5">
        <v>0</v>
      </c>
      <c r="I113" s="5">
        <v>0</v>
      </c>
      <c r="J113" s="5">
        <v>0</v>
      </c>
      <c r="K113" s="120">
        <v>0.2032372678328758</v>
      </c>
      <c r="L113" s="120">
        <v>0.24202031554530246</v>
      </c>
      <c r="M113" s="120">
        <v>0.23966687168277651</v>
      </c>
      <c r="N113" s="120">
        <v>0.28449644674524482</v>
      </c>
      <c r="O113" s="120">
        <v>0.28645888067675845</v>
      </c>
    </row>
  </sheetData>
  <hyperlinks>
    <hyperlink ref="O6" location="'Índice - Index'!A1" display="Index" xr:uid="{4D6D0699-7164-45B6-A309-209DA000449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91C8-D550-44CB-ACEC-F19DFB1FB901}">
  <sheetPr codeName="Planilha19">
    <tabColor theme="2" tint="-9.9978637043366805E-2"/>
  </sheetPr>
  <dimension ref="A2:O60"/>
  <sheetViews>
    <sheetView showGridLines="0" zoomScale="80" zoomScaleNormal="80" workbookViewId="0">
      <pane xSplit="3" ySplit="10" topLeftCell="I11" activePane="bottomRight" state="frozen"/>
      <selection pane="topRight" activeCell="C1" sqref="C1"/>
      <selection pane="bottomLeft" activeCell="A10" sqref="A10"/>
      <selection pane="bottomRight" activeCell="M10" sqref="M10"/>
    </sheetView>
  </sheetViews>
  <sheetFormatPr defaultColWidth="10.5703125" defaultRowHeight="15" x14ac:dyDescent="0.25"/>
  <cols>
    <col min="1" max="1" width="65.5703125" bestFit="1" customWidth="1"/>
    <col min="2" max="2" width="1.7109375" customWidth="1"/>
    <col min="3" max="3" width="48" customWidth="1"/>
  </cols>
  <sheetData>
    <row r="2" spans="1:15" ht="21" x14ac:dyDescent="0.35">
      <c r="A2" s="4" t="s">
        <v>13</v>
      </c>
      <c r="B2" s="4"/>
      <c r="C2" s="4"/>
    </row>
    <row r="3" spans="1:15" ht="6.75" customHeight="1" x14ac:dyDescent="0.25">
      <c r="A3" s="3"/>
      <c r="B3" s="3"/>
      <c r="C3" s="3"/>
    </row>
    <row r="4" spans="1:15" x14ac:dyDescent="0.25">
      <c r="A4" s="2" t="s">
        <v>14</v>
      </c>
      <c r="B4" s="2"/>
      <c r="C4" s="2" t="s">
        <v>432</v>
      </c>
    </row>
    <row r="5" spans="1:15" ht="6.75" customHeight="1" x14ac:dyDescent="0.25"/>
    <row r="6" spans="1:15" x14ac:dyDescent="0.25">
      <c r="D6" s="236" t="s">
        <v>486</v>
      </c>
      <c r="E6" s="6"/>
      <c r="G6" s="6"/>
      <c r="M6" s="236" t="s">
        <v>486</v>
      </c>
    </row>
    <row r="7" spans="1:15" ht="17.25" customHeight="1" x14ac:dyDescent="0.3">
      <c r="A7" s="40" t="s">
        <v>5</v>
      </c>
      <c r="B7" s="40"/>
      <c r="C7" s="89" t="s">
        <v>633</v>
      </c>
    </row>
    <row r="8" spans="1:15" x14ac:dyDescent="0.25">
      <c r="A8" s="41" t="s">
        <v>157</v>
      </c>
      <c r="B8" s="41"/>
      <c r="C8" s="41" t="s">
        <v>757</v>
      </c>
    </row>
    <row r="9" spans="1:15" x14ac:dyDescent="0.25">
      <c r="A9" s="34"/>
      <c r="B9" s="34"/>
      <c r="C9" s="34"/>
      <c r="D9" s="34" t="s">
        <v>591</v>
      </c>
      <c r="E9" s="34" t="s">
        <v>592</v>
      </c>
      <c r="F9" s="34" t="s">
        <v>593</v>
      </c>
      <c r="G9" s="34" t="s">
        <v>594</v>
      </c>
      <c r="H9" s="34" t="s">
        <v>595</v>
      </c>
      <c r="I9" s="34" t="s">
        <v>596</v>
      </c>
      <c r="J9" s="34" t="s">
        <v>597</v>
      </c>
      <c r="K9" s="34" t="s">
        <v>598</v>
      </c>
      <c r="L9" s="34" t="s">
        <v>599</v>
      </c>
      <c r="M9" s="34" t="s">
        <v>600</v>
      </c>
    </row>
    <row r="10" spans="1:15" s="3" customFormat="1" x14ac:dyDescent="0.25">
      <c r="A10" s="34"/>
      <c r="B10" s="34"/>
      <c r="C10" s="34"/>
      <c r="D10" s="34" t="s">
        <v>174</v>
      </c>
      <c r="E10" s="34" t="s">
        <v>177</v>
      </c>
      <c r="F10" s="34" t="s">
        <v>179</v>
      </c>
      <c r="G10" s="34" t="s">
        <v>181</v>
      </c>
      <c r="H10" s="34" t="s">
        <v>184</v>
      </c>
      <c r="I10" s="34" t="s">
        <v>186</v>
      </c>
      <c r="J10" s="34" t="s">
        <v>199</v>
      </c>
      <c r="K10" s="34" t="s">
        <v>286</v>
      </c>
      <c r="L10" s="34" t="s">
        <v>291</v>
      </c>
      <c r="M10" s="34" t="s">
        <v>293</v>
      </c>
    </row>
    <row r="11" spans="1:15" s="3" customFormat="1" x14ac:dyDescent="0.25">
      <c r="A11" s="51" t="s">
        <v>212</v>
      </c>
      <c r="B11" s="51"/>
      <c r="C11" s="51" t="s">
        <v>770</v>
      </c>
      <c r="D11" s="48">
        <v>230.23561643713529</v>
      </c>
      <c r="E11" s="48">
        <v>253.57556110236138</v>
      </c>
      <c r="F11" s="48">
        <v>235.19392546582387</v>
      </c>
      <c r="G11" s="48">
        <v>239.59407398902263</v>
      </c>
      <c r="H11" s="48">
        <v>233.93399999999997</v>
      </c>
      <c r="I11" s="48">
        <f>SUM(I12:I14)</f>
        <v>239.84299999999999</v>
      </c>
      <c r="J11" s="48">
        <f>SUM(J12:J14)</f>
        <v>262.66044617509095</v>
      </c>
      <c r="K11" s="48">
        <f>SUM(K12:K14)</f>
        <v>258.48581152932593</v>
      </c>
      <c r="L11" s="48">
        <f>SUM(L12:L14)</f>
        <v>253.31737973151459</v>
      </c>
      <c r="M11" s="48">
        <f>SUM(M12:M14)</f>
        <v>285.1058408720674</v>
      </c>
    </row>
    <row r="12" spans="1:15" s="1" customFormat="1" x14ac:dyDescent="0.25">
      <c r="A12" s="38" t="s">
        <v>191</v>
      </c>
      <c r="B12" s="38"/>
      <c r="C12" s="38" t="s">
        <v>642</v>
      </c>
      <c r="D12" s="46">
        <v>40.6682496068861</v>
      </c>
      <c r="E12" s="46">
        <v>44.61974696902319</v>
      </c>
      <c r="F12" s="46">
        <v>45.007211634058088</v>
      </c>
      <c r="G12" s="46">
        <v>47.244174670732008</v>
      </c>
      <c r="H12" s="46">
        <v>47.78</v>
      </c>
      <c r="I12" s="46">
        <v>52.654000000000003</v>
      </c>
      <c r="J12" s="46">
        <v>55.231348275537421</v>
      </c>
      <c r="K12" s="46">
        <v>44.183711813548307</v>
      </c>
      <c r="L12" s="46">
        <v>35.439296541664454</v>
      </c>
      <c r="M12" s="46">
        <v>23.230759091122</v>
      </c>
    </row>
    <row r="13" spans="1:15" s="1" customFormat="1" x14ac:dyDescent="0.25">
      <c r="A13" s="38" t="s">
        <v>126</v>
      </c>
      <c r="B13" s="38"/>
      <c r="C13" s="38" t="s">
        <v>643</v>
      </c>
      <c r="D13" s="46">
        <v>141.48128235000001</v>
      </c>
      <c r="E13" s="46">
        <v>144.32800508442438</v>
      </c>
      <c r="F13" s="46">
        <v>142.09668831638683</v>
      </c>
      <c r="G13" s="46">
        <v>154.96707042205452</v>
      </c>
      <c r="H13" s="46">
        <v>141.11999999999998</v>
      </c>
      <c r="I13" s="46">
        <v>137.63499999999999</v>
      </c>
      <c r="J13" s="46">
        <v>157.39676140870009</v>
      </c>
      <c r="K13" s="46">
        <v>164.446667200267</v>
      </c>
      <c r="L13" s="46">
        <v>172.57419741645302</v>
      </c>
      <c r="M13" s="46">
        <v>212.341403698384</v>
      </c>
    </row>
    <row r="14" spans="1:15" s="1" customFormat="1" x14ac:dyDescent="0.25">
      <c r="A14" s="38" t="s">
        <v>127</v>
      </c>
      <c r="B14" s="38"/>
      <c r="C14" s="38" t="s">
        <v>644</v>
      </c>
      <c r="D14" s="46">
        <v>48.086084480249127</v>
      </c>
      <c r="E14" s="46">
        <v>64.625809048913851</v>
      </c>
      <c r="F14" s="46">
        <v>48.090025515378933</v>
      </c>
      <c r="G14" s="46">
        <v>37.38282889623612</v>
      </c>
      <c r="H14" s="46">
        <v>45.033999999999999</v>
      </c>
      <c r="I14" s="46">
        <v>49.554000000000002</v>
      </c>
      <c r="J14" s="46">
        <v>50.032336490853453</v>
      </c>
      <c r="K14" s="46">
        <v>49.8554325155106</v>
      </c>
      <c r="L14" s="46">
        <v>45.303885773397134</v>
      </c>
      <c r="M14" s="46">
        <v>49.533678082561401</v>
      </c>
    </row>
    <row r="15" spans="1:15" s="1" customFormat="1" x14ac:dyDescent="0.25">
      <c r="A15" s="52" t="s">
        <v>213</v>
      </c>
      <c r="B15" s="52"/>
      <c r="C15" s="52" t="s">
        <v>771</v>
      </c>
      <c r="D15" s="48">
        <v>-22.463000000000001</v>
      </c>
      <c r="E15" s="48">
        <v>-33.128</v>
      </c>
      <c r="F15" s="48">
        <v>-33.128999999999998</v>
      </c>
      <c r="G15" s="48">
        <v>-29.491</v>
      </c>
      <c r="H15" s="48">
        <v>-29.876999999999999</v>
      </c>
      <c r="I15" s="48">
        <v>-19.338999999999999</v>
      </c>
      <c r="J15" s="48">
        <v>-34.1</v>
      </c>
      <c r="K15" s="48">
        <v>-47.381</v>
      </c>
      <c r="L15" s="48">
        <v>-60.816000000000003</v>
      </c>
      <c r="M15" s="48">
        <v>-93.204999999999998</v>
      </c>
      <c r="O15" s="122"/>
    </row>
    <row r="16" spans="1:15" s="1" customFormat="1" x14ac:dyDescent="0.25">
      <c r="A16" s="52" t="s">
        <v>214</v>
      </c>
      <c r="B16" s="52"/>
      <c r="C16" s="52" t="s">
        <v>772</v>
      </c>
      <c r="D16" s="48">
        <v>207.7726164371353</v>
      </c>
      <c r="E16" s="48">
        <v>220.44756110236139</v>
      </c>
      <c r="F16" s="48">
        <v>202.06492546582388</v>
      </c>
      <c r="G16" s="48">
        <v>210.10307398902265</v>
      </c>
      <c r="H16" s="48">
        <v>204.05699999999996</v>
      </c>
      <c r="I16" s="48">
        <f>I15+I11</f>
        <v>220.50399999999999</v>
      </c>
      <c r="J16" s="48">
        <f>J15+J11</f>
        <v>228.56044617509096</v>
      </c>
      <c r="K16" s="48">
        <f>K15+K11</f>
        <v>211.10481152932593</v>
      </c>
      <c r="L16" s="48">
        <f>L15+L11</f>
        <v>192.50137973151459</v>
      </c>
      <c r="M16" s="48">
        <f>M15+M11</f>
        <v>191.90084087206742</v>
      </c>
    </row>
    <row r="17" spans="1:14" s="1" customFormat="1" x14ac:dyDescent="0.25">
      <c r="A17" s="52" t="s">
        <v>215</v>
      </c>
      <c r="B17" s="52"/>
      <c r="C17" s="52" t="s">
        <v>773</v>
      </c>
      <c r="D17" s="48">
        <v>75.903517070000007</v>
      </c>
      <c r="E17" s="48">
        <v>87.865018730000003</v>
      </c>
      <c r="F17" s="48">
        <v>94.443910549999998</v>
      </c>
      <c r="G17" s="48">
        <v>91.627248680000008</v>
      </c>
      <c r="H17" s="48">
        <v>74.536000000000001</v>
      </c>
      <c r="I17" s="48">
        <f>SUM(I18:I20)</f>
        <v>87.333000000000013</v>
      </c>
      <c r="J17" s="48">
        <f>SUM(J18:J20)</f>
        <v>78.867044910000004</v>
      </c>
      <c r="K17" s="48">
        <f>SUM(K18:K20)</f>
        <v>96.267664409999995</v>
      </c>
      <c r="L17" s="48">
        <f>SUM(L18:L20)</f>
        <v>50.700900709999999</v>
      </c>
      <c r="M17" s="48">
        <f>SUM(M18:M20)</f>
        <v>59.041784770000007</v>
      </c>
    </row>
    <row r="18" spans="1:14" s="1" customFormat="1" x14ac:dyDescent="0.25">
      <c r="A18" s="38" t="s">
        <v>132</v>
      </c>
      <c r="B18" s="38"/>
      <c r="C18" s="38" t="s">
        <v>467</v>
      </c>
      <c r="D18" s="46">
        <v>55.121000000000002</v>
      </c>
      <c r="E18" s="46">
        <v>56.860999999999997</v>
      </c>
      <c r="F18" s="46">
        <v>57.930999999999997</v>
      </c>
      <c r="G18" s="46">
        <v>55.018999999999998</v>
      </c>
      <c r="H18" s="46">
        <v>50.298999999999999</v>
      </c>
      <c r="I18" s="46">
        <v>50.76</v>
      </c>
      <c r="J18" s="46">
        <v>48.777999999999999</v>
      </c>
      <c r="K18" s="46">
        <v>43.927999999999997</v>
      </c>
      <c r="L18" s="46">
        <v>39.634999999999998</v>
      </c>
      <c r="M18" s="46">
        <v>41.081000000000003</v>
      </c>
    </row>
    <row r="19" spans="1:14" s="1" customFormat="1" x14ac:dyDescent="0.25">
      <c r="A19" s="38" t="s">
        <v>287</v>
      </c>
      <c r="B19" s="38"/>
      <c r="C19" s="38" t="s">
        <v>774</v>
      </c>
      <c r="D19" s="46">
        <v>13.465</v>
      </c>
      <c r="E19" s="46">
        <v>20.036000000000001</v>
      </c>
      <c r="F19" s="46">
        <v>27.504999999999999</v>
      </c>
      <c r="G19" s="46">
        <v>27.827999999999999</v>
      </c>
      <c r="H19" s="46">
        <v>15.999000000000001</v>
      </c>
      <c r="I19" s="46">
        <v>29.414000000000001</v>
      </c>
      <c r="J19" s="46">
        <v>21.928000000000001</v>
      </c>
      <c r="K19" s="46">
        <v>46.165999999999997</v>
      </c>
      <c r="L19" s="46">
        <v>6.0039999999999996</v>
      </c>
      <c r="M19" s="46">
        <v>9.9019999999999992</v>
      </c>
    </row>
    <row r="20" spans="1:14" s="1" customFormat="1" x14ac:dyDescent="0.25">
      <c r="A20" s="38" t="s">
        <v>133</v>
      </c>
      <c r="B20" s="38"/>
      <c r="C20" s="38" t="s">
        <v>775</v>
      </c>
      <c r="D20" s="46">
        <v>7.3175170700000001</v>
      </c>
      <c r="E20" s="46">
        <v>10.968018729999999</v>
      </c>
      <c r="F20" s="46">
        <v>9.0079105500000001</v>
      </c>
      <c r="G20" s="46">
        <v>8.7802486800000015</v>
      </c>
      <c r="H20" s="46">
        <v>8.2380000000000013</v>
      </c>
      <c r="I20" s="46">
        <v>7.1589999999999998</v>
      </c>
      <c r="J20" s="46">
        <v>8.1610449100000011</v>
      </c>
      <c r="K20" s="46">
        <v>6.1736644099999998</v>
      </c>
      <c r="L20" s="46">
        <v>5.0619007099999997</v>
      </c>
      <c r="M20" s="46">
        <v>8.0587847700000008</v>
      </c>
    </row>
    <row r="21" spans="1:14" s="1" customFormat="1" x14ac:dyDescent="0.25">
      <c r="A21" s="52" t="s">
        <v>216</v>
      </c>
      <c r="B21" s="52"/>
      <c r="C21" s="52" t="s">
        <v>776</v>
      </c>
      <c r="D21" s="48">
        <v>-68.742491637800001</v>
      </c>
      <c r="E21" s="48">
        <v>-71.0397127791</v>
      </c>
      <c r="F21" s="48">
        <v>-71.773099280400004</v>
      </c>
      <c r="G21" s="48">
        <v>-74.028999456699992</v>
      </c>
      <c r="H21" s="48">
        <v>-73.759999999999991</v>
      </c>
      <c r="I21" s="48">
        <f>I22+I23</f>
        <v>-76.304831748299904</v>
      </c>
      <c r="J21" s="48">
        <f>J22+J23</f>
        <v>-76.430103502600005</v>
      </c>
      <c r="K21" s="48">
        <f>K22+K23</f>
        <v>-81.371835149999995</v>
      </c>
      <c r="L21" s="48">
        <f>L22+L23</f>
        <v>-87.942122771800001</v>
      </c>
      <c r="M21" s="48">
        <f>M22+M23</f>
        <v>-85.182270377599991</v>
      </c>
    </row>
    <row r="22" spans="1:14" s="1" customFormat="1" x14ac:dyDescent="0.25">
      <c r="A22" s="38" t="s">
        <v>193</v>
      </c>
      <c r="B22" s="38"/>
      <c r="C22" s="38" t="s">
        <v>777</v>
      </c>
      <c r="D22" s="46">
        <v>-47.755902380000002</v>
      </c>
      <c r="E22" s="46">
        <v>-47.740609060000018</v>
      </c>
      <c r="F22" s="46">
        <v>-48.606226489999997</v>
      </c>
      <c r="G22" s="46">
        <v>-51.232262069999997</v>
      </c>
      <c r="H22" s="46">
        <v>-49.174999999999997</v>
      </c>
      <c r="I22" s="49">
        <v>-49.930999999999997</v>
      </c>
      <c r="J22" s="46">
        <v>-49.231254300000003</v>
      </c>
      <c r="K22" s="46">
        <v>-52.056445889999999</v>
      </c>
      <c r="L22" s="46">
        <v>-57.647288249999995</v>
      </c>
      <c r="M22" s="46">
        <v>-57.507864849999997</v>
      </c>
    </row>
    <row r="23" spans="1:14" s="1" customFormat="1" x14ac:dyDescent="0.25">
      <c r="A23" s="38" t="s">
        <v>194</v>
      </c>
      <c r="B23" s="38"/>
      <c r="C23" s="38" t="s">
        <v>731</v>
      </c>
      <c r="D23" s="46">
        <v>-20.986589257799999</v>
      </c>
      <c r="E23" s="46">
        <v>-23.298693979099998</v>
      </c>
      <c r="F23" s="46">
        <v>-23.166872790399996</v>
      </c>
      <c r="G23" s="46">
        <v>-22.796737386700002</v>
      </c>
      <c r="H23" s="46">
        <v>-24.931873018499999</v>
      </c>
      <c r="I23" s="49">
        <v>-26.373831748299899</v>
      </c>
      <c r="J23" s="46">
        <v>-27.198849202600002</v>
      </c>
      <c r="K23" s="46">
        <v>-29.31538926</v>
      </c>
      <c r="L23" s="46">
        <f>-29.7888345218-0.506</f>
        <v>-30.294834521799999</v>
      </c>
      <c r="M23" s="46">
        <v>-27.674405527600001</v>
      </c>
      <c r="N23" s="115"/>
    </row>
    <row r="24" spans="1:14" s="1" customFormat="1" x14ac:dyDescent="0.25">
      <c r="A24" s="52" t="s">
        <v>243</v>
      </c>
      <c r="B24" s="52"/>
      <c r="C24" s="52" t="s">
        <v>778</v>
      </c>
      <c r="D24" s="48">
        <v>-13.88992040886297</v>
      </c>
      <c r="E24" s="48">
        <v>-28.904467542737702</v>
      </c>
      <c r="F24" s="48">
        <v>-20.130263671160542</v>
      </c>
      <c r="G24" s="48">
        <v>-15.445304625240361</v>
      </c>
      <c r="H24" s="48">
        <v>-11.126202603309199</v>
      </c>
      <c r="I24" s="88">
        <v>-13.992855945626999</v>
      </c>
      <c r="J24" s="48">
        <v>-21.6821502163845</v>
      </c>
      <c r="K24" s="48">
        <v>-20.789256800465299</v>
      </c>
      <c r="L24" s="48">
        <f>-11.848+0.506</f>
        <v>-11.342000000000001</v>
      </c>
      <c r="M24" s="48">
        <v>-27.368346710875802</v>
      </c>
      <c r="N24" s="115"/>
    </row>
    <row r="25" spans="1:14" s="1" customFormat="1" x14ac:dyDescent="0.25">
      <c r="A25" s="52" t="s">
        <v>245</v>
      </c>
      <c r="B25" s="52"/>
      <c r="C25" s="52" t="s">
        <v>612</v>
      </c>
      <c r="D25" s="48">
        <v>-0.64600000000000002</v>
      </c>
      <c r="E25" s="48">
        <v>0.496</v>
      </c>
      <c r="F25" s="48">
        <v>-0.48482399999999998</v>
      </c>
      <c r="G25" s="48">
        <v>5.11093566</v>
      </c>
      <c r="H25" s="48">
        <v>7.2759999999999998</v>
      </c>
      <c r="I25" s="88">
        <v>-7.5220000000000002</v>
      </c>
      <c r="J25" s="48">
        <v>4.6611806700000002</v>
      </c>
      <c r="K25" s="48">
        <v>3.2265451600000001</v>
      </c>
      <c r="L25" s="48">
        <v>1.5024112999999999</v>
      </c>
      <c r="M25" s="48">
        <v>-7.7221174599999998</v>
      </c>
      <c r="N25" s="108"/>
    </row>
    <row r="26" spans="1:14" s="1" customFormat="1" x14ac:dyDescent="0.25">
      <c r="A26" s="52" t="s">
        <v>244</v>
      </c>
      <c r="B26" s="52"/>
      <c r="C26" s="52" t="s">
        <v>779</v>
      </c>
      <c r="D26" s="48">
        <v>-9.9350000000000005</v>
      </c>
      <c r="E26" s="48">
        <v>-10.349</v>
      </c>
      <c r="F26" s="48">
        <v>-5.7000000000000002E-2</v>
      </c>
      <c r="G26" s="48">
        <v>-1.07</v>
      </c>
      <c r="H26" s="48">
        <v>-0.71499999999999997</v>
      </c>
      <c r="I26" s="48">
        <v>-0.127</v>
      </c>
      <c r="J26" s="48">
        <v>-1.4019999999999999</v>
      </c>
      <c r="K26" s="48">
        <v>-0.11</v>
      </c>
      <c r="L26" s="48">
        <v>-0.97299999999999998</v>
      </c>
      <c r="M26" s="48">
        <v>-0.04</v>
      </c>
      <c r="N26" s="115"/>
    </row>
    <row r="27" spans="1:14" s="1" customFormat="1" x14ac:dyDescent="0.25">
      <c r="A27" s="52" t="s">
        <v>217</v>
      </c>
      <c r="B27" s="52"/>
      <c r="C27" s="52" t="s">
        <v>640</v>
      </c>
      <c r="D27" s="48">
        <v>190.46272146047235</v>
      </c>
      <c r="E27" s="48">
        <v>198.51539951052368</v>
      </c>
      <c r="F27" s="48">
        <v>204.06364906426336</v>
      </c>
      <c r="G27" s="48">
        <v>216.29695424708228</v>
      </c>
      <c r="H27" s="48">
        <v>199.92099999999996</v>
      </c>
      <c r="I27" s="48">
        <f>I16+I17+I21+I24+I25+I26</f>
        <v>209.8903123060731</v>
      </c>
      <c r="J27" s="48">
        <f>J16+J17+J21+J24+J25+J26</f>
        <v>212.57441803610649</v>
      </c>
      <c r="K27" s="48">
        <f>K16+K17+K21+K24+K25+K26</f>
        <v>208.32792914886062</v>
      </c>
      <c r="L27" s="48">
        <f>L16+L17+L21+L24+L25+L26</f>
        <v>144.44756896971455</v>
      </c>
      <c r="M27" s="48">
        <f>M16+M17+M21+M24+M25+M26</f>
        <v>130.62989109359162</v>
      </c>
    </row>
    <row r="28" spans="1:14" s="1" customFormat="1" x14ac:dyDescent="0.25">
      <c r="A28" s="38" t="s">
        <v>195</v>
      </c>
      <c r="B28" s="38"/>
      <c r="C28" s="38" t="s">
        <v>780</v>
      </c>
      <c r="D28" s="46">
        <v>-41.822623840472296</v>
      </c>
      <c r="E28" s="46">
        <v>-47.641418310523761</v>
      </c>
      <c r="F28" s="46">
        <v>-48.718875554263299</v>
      </c>
      <c r="G28" s="46">
        <v>-54.792557558082265</v>
      </c>
      <c r="H28" s="46">
        <v>-39.554000000000002</v>
      </c>
      <c r="I28" s="46">
        <v>-44.391999999999996</v>
      </c>
      <c r="J28" s="46">
        <v>-47.215672336106508</v>
      </c>
      <c r="K28" s="46">
        <v>-46.652408358860342</v>
      </c>
      <c r="L28" s="46">
        <v>-23.467857219714571</v>
      </c>
      <c r="M28" s="46">
        <v>-38.710755943591899</v>
      </c>
    </row>
    <row r="29" spans="1:14" s="1" customFormat="1" x14ac:dyDescent="0.25">
      <c r="A29" s="38" t="s">
        <v>196</v>
      </c>
      <c r="B29" s="38"/>
      <c r="C29" s="38" t="s">
        <v>652</v>
      </c>
      <c r="D29" s="46">
        <v>-40.092097619999997</v>
      </c>
      <c r="E29" s="46">
        <v>-39.220981200000004</v>
      </c>
      <c r="F29" s="46">
        <v>-39.232773510000001</v>
      </c>
      <c r="G29" s="46">
        <v>-40.060737930000002</v>
      </c>
      <c r="H29" s="46">
        <v>-39.192</v>
      </c>
      <c r="I29" s="46">
        <v>-40.274000000000001</v>
      </c>
      <c r="J29" s="46">
        <v>-42.339745700000002</v>
      </c>
      <c r="K29" s="46">
        <v>-42.010554109999994</v>
      </c>
      <c r="L29" s="46">
        <v>-39.98271175</v>
      </c>
      <c r="M29" s="46">
        <v>-30.303135149999999</v>
      </c>
    </row>
    <row r="30" spans="1:14" x14ac:dyDescent="0.25">
      <c r="A30" s="53" t="s">
        <v>218</v>
      </c>
      <c r="B30" s="53"/>
      <c r="C30" s="53" t="s">
        <v>615</v>
      </c>
      <c r="D30" s="50">
        <v>108.54800000000007</v>
      </c>
      <c r="E30" s="50">
        <v>111.65299999999991</v>
      </c>
      <c r="F30" s="50">
        <v>116.11200000000005</v>
      </c>
      <c r="G30" s="50">
        <v>121.44365875900002</v>
      </c>
      <c r="H30" s="50">
        <v>121.17499999999995</v>
      </c>
      <c r="I30" s="50">
        <f>SUM(I27:I29)</f>
        <v>125.2243123060731</v>
      </c>
      <c r="J30" s="50">
        <f>SUM(J27:J29)</f>
        <v>123.01899999999998</v>
      </c>
      <c r="K30" s="50">
        <f>SUM(K27:K29)</f>
        <v>119.6649666800003</v>
      </c>
      <c r="L30" s="50">
        <f>SUM(L27:L29)</f>
        <v>80.996999999999986</v>
      </c>
      <c r="M30" s="50">
        <f>SUM(M27:M29)</f>
        <v>61.61599999999973</v>
      </c>
    </row>
    <row r="31" spans="1:14" x14ac:dyDescent="0.25">
      <c r="A31" s="38" t="s">
        <v>211</v>
      </c>
      <c r="B31" s="38"/>
      <c r="C31" s="38" t="s">
        <v>653</v>
      </c>
      <c r="D31" s="46">
        <v>0</v>
      </c>
      <c r="E31" s="46">
        <v>0</v>
      </c>
      <c r="F31" s="46">
        <v>0</v>
      </c>
      <c r="G31" s="46">
        <v>-39.670999999999999</v>
      </c>
      <c r="H31" s="46">
        <v>-1.6209999999999987</v>
      </c>
      <c r="I31" s="46">
        <v>7.5</v>
      </c>
      <c r="J31" s="46">
        <v>7.5</v>
      </c>
      <c r="K31" s="46">
        <v>25.936</v>
      </c>
      <c r="L31" s="46">
        <v>0</v>
      </c>
      <c r="M31" s="46">
        <v>0</v>
      </c>
    </row>
    <row r="32" spans="1:14" x14ac:dyDescent="0.25">
      <c r="A32" s="53" t="s">
        <v>219</v>
      </c>
      <c r="B32" s="53"/>
      <c r="C32" s="53" t="s">
        <v>641</v>
      </c>
      <c r="D32" s="50">
        <v>108.54800000000007</v>
      </c>
      <c r="E32" s="50">
        <v>111.65299999999991</v>
      </c>
      <c r="F32" s="50">
        <v>116.11200000000005</v>
      </c>
      <c r="G32" s="50">
        <v>81.772658759000024</v>
      </c>
      <c r="H32" s="50">
        <v>119.55399999999996</v>
      </c>
      <c r="I32" s="50">
        <f>SUM(I30:I31)</f>
        <v>132.7243123060731</v>
      </c>
      <c r="J32" s="50">
        <f>SUM(J30:J31)</f>
        <v>130.51899999999998</v>
      </c>
      <c r="K32" s="50">
        <f>SUM(K30:K31)</f>
        <v>145.60096668000031</v>
      </c>
      <c r="L32" s="50">
        <f>SUM(L30:L31)</f>
        <v>80.996999999999986</v>
      </c>
      <c r="M32" s="50">
        <f>SUM(M30:M31)</f>
        <v>61.61599999999973</v>
      </c>
    </row>
    <row r="33" spans="1:13" x14ac:dyDescent="0.25">
      <c r="A33" s="1"/>
      <c r="B33" s="1"/>
      <c r="C33" s="1"/>
    </row>
    <row r="34" spans="1:13" ht="15.75" thickTop="1" x14ac:dyDescent="0.25">
      <c r="D34" s="12"/>
      <c r="E34" s="12"/>
      <c r="F34" s="12"/>
      <c r="G34" s="12"/>
      <c r="H34" s="12"/>
      <c r="I34" s="12"/>
      <c r="J34" s="12"/>
      <c r="K34" s="12"/>
      <c r="L34" s="12"/>
      <c r="M34" s="12"/>
    </row>
    <row r="35" spans="1:13" x14ac:dyDescent="0.25">
      <c r="A35" s="54" t="s">
        <v>220</v>
      </c>
      <c r="B35" s="54"/>
      <c r="C35" s="54" t="s">
        <v>639</v>
      </c>
      <c r="D35" s="44"/>
      <c r="E35" s="44"/>
      <c r="F35" s="44"/>
      <c r="G35" s="44"/>
      <c r="H35" s="44"/>
      <c r="I35" s="44"/>
      <c r="J35" s="44"/>
      <c r="K35" s="44"/>
      <c r="L35" s="44"/>
      <c r="M35" s="44"/>
    </row>
    <row r="36" spans="1:13" x14ac:dyDescent="0.25">
      <c r="A36" s="38" t="s">
        <v>134</v>
      </c>
      <c r="B36" s="38"/>
      <c r="C36" s="38" t="s">
        <v>647</v>
      </c>
      <c r="D36" s="46">
        <f t="shared" ref="D36:L37" si="0">D22</f>
        <v>-47.755902380000002</v>
      </c>
      <c r="E36" s="46">
        <f t="shared" si="0"/>
        <v>-47.740609060000018</v>
      </c>
      <c r="F36" s="46">
        <f t="shared" si="0"/>
        <v>-48.606226489999997</v>
      </c>
      <c r="G36" s="46">
        <f t="shared" si="0"/>
        <v>-51.232262069999997</v>
      </c>
      <c r="H36" s="46">
        <f t="shared" si="0"/>
        <v>-49.174999999999997</v>
      </c>
      <c r="I36" s="49">
        <f t="shared" si="0"/>
        <v>-49.930999999999997</v>
      </c>
      <c r="J36" s="46">
        <f t="shared" si="0"/>
        <v>-49.231254300000003</v>
      </c>
      <c r="K36" s="46">
        <f t="shared" si="0"/>
        <v>-52.056445889999999</v>
      </c>
      <c r="L36" s="46">
        <f t="shared" si="0"/>
        <v>-57.647288249999995</v>
      </c>
      <c r="M36" s="46">
        <f>M22</f>
        <v>-57.507864849999997</v>
      </c>
    </row>
    <row r="37" spans="1:13" x14ac:dyDescent="0.25">
      <c r="A37" s="38" t="s">
        <v>135</v>
      </c>
      <c r="B37" s="38"/>
      <c r="C37" s="38" t="s">
        <v>781</v>
      </c>
      <c r="D37" s="46">
        <f t="shared" si="0"/>
        <v>-20.986589257799999</v>
      </c>
      <c r="E37" s="46">
        <f t="shared" si="0"/>
        <v>-23.298693979099998</v>
      </c>
      <c r="F37" s="46">
        <f t="shared" si="0"/>
        <v>-23.166872790399996</v>
      </c>
      <c r="G37" s="46">
        <f t="shared" si="0"/>
        <v>-22.796737386700002</v>
      </c>
      <c r="H37" s="46">
        <f t="shared" si="0"/>
        <v>-24.931873018499999</v>
      </c>
      <c r="I37" s="49">
        <f t="shared" si="0"/>
        <v>-26.373831748299899</v>
      </c>
      <c r="J37" s="46">
        <f t="shared" si="0"/>
        <v>-27.198849202600002</v>
      </c>
      <c r="K37" s="46">
        <f t="shared" si="0"/>
        <v>-29.31538926</v>
      </c>
      <c r="L37" s="46">
        <f t="shared" si="0"/>
        <v>-30.294834521799999</v>
      </c>
      <c r="M37" s="46">
        <f>M23</f>
        <v>-27.674405527600001</v>
      </c>
    </row>
    <row r="38" spans="1:13" x14ac:dyDescent="0.25">
      <c r="A38" s="38" t="s">
        <v>131</v>
      </c>
      <c r="B38" s="38"/>
      <c r="C38" s="38" t="s">
        <v>652</v>
      </c>
      <c r="D38" s="46">
        <f t="shared" ref="D38:H38" si="1">D29</f>
        <v>-40.092097619999997</v>
      </c>
      <c r="E38" s="46">
        <f t="shared" si="1"/>
        <v>-39.220981200000004</v>
      </c>
      <c r="F38" s="46">
        <f t="shared" si="1"/>
        <v>-39.232773510000001</v>
      </c>
      <c r="G38" s="46">
        <f t="shared" si="1"/>
        <v>-40.060737930000002</v>
      </c>
      <c r="H38" s="46">
        <f t="shared" si="1"/>
        <v>-39.192</v>
      </c>
      <c r="I38" s="49">
        <f>I29</f>
        <v>-40.274000000000001</v>
      </c>
      <c r="J38" s="46">
        <f>J29</f>
        <v>-42.339745700000002</v>
      </c>
      <c r="K38" s="46">
        <f>K29</f>
        <v>-42.010554109999994</v>
      </c>
      <c r="L38" s="46">
        <f>L29</f>
        <v>-39.98271175</v>
      </c>
      <c r="M38" s="46">
        <f>M29</f>
        <v>-30.303135149999999</v>
      </c>
    </row>
    <row r="39" spans="1:13" x14ac:dyDescent="0.25">
      <c r="A39" s="38" t="s">
        <v>130</v>
      </c>
      <c r="B39" s="38"/>
      <c r="C39" s="38" t="s">
        <v>627</v>
      </c>
      <c r="D39" s="46">
        <f t="shared" ref="D39:H39" si="2">D24</f>
        <v>-13.88992040886297</v>
      </c>
      <c r="E39" s="46">
        <f t="shared" si="2"/>
        <v>-28.904467542737702</v>
      </c>
      <c r="F39" s="46">
        <f t="shared" si="2"/>
        <v>-20.130263671160542</v>
      </c>
      <c r="G39" s="46">
        <f t="shared" si="2"/>
        <v>-15.445304625240361</v>
      </c>
      <c r="H39" s="46">
        <f t="shared" si="2"/>
        <v>-11.126202603309199</v>
      </c>
      <c r="I39" s="49">
        <f>I24</f>
        <v>-13.992855945626999</v>
      </c>
      <c r="J39" s="46">
        <f>J24</f>
        <v>-21.6821502163845</v>
      </c>
      <c r="K39" s="46">
        <f>K24</f>
        <v>-20.789256800465299</v>
      </c>
      <c r="L39" s="46">
        <f>L24</f>
        <v>-11.342000000000001</v>
      </c>
      <c r="M39" s="46">
        <f>M24</f>
        <v>-27.368346710875802</v>
      </c>
    </row>
    <row r="40" spans="1:13" s="1" customFormat="1" ht="17.25" customHeight="1" x14ac:dyDescent="0.25">
      <c r="A40" s="57" t="s">
        <v>221</v>
      </c>
      <c r="B40" s="57"/>
      <c r="C40" s="53" t="s">
        <v>221</v>
      </c>
      <c r="D40" s="55">
        <f>SUM(D36:D39)</f>
        <v>-122.72450966666295</v>
      </c>
      <c r="E40" s="55">
        <f t="shared" ref="E40:H40" si="3">SUM(E36:E39)</f>
        <v>-139.16475178183774</v>
      </c>
      <c r="F40" s="55">
        <f t="shared" si="3"/>
        <v>-131.13613646156054</v>
      </c>
      <c r="G40" s="55">
        <f t="shared" si="3"/>
        <v>-129.53504201194036</v>
      </c>
      <c r="H40" s="55">
        <f t="shared" si="3"/>
        <v>-124.42507562180919</v>
      </c>
      <c r="I40" s="56">
        <f>SUM(I36:I39)</f>
        <v>-130.57168769392689</v>
      </c>
      <c r="J40" s="55">
        <f>SUM(J36:J39)</f>
        <v>-140.45199941898449</v>
      </c>
      <c r="K40" s="55">
        <f>SUM(K36:K39)</f>
        <v>-144.17164606046529</v>
      </c>
      <c r="L40" s="55">
        <f>SUM(L36:L39)</f>
        <v>-139.26683452180001</v>
      </c>
      <c r="M40" s="55">
        <f>SUM(M36:M39)</f>
        <v>-142.85375223847581</v>
      </c>
    </row>
    <row r="41" spans="1:13" s="1" customFormat="1" x14ac:dyDescent="0.25">
      <c r="D41" s="17"/>
      <c r="E41" s="17"/>
      <c r="F41" s="17"/>
      <c r="G41" s="17"/>
      <c r="H41" s="17"/>
      <c r="I41" s="17"/>
      <c r="J41" s="17"/>
      <c r="K41" s="17"/>
      <c r="L41" s="17"/>
      <c r="M41" s="17"/>
    </row>
    <row r="42" spans="1:13" x14ac:dyDescent="0.25">
      <c r="D42" s="13"/>
      <c r="E42" s="13"/>
      <c r="F42" s="13"/>
      <c r="G42" s="13"/>
      <c r="H42" s="13"/>
      <c r="I42" s="13"/>
      <c r="J42" s="13"/>
      <c r="K42" s="13"/>
      <c r="L42" s="13"/>
      <c r="M42" s="13"/>
    </row>
    <row r="43" spans="1:13" x14ac:dyDescent="0.25">
      <c r="A43" s="54" t="s">
        <v>222</v>
      </c>
      <c r="B43" s="54"/>
      <c r="C43" s="54" t="s">
        <v>640</v>
      </c>
      <c r="D43" s="44"/>
      <c r="E43" s="44"/>
      <c r="F43" s="44"/>
      <c r="G43" s="44"/>
      <c r="H43" s="44"/>
      <c r="I43" s="44"/>
      <c r="J43" s="44"/>
      <c r="K43" s="44"/>
      <c r="L43" s="44"/>
      <c r="M43" s="44"/>
    </row>
    <row r="44" spans="1:13" x14ac:dyDescent="0.25">
      <c r="A44" s="51" t="s">
        <v>212</v>
      </c>
      <c r="B44" s="51"/>
      <c r="C44" s="52" t="s">
        <v>782</v>
      </c>
      <c r="D44" s="31">
        <f>D11</f>
        <v>230.23561643713529</v>
      </c>
      <c r="E44" s="31">
        <f t="shared" ref="E44:H44" si="4">E11</f>
        <v>253.57556110236138</v>
      </c>
      <c r="F44" s="31">
        <f t="shared" si="4"/>
        <v>235.19392546582387</v>
      </c>
      <c r="G44" s="31">
        <f t="shared" si="4"/>
        <v>239.59407398902263</v>
      </c>
      <c r="H44" s="31">
        <f t="shared" si="4"/>
        <v>233.93399999999997</v>
      </c>
      <c r="I44" s="31">
        <f>I11</f>
        <v>239.84299999999999</v>
      </c>
      <c r="J44" s="31">
        <f>J11</f>
        <v>262.66044617509095</v>
      </c>
      <c r="K44" s="31">
        <f>K11</f>
        <v>258.48581152932593</v>
      </c>
      <c r="L44" s="31">
        <f>L11</f>
        <v>253.31737973151459</v>
      </c>
      <c r="M44" s="31">
        <f>M11</f>
        <v>285.1058408720674</v>
      </c>
    </row>
    <row r="45" spans="1:13" x14ac:dyDescent="0.25">
      <c r="A45" s="38" t="s">
        <v>128</v>
      </c>
      <c r="B45" s="38"/>
      <c r="C45" s="38" t="s">
        <v>669</v>
      </c>
      <c r="D45" s="46">
        <f>D15</f>
        <v>-22.463000000000001</v>
      </c>
      <c r="E45" s="46">
        <f t="shared" ref="E45:H45" si="5">E15</f>
        <v>-33.128</v>
      </c>
      <c r="F45" s="46">
        <f t="shared" si="5"/>
        <v>-33.128999999999998</v>
      </c>
      <c r="G45" s="46">
        <f t="shared" si="5"/>
        <v>-29.491</v>
      </c>
      <c r="H45" s="46">
        <f t="shared" si="5"/>
        <v>-29.876999999999999</v>
      </c>
      <c r="I45" s="46">
        <f>I15</f>
        <v>-19.338999999999999</v>
      </c>
      <c r="J45" s="46">
        <f>J15</f>
        <v>-34.1</v>
      </c>
      <c r="K45" s="46">
        <f>K15</f>
        <v>-47.381</v>
      </c>
      <c r="L45" s="46">
        <f>L15</f>
        <v>-60.816000000000003</v>
      </c>
      <c r="M45" s="46">
        <f>M15</f>
        <v>-93.204999999999998</v>
      </c>
    </row>
    <row r="46" spans="1:13" x14ac:dyDescent="0.25">
      <c r="A46" s="52" t="s">
        <v>214</v>
      </c>
      <c r="B46" s="52"/>
      <c r="C46" s="52" t="s">
        <v>637</v>
      </c>
      <c r="D46" s="31">
        <f>D44+D45</f>
        <v>207.7726164371353</v>
      </c>
      <c r="E46" s="31">
        <f t="shared" ref="E46:H46" si="6">E44+E45</f>
        <v>220.44756110236136</v>
      </c>
      <c r="F46" s="31">
        <f t="shared" si="6"/>
        <v>202.06492546582388</v>
      </c>
      <c r="G46" s="31">
        <f t="shared" si="6"/>
        <v>210.10307398902262</v>
      </c>
      <c r="H46" s="31">
        <f t="shared" si="6"/>
        <v>204.05699999999996</v>
      </c>
      <c r="I46" s="31">
        <f>I44+I45</f>
        <v>220.50399999999999</v>
      </c>
      <c r="J46" s="31">
        <f>J44+J45</f>
        <v>228.56044617509096</v>
      </c>
      <c r="K46" s="31">
        <f>K44+K45</f>
        <v>211.10481152932593</v>
      </c>
      <c r="L46" s="31">
        <f>L44+L45</f>
        <v>192.50137973151459</v>
      </c>
      <c r="M46" s="31">
        <f>M44+M45</f>
        <v>191.90084087206742</v>
      </c>
    </row>
    <row r="47" spans="1:13" x14ac:dyDescent="0.25">
      <c r="A47" s="38" t="s">
        <v>246</v>
      </c>
      <c r="B47" s="38"/>
      <c r="C47" s="38" t="s">
        <v>783</v>
      </c>
      <c r="D47" s="30">
        <f>D17</f>
        <v>75.903517070000007</v>
      </c>
      <c r="E47" s="30">
        <f t="shared" ref="E47:H47" si="7">E17</f>
        <v>87.865018730000003</v>
      </c>
      <c r="F47" s="30">
        <f t="shared" si="7"/>
        <v>94.443910549999998</v>
      </c>
      <c r="G47" s="30">
        <f t="shared" si="7"/>
        <v>91.627248680000008</v>
      </c>
      <c r="H47" s="30">
        <f t="shared" si="7"/>
        <v>74.536000000000001</v>
      </c>
      <c r="I47" s="30">
        <f>I17</f>
        <v>87.333000000000013</v>
      </c>
      <c r="J47" s="30">
        <f>J17</f>
        <v>78.867044910000004</v>
      </c>
      <c r="K47" s="30">
        <f>K17</f>
        <v>96.267664409999995</v>
      </c>
      <c r="L47" s="30">
        <f>L17</f>
        <v>50.700900709999999</v>
      </c>
      <c r="M47" s="30">
        <f>M17</f>
        <v>59.041784770000007</v>
      </c>
    </row>
    <row r="48" spans="1:13" x14ac:dyDescent="0.25">
      <c r="A48" s="38" t="s">
        <v>136</v>
      </c>
      <c r="B48" s="38"/>
      <c r="C48" s="38" t="s">
        <v>784</v>
      </c>
      <c r="D48" s="46">
        <f>D21</f>
        <v>-68.742491637800001</v>
      </c>
      <c r="E48" s="46">
        <f t="shared" ref="E48:H48" si="8">E21</f>
        <v>-71.0397127791</v>
      </c>
      <c r="F48" s="46">
        <f t="shared" si="8"/>
        <v>-71.773099280400004</v>
      </c>
      <c r="G48" s="46">
        <f t="shared" si="8"/>
        <v>-74.028999456699992</v>
      </c>
      <c r="H48" s="46">
        <f t="shared" si="8"/>
        <v>-73.759999999999991</v>
      </c>
      <c r="I48" s="46">
        <f>I21</f>
        <v>-76.304831748299904</v>
      </c>
      <c r="J48" s="46">
        <f>J21</f>
        <v>-76.430103502600005</v>
      </c>
      <c r="K48" s="46">
        <f>K21</f>
        <v>-81.371835149999995</v>
      </c>
      <c r="L48" s="46">
        <f>L21</f>
        <v>-87.942122771800001</v>
      </c>
      <c r="M48" s="46">
        <f>M21</f>
        <v>-85.182270377599991</v>
      </c>
    </row>
    <row r="49" spans="1:13" x14ac:dyDescent="0.25">
      <c r="A49" s="38" t="s">
        <v>130</v>
      </c>
      <c r="B49" s="38"/>
      <c r="C49" s="38" t="s">
        <v>648</v>
      </c>
      <c r="D49" s="46">
        <f>D24</f>
        <v>-13.88992040886297</v>
      </c>
      <c r="E49" s="46">
        <f t="shared" ref="E49:M51" si="9">E24</f>
        <v>-28.904467542737702</v>
      </c>
      <c r="F49" s="46">
        <f t="shared" si="9"/>
        <v>-20.130263671160542</v>
      </c>
      <c r="G49" s="46">
        <f t="shared" si="9"/>
        <v>-15.445304625240361</v>
      </c>
      <c r="H49" s="46">
        <f t="shared" si="9"/>
        <v>-11.126202603309199</v>
      </c>
      <c r="I49" s="46">
        <f t="shared" si="9"/>
        <v>-13.992855945626999</v>
      </c>
      <c r="J49" s="46">
        <f t="shared" si="9"/>
        <v>-21.6821502163845</v>
      </c>
      <c r="K49" s="46">
        <f t="shared" si="9"/>
        <v>-20.789256800465299</v>
      </c>
      <c r="L49" s="46">
        <f>L24</f>
        <v>-11.342000000000001</v>
      </c>
      <c r="M49" s="46">
        <f>M24</f>
        <v>-27.368346710875802</v>
      </c>
    </row>
    <row r="50" spans="1:13" x14ac:dyDescent="0.25">
      <c r="A50" s="38" t="s">
        <v>294</v>
      </c>
      <c r="B50" s="38"/>
      <c r="C50" s="38" t="s">
        <v>628</v>
      </c>
      <c r="D50" s="46">
        <f>D25</f>
        <v>-0.64600000000000002</v>
      </c>
      <c r="E50" s="46">
        <f t="shared" si="9"/>
        <v>0.496</v>
      </c>
      <c r="F50" s="46">
        <f t="shared" si="9"/>
        <v>-0.48482399999999998</v>
      </c>
      <c r="G50" s="46">
        <f t="shared" si="9"/>
        <v>5.11093566</v>
      </c>
      <c r="H50" s="46">
        <f t="shared" si="9"/>
        <v>7.2759999999999998</v>
      </c>
      <c r="I50" s="46">
        <f t="shared" si="9"/>
        <v>-7.5220000000000002</v>
      </c>
      <c r="J50" s="46">
        <f t="shared" si="9"/>
        <v>4.6611806700000002</v>
      </c>
      <c r="K50" s="46">
        <f t="shared" si="9"/>
        <v>3.2265451600000001</v>
      </c>
      <c r="L50" s="46">
        <f>L25</f>
        <v>1.5024112999999999</v>
      </c>
      <c r="M50" s="46">
        <f>M25</f>
        <v>-7.7221174599999998</v>
      </c>
    </row>
    <row r="51" spans="1:13" x14ac:dyDescent="0.25">
      <c r="A51" s="38" t="s">
        <v>197</v>
      </c>
      <c r="B51" s="38"/>
      <c r="C51" s="38" t="s">
        <v>650</v>
      </c>
      <c r="D51" s="46">
        <f>D26</f>
        <v>-9.9350000000000005</v>
      </c>
      <c r="E51" s="46">
        <f t="shared" si="9"/>
        <v>-10.349</v>
      </c>
      <c r="F51" s="46">
        <f t="shared" si="9"/>
        <v>-5.7000000000000002E-2</v>
      </c>
      <c r="G51" s="46">
        <f t="shared" si="9"/>
        <v>-1.07</v>
      </c>
      <c r="H51" s="46">
        <f t="shared" si="9"/>
        <v>-0.71499999999999997</v>
      </c>
      <c r="I51" s="46">
        <f t="shared" si="9"/>
        <v>-0.127</v>
      </c>
      <c r="J51" s="46">
        <f t="shared" si="9"/>
        <v>-1.4019999999999999</v>
      </c>
      <c r="K51" s="46">
        <f t="shared" si="9"/>
        <v>-0.11</v>
      </c>
      <c r="L51" s="46">
        <f t="shared" si="9"/>
        <v>-0.97299999999999998</v>
      </c>
      <c r="M51" s="46">
        <f t="shared" si="9"/>
        <v>-0.04</v>
      </c>
    </row>
    <row r="52" spans="1:13" s="1" customFormat="1" x14ac:dyDescent="0.25">
      <c r="A52" s="53" t="s">
        <v>222</v>
      </c>
      <c r="B52" s="53"/>
      <c r="C52" s="53" t="s">
        <v>640</v>
      </c>
      <c r="D52" s="43">
        <f>SUM(D46:D51)</f>
        <v>190.46272146047235</v>
      </c>
      <c r="E52" s="43">
        <f t="shared" ref="E52:H52" si="10">SUM(E46:E51)</f>
        <v>198.51539951052371</v>
      </c>
      <c r="F52" s="43">
        <f t="shared" si="10"/>
        <v>204.06364906426333</v>
      </c>
      <c r="G52" s="43">
        <f t="shared" si="10"/>
        <v>216.29695424708225</v>
      </c>
      <c r="H52" s="43">
        <f t="shared" si="10"/>
        <v>200.26779739669078</v>
      </c>
      <c r="I52" s="43">
        <f>SUM(I46:I51)</f>
        <v>209.8903123060731</v>
      </c>
      <c r="J52" s="43">
        <f>SUM(J46:J51)</f>
        <v>212.57441803610649</v>
      </c>
      <c r="K52" s="43">
        <f>SUM(K46:K51)</f>
        <v>208.32792914886062</v>
      </c>
      <c r="L52" s="43">
        <f>SUM(L46:L51)</f>
        <v>144.44756896971455</v>
      </c>
      <c r="M52" s="43">
        <f>SUM(M46:M51)</f>
        <v>130.62989109359162</v>
      </c>
    </row>
    <row r="54" spans="1:13" x14ac:dyDescent="0.25">
      <c r="A54" s="267"/>
      <c r="B54" s="214"/>
      <c r="C54" s="214"/>
    </row>
    <row r="55" spans="1:13" ht="21" customHeight="1" x14ac:dyDescent="0.25">
      <c r="A55" s="267"/>
      <c r="B55" s="214"/>
      <c r="C55" s="214"/>
    </row>
    <row r="56" spans="1:13" x14ac:dyDescent="0.25">
      <c r="A56" s="267"/>
      <c r="B56" s="214"/>
      <c r="C56" s="214"/>
    </row>
    <row r="57" spans="1:13" x14ac:dyDescent="0.25">
      <c r="A57" s="267"/>
      <c r="B57" s="214"/>
      <c r="C57" s="214"/>
    </row>
    <row r="58" spans="1:13" x14ac:dyDescent="0.25">
      <c r="A58" s="267"/>
      <c r="B58" s="214"/>
      <c r="C58" s="214"/>
    </row>
    <row r="59" spans="1:13" x14ac:dyDescent="0.25">
      <c r="A59" s="267"/>
      <c r="B59" s="214"/>
      <c r="C59" s="214"/>
    </row>
    <row r="60" spans="1:13" x14ac:dyDescent="0.25">
      <c r="A60" s="267"/>
      <c r="B60" s="214"/>
      <c r="C60" s="214"/>
    </row>
  </sheetData>
  <mergeCells count="1">
    <mergeCell ref="A54:A60"/>
  </mergeCells>
  <hyperlinks>
    <hyperlink ref="D6" location="'Índice - Index'!A1" display="Index" xr:uid="{06D29B3D-238F-4C3B-981F-53D1EC43A65B}"/>
    <hyperlink ref="M6" location="'Índice - Index'!A1" display="Index" xr:uid="{DDE783F9-987B-47C0-9EE9-559CD936C8E1}"/>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BF56-4283-415E-94DC-73342F71B013}">
  <sheetPr codeName="Planilha2">
    <tabColor theme="3" tint="0.39997558519241921"/>
    <pageSetUpPr autoPageBreaks="0"/>
  </sheetPr>
  <dimension ref="B2:P80"/>
  <sheetViews>
    <sheetView showGridLines="0" zoomScale="80" zoomScaleNormal="80" workbookViewId="0">
      <pane xSplit="5" ySplit="9" topLeftCell="K10" activePane="bottomRight" state="frozen"/>
      <selection activeCell="D1" sqref="D1"/>
      <selection pane="topRight" activeCell="D1" sqref="D1"/>
      <selection pane="bottomLeft" activeCell="D1" sqref="D1"/>
      <selection pane="bottomRight" activeCell="O8" sqref="O8"/>
    </sheetView>
  </sheetViews>
  <sheetFormatPr defaultColWidth="12" defaultRowHeight="15" outlineLevelCol="1" x14ac:dyDescent="0.25"/>
  <cols>
    <col min="1" max="1" width="2.7109375" customWidth="1"/>
    <col min="2" max="2" width="1.7109375" customWidth="1" outlineLevel="1"/>
    <col min="3" max="3" width="47.7109375" customWidth="1" outlineLevel="1"/>
    <col min="4" max="4" width="1.7109375" customWidth="1"/>
    <col min="5" max="5" width="41.140625" customWidth="1" outlineLevel="1"/>
    <col min="6" max="10" width="12.140625" bestFit="1" customWidth="1"/>
    <col min="12" max="13" width="13.5703125" bestFit="1" customWidth="1"/>
    <col min="17" max="17" width="13.42578125" bestFit="1" customWidth="1"/>
  </cols>
  <sheetData>
    <row r="2" spans="2:15" x14ac:dyDescent="0.25">
      <c r="B2" t="s">
        <v>429</v>
      </c>
    </row>
    <row r="3" spans="2:15" ht="21" x14ac:dyDescent="0.35">
      <c r="B3" s="4"/>
      <c r="C3" s="4" t="s">
        <v>485</v>
      </c>
      <c r="D3" s="4"/>
      <c r="E3" s="4"/>
    </row>
    <row r="4" spans="2:15" ht="15" customHeight="1" x14ac:dyDescent="0.25">
      <c r="C4" s="3"/>
      <c r="D4" s="3"/>
      <c r="E4" s="3"/>
    </row>
    <row r="5" spans="2:15" x14ac:dyDescent="0.25">
      <c r="C5" s="2"/>
      <c r="D5" s="2"/>
      <c r="E5" s="141"/>
    </row>
    <row r="6" spans="2:15" x14ac:dyDescent="0.25">
      <c r="O6" s="236" t="s">
        <v>486</v>
      </c>
    </row>
    <row r="7" spans="2:15" ht="16.5" customHeight="1" x14ac:dyDescent="0.3">
      <c r="B7" s="40" t="s">
        <v>337</v>
      </c>
      <c r="C7" s="41"/>
      <c r="D7" s="41"/>
      <c r="E7" s="40" t="s">
        <v>436</v>
      </c>
    </row>
    <row r="8" spans="2:15" ht="30" x14ac:dyDescent="0.25">
      <c r="B8" s="215" t="s">
        <v>434</v>
      </c>
      <c r="C8" s="216"/>
      <c r="D8" s="216"/>
      <c r="E8" s="215" t="s">
        <v>435</v>
      </c>
      <c r="F8" s="147" t="s">
        <v>437</v>
      </c>
      <c r="G8" s="147" t="s">
        <v>438</v>
      </c>
      <c r="H8" s="147" t="s">
        <v>439</v>
      </c>
      <c r="I8" s="147" t="s">
        <v>440</v>
      </c>
      <c r="J8" s="147" t="s">
        <v>441</v>
      </c>
      <c r="K8" s="147" t="s">
        <v>826</v>
      </c>
      <c r="L8" s="147" t="s">
        <v>844</v>
      </c>
      <c r="M8" s="147" t="s">
        <v>850</v>
      </c>
      <c r="N8" s="147" t="s">
        <v>854</v>
      </c>
      <c r="O8" s="147" t="s">
        <v>861</v>
      </c>
    </row>
    <row r="9" spans="2:15" s="3" customFormat="1" x14ac:dyDescent="0.25">
      <c r="B9" s="145" t="s">
        <v>338</v>
      </c>
      <c r="C9" s="146"/>
      <c r="D9" s="146"/>
      <c r="E9" s="145" t="s">
        <v>433</v>
      </c>
      <c r="F9" s="147"/>
      <c r="G9" s="147"/>
      <c r="H9" s="147"/>
      <c r="I9" s="147"/>
      <c r="J9" s="147"/>
      <c r="K9" s="147"/>
      <c r="L9" s="147"/>
      <c r="M9" s="147"/>
      <c r="N9" s="147"/>
      <c r="O9" s="147"/>
    </row>
    <row r="10" spans="2:15" ht="15" customHeight="1" x14ac:dyDescent="0.25">
      <c r="F10" s="9"/>
      <c r="G10" s="9"/>
      <c r="H10" s="9"/>
      <c r="I10" s="9"/>
      <c r="J10" s="9"/>
      <c r="K10" s="9"/>
      <c r="L10" s="9"/>
      <c r="M10" s="9"/>
      <c r="N10" s="9"/>
      <c r="O10" s="9"/>
    </row>
    <row r="11" spans="2:15" x14ac:dyDescent="0.25">
      <c r="B11" s="148" t="s">
        <v>339</v>
      </c>
      <c r="C11" s="149"/>
      <c r="D11" s="149"/>
      <c r="E11" s="148" t="s">
        <v>475</v>
      </c>
      <c r="F11" s="150"/>
      <c r="G11" s="150"/>
      <c r="H11" s="150"/>
      <c r="I11" s="150"/>
      <c r="J11" s="150"/>
      <c r="K11" s="150"/>
      <c r="L11" s="150"/>
      <c r="M11" s="150"/>
      <c r="N11" s="150"/>
      <c r="O11" s="150"/>
    </row>
    <row r="13" spans="2:15" x14ac:dyDescent="0.25">
      <c r="C13" s="75" t="s">
        <v>340</v>
      </c>
      <c r="D13" s="75"/>
      <c r="E13" s="75" t="s">
        <v>442</v>
      </c>
      <c r="F13" s="127">
        <v>122.40600000000001</v>
      </c>
      <c r="G13" s="127">
        <v>136.33999999999997</v>
      </c>
      <c r="H13" s="127">
        <v>151.45999999999989</v>
      </c>
      <c r="I13" s="127">
        <v>161.96700000000001</v>
      </c>
      <c r="J13" s="127">
        <v>183.16200000000001</v>
      </c>
      <c r="K13" s="127">
        <v>201.65199999999999</v>
      </c>
      <c r="L13" s="127">
        <v>218.148</v>
      </c>
      <c r="M13" s="127">
        <v>197.27199999999999</v>
      </c>
      <c r="N13" s="127">
        <v>190.023</v>
      </c>
      <c r="O13" s="127">
        <v>201.87799999999999</v>
      </c>
    </row>
    <row r="14" spans="2:15" x14ac:dyDescent="0.25">
      <c r="C14" s="75" t="s">
        <v>341</v>
      </c>
      <c r="D14" s="75"/>
      <c r="E14" s="75" t="s">
        <v>443</v>
      </c>
      <c r="F14" s="127">
        <v>122.40600000000001</v>
      </c>
      <c r="G14" s="127">
        <v>136.33999999999997</v>
      </c>
      <c r="H14" s="127">
        <v>151.45999999999989</v>
      </c>
      <c r="I14" s="127">
        <v>161.96700000000001</v>
      </c>
      <c r="J14" s="127">
        <v>183.16200000000001</v>
      </c>
      <c r="K14" s="127">
        <v>201.65199999999999</v>
      </c>
      <c r="L14" s="127">
        <v>218.148</v>
      </c>
      <c r="M14" s="127">
        <v>197.27199999999999</v>
      </c>
      <c r="N14" s="127">
        <v>190.023</v>
      </c>
      <c r="O14" s="127">
        <v>201.87799999999999</v>
      </c>
    </row>
    <row r="15" spans="2:15" x14ac:dyDescent="0.25">
      <c r="C15" s="75" t="s">
        <v>304</v>
      </c>
      <c r="D15" s="75"/>
      <c r="E15" s="75" t="s">
        <v>444</v>
      </c>
      <c r="F15" s="127">
        <v>315.91500000000002</v>
      </c>
      <c r="G15" s="127">
        <v>345.6662615346591</v>
      </c>
      <c r="H15" s="127">
        <v>380.85130483116012</v>
      </c>
      <c r="I15" s="127">
        <v>422.055623662725</v>
      </c>
      <c r="J15" s="127">
        <v>447.51802266823103</v>
      </c>
      <c r="K15" s="127">
        <v>476.81765908535101</v>
      </c>
      <c r="L15" s="127">
        <v>537.65818004886444</v>
      </c>
      <c r="M15" s="127">
        <v>557.00573450472268</v>
      </c>
      <c r="N15" s="127">
        <v>549.69365408565898</v>
      </c>
      <c r="O15" s="127">
        <v>544.39701847965455</v>
      </c>
    </row>
    <row r="16" spans="2:15" x14ac:dyDescent="0.25">
      <c r="C16" s="75" t="s">
        <v>342</v>
      </c>
      <c r="D16" s="75"/>
      <c r="E16" s="75" t="s">
        <v>474</v>
      </c>
      <c r="F16" s="127">
        <v>261.33600000000001</v>
      </c>
      <c r="G16" s="127">
        <v>310.00582071465908</v>
      </c>
      <c r="H16" s="127">
        <v>342.91922028183563</v>
      </c>
      <c r="I16" s="127">
        <v>377.14855110543402</v>
      </c>
      <c r="J16" s="127">
        <v>421.16678144255502</v>
      </c>
      <c r="K16" s="127">
        <v>436.55128080193498</v>
      </c>
      <c r="L16" s="127">
        <v>482.56761859591222</v>
      </c>
      <c r="M16" s="127">
        <v>443.30029756256147</v>
      </c>
      <c r="N16" s="127">
        <v>444.93893877094433</v>
      </c>
      <c r="O16" s="127">
        <v>473.63467238109058</v>
      </c>
    </row>
    <row r="19" spans="2:15" x14ac:dyDescent="0.25">
      <c r="B19" s="148" t="s">
        <v>343</v>
      </c>
      <c r="C19" s="149"/>
      <c r="D19" s="149"/>
      <c r="E19" s="148" t="s">
        <v>476</v>
      </c>
      <c r="F19" s="150"/>
      <c r="G19" s="150"/>
      <c r="H19" s="150"/>
      <c r="I19" s="150"/>
      <c r="J19" s="150"/>
      <c r="K19" s="150"/>
      <c r="L19" s="150"/>
      <c r="M19" s="150"/>
      <c r="N19" s="150"/>
      <c r="O19" s="150"/>
    </row>
    <row r="21" spans="2:15" x14ac:dyDescent="0.25">
      <c r="C21" s="75" t="s">
        <v>344</v>
      </c>
      <c r="D21" s="75"/>
      <c r="E21" s="75" t="s">
        <v>445</v>
      </c>
      <c r="F21" s="128">
        <v>215660150</v>
      </c>
      <c r="G21" s="128">
        <v>220134383</v>
      </c>
      <c r="H21" s="128">
        <v>220007594</v>
      </c>
      <c r="I21" s="128">
        <v>220092561</v>
      </c>
      <c r="J21" s="128">
        <v>220142613</v>
      </c>
      <c r="K21" s="128">
        <v>220449141</v>
      </c>
      <c r="L21" s="128">
        <v>220835816</v>
      </c>
      <c r="M21" s="128">
        <v>220852807</v>
      </c>
      <c r="N21" s="128">
        <v>221282841</v>
      </c>
      <c r="O21" s="128">
        <v>221099621</v>
      </c>
    </row>
    <row r="22" spans="2:15" x14ac:dyDescent="0.25">
      <c r="C22" s="75" t="s">
        <v>345</v>
      </c>
      <c r="D22" s="75"/>
      <c r="E22" s="75" t="s">
        <v>446</v>
      </c>
      <c r="F22" s="129">
        <v>0.56758747501566698</v>
      </c>
      <c r="G22" s="129">
        <v>0.61934895467919693</v>
      </c>
      <c r="H22" s="129">
        <v>0.68843078207564001</v>
      </c>
      <c r="I22" s="129">
        <v>0.73590401812808204</v>
      </c>
      <c r="J22" s="129">
        <v>0.83201519916546118</v>
      </c>
      <c r="K22" s="129">
        <v>0.91473252780785386</v>
      </c>
      <c r="L22" s="129">
        <f>L13*1000000/L$21</f>
        <v>0.98782889456663137</v>
      </c>
      <c r="M22" s="129">
        <f t="shared" ref="M22:N22" si="0">M13*1000000/M$21</f>
        <v>0.89322840257131075</v>
      </c>
      <c r="N22" s="129">
        <f t="shared" si="0"/>
        <v>0.85873355178045641</v>
      </c>
      <c r="O22" s="129">
        <f t="shared" ref="O22" si="1">O13*1000000/O$21</f>
        <v>0.91306352804648183</v>
      </c>
    </row>
    <row r="23" spans="2:15" x14ac:dyDescent="0.25">
      <c r="C23" s="75" t="s">
        <v>346</v>
      </c>
      <c r="D23" s="75"/>
      <c r="E23" s="75" t="s">
        <v>447</v>
      </c>
      <c r="F23" s="129">
        <v>0.56758747501566698</v>
      </c>
      <c r="G23" s="129">
        <v>0.61934895467919704</v>
      </c>
      <c r="H23" s="129">
        <v>0.68843078207564057</v>
      </c>
      <c r="I23" s="129">
        <v>0.73590401812808204</v>
      </c>
      <c r="J23" s="129">
        <v>0.83201519916546096</v>
      </c>
      <c r="K23" s="129">
        <v>0.91473252780785386</v>
      </c>
      <c r="L23" s="129">
        <f>L14*1000000/L$21</f>
        <v>0.98782889456663137</v>
      </c>
      <c r="M23" s="129">
        <f t="shared" ref="M23:N23" si="2">M14*1000000/M$21</f>
        <v>0.89322840257131075</v>
      </c>
      <c r="N23" s="129">
        <f t="shared" si="2"/>
        <v>0.85873355178045641</v>
      </c>
      <c r="O23" s="129">
        <f t="shared" ref="O23" si="3">O14*1000000/O$21</f>
        <v>0.91306352804648183</v>
      </c>
    </row>
    <row r="24" spans="2:15" x14ac:dyDescent="0.25">
      <c r="C24" s="75" t="s">
        <v>347</v>
      </c>
      <c r="D24" s="75"/>
      <c r="E24" s="75" t="s">
        <v>448</v>
      </c>
      <c r="F24" s="129">
        <v>14.5</v>
      </c>
      <c r="G24" s="129">
        <v>15.88</v>
      </c>
      <c r="H24" s="129">
        <v>14.89</v>
      </c>
      <c r="I24" s="129">
        <v>15.87</v>
      </c>
      <c r="J24" s="129">
        <v>17.23</v>
      </c>
      <c r="K24" s="129">
        <v>15.52</v>
      </c>
      <c r="L24" s="129">
        <v>20.9</v>
      </c>
      <c r="M24" s="129">
        <v>19.64</v>
      </c>
      <c r="N24" s="129">
        <v>16.829999999999998</v>
      </c>
      <c r="O24" s="129">
        <v>19.07</v>
      </c>
    </row>
    <row r="25" spans="2:15" x14ac:dyDescent="0.25">
      <c r="C25" s="75" t="s">
        <v>348</v>
      </c>
      <c r="D25" s="75"/>
      <c r="E25" s="75" t="s">
        <v>449</v>
      </c>
      <c r="F25" s="128">
        <v>3127.0721749999998</v>
      </c>
      <c r="G25" s="128">
        <v>3495.7340020400002</v>
      </c>
      <c r="H25" s="128">
        <v>3275.9130746600003</v>
      </c>
      <c r="I25" s="128">
        <v>3492.8689430699997</v>
      </c>
      <c r="J25" s="128">
        <v>3793.0572219900005</v>
      </c>
      <c r="K25" s="128">
        <v>3421.3706683199998</v>
      </c>
      <c r="L25" s="128">
        <f>L24*L21/1000000</f>
        <v>4615.4685543999994</v>
      </c>
      <c r="M25" s="128">
        <f>M24*M21/1000000</f>
        <v>4337.5491294800004</v>
      </c>
      <c r="N25" s="128">
        <f>N24*N21/1000000</f>
        <v>3724.1902140299999</v>
      </c>
      <c r="O25" s="128">
        <f>O24*O21/1000000</f>
        <v>4216.3697724700005</v>
      </c>
    </row>
    <row r="26" spans="2:15" x14ac:dyDescent="0.25">
      <c r="C26" s="75" t="s">
        <v>349</v>
      </c>
      <c r="D26" s="75"/>
      <c r="E26" s="75" t="s">
        <v>450</v>
      </c>
      <c r="F26" s="129">
        <v>20.365153228354892</v>
      </c>
      <c r="G26" s="129">
        <v>20.256581181141524</v>
      </c>
      <c r="H26" s="129">
        <v>20.706971596625884</v>
      </c>
      <c r="I26" s="129">
        <v>21.221326058357782</v>
      </c>
      <c r="J26" s="129">
        <v>21.691334244315524</v>
      </c>
      <c r="K26" s="129">
        <v>22.281855931568359</v>
      </c>
      <c r="L26" s="129">
        <v>22.967565188791657</v>
      </c>
      <c r="M26" s="129">
        <v>23.569480827744243</v>
      </c>
      <c r="N26" s="129">
        <v>23.96528341752445</v>
      </c>
      <c r="O26" s="129">
        <v>24.517504713406993</v>
      </c>
    </row>
    <row r="27" spans="2:15" x14ac:dyDescent="0.25">
      <c r="C27" s="75" t="s">
        <v>350</v>
      </c>
      <c r="D27" s="75"/>
      <c r="E27" s="75" t="s">
        <v>451</v>
      </c>
      <c r="F27" s="129">
        <v>0.71200053529728924</v>
      </c>
      <c r="G27" s="129">
        <v>0.78394275213548703</v>
      </c>
      <c r="H27" s="129">
        <v>0.71908149052690373</v>
      </c>
      <c r="I27" s="129">
        <v>0.74783262630988023</v>
      </c>
      <c r="J27" s="129">
        <v>0.79432642574835299</v>
      </c>
      <c r="K27" s="129">
        <v>0.69653084768453533</v>
      </c>
      <c r="L27" s="129">
        <v>0.90997891279304399</v>
      </c>
      <c r="M27" s="129">
        <v>0.8332809765109993</v>
      </c>
      <c r="N27" s="129">
        <v>0.70226584458805841</v>
      </c>
      <c r="O27" s="129">
        <v>0.77781161757345918</v>
      </c>
    </row>
    <row r="28" spans="2:15" x14ac:dyDescent="0.25">
      <c r="C28" s="75" t="s">
        <v>351</v>
      </c>
      <c r="D28" s="75"/>
      <c r="E28" s="75" t="s">
        <v>452</v>
      </c>
      <c r="F28" s="130">
        <v>45.935611950000002</v>
      </c>
      <c r="G28" s="130">
        <v>48.209429880000002</v>
      </c>
      <c r="H28" s="130">
        <v>51.041761809999997</v>
      </c>
      <c r="I28" s="130">
        <v>55.46332537</v>
      </c>
      <c r="J28" s="130">
        <v>68.904637870000002</v>
      </c>
      <c r="K28" s="130">
        <v>77.598097629999998</v>
      </c>
      <c r="L28" s="130">
        <v>79.942565389999999</v>
      </c>
      <c r="M28" s="130">
        <v>81.715538589999994</v>
      </c>
      <c r="N28" s="130">
        <v>0</v>
      </c>
      <c r="O28" s="130">
        <v>184.83928316000001</v>
      </c>
    </row>
    <row r="29" spans="2:15" x14ac:dyDescent="0.25">
      <c r="C29" s="75" t="s">
        <v>352</v>
      </c>
      <c r="D29" s="75"/>
      <c r="E29" s="75" t="s">
        <v>453</v>
      </c>
      <c r="F29" s="131">
        <v>0.21300000000000002</v>
      </c>
      <c r="G29" s="131">
        <v>0.21900000001362804</v>
      </c>
      <c r="H29" s="131">
        <v>0.23200000000909057</v>
      </c>
      <c r="I29" s="131">
        <v>0.25199999999091288</v>
      </c>
      <c r="J29" s="131">
        <v>0.31300000000454253</v>
      </c>
      <c r="K29" s="131">
        <v>0.35199999999092763</v>
      </c>
      <c r="L29" s="131">
        <f>L28*1000000/L21</f>
        <v>0.36199999999094351</v>
      </c>
      <c r="M29" s="131">
        <f>M28*1000000/M21</f>
        <v>0.36999999999999994</v>
      </c>
      <c r="N29" s="244">
        <f>N28*1000000/N21</f>
        <v>0</v>
      </c>
      <c r="O29" s="244">
        <f>O28*1000000/O21</f>
        <v>0.83600000001809138</v>
      </c>
    </row>
    <row r="30" spans="2:15" x14ac:dyDescent="0.25">
      <c r="C30" s="75" t="s">
        <v>353</v>
      </c>
      <c r="D30" s="75"/>
      <c r="E30" s="75" t="s">
        <v>454</v>
      </c>
      <c r="F30" s="120">
        <v>5.8758620689655178E-2</v>
      </c>
      <c r="G30" s="120">
        <v>5.5163727963130488E-2</v>
      </c>
      <c r="H30" s="120">
        <v>6.2323707188472952E-2</v>
      </c>
      <c r="I30" s="120">
        <v>6.3516068050639668E-2</v>
      </c>
      <c r="J30" s="120">
        <v>7.2663958213474752E-2</v>
      </c>
      <c r="K30" s="120">
        <v>9.0721649482197839E-2</v>
      </c>
      <c r="L30" s="120">
        <v>6.9282296648984415E-2</v>
      </c>
      <c r="M30" s="120">
        <v>7.535641547861506E-2</v>
      </c>
      <c r="N30" s="120">
        <v>0</v>
      </c>
      <c r="O30" s="120">
        <v>8.7676979550927264E-2</v>
      </c>
    </row>
    <row r="33" spans="2:16" x14ac:dyDescent="0.25">
      <c r="B33" s="148" t="s">
        <v>354</v>
      </c>
      <c r="C33" s="149"/>
      <c r="D33" s="149"/>
      <c r="E33" s="148" t="s">
        <v>477</v>
      </c>
      <c r="F33" s="150"/>
      <c r="G33" s="150"/>
      <c r="H33" s="150"/>
      <c r="I33" s="150"/>
      <c r="J33" s="150"/>
      <c r="K33" s="150"/>
      <c r="L33" s="150"/>
      <c r="M33" s="150"/>
      <c r="N33" s="150"/>
      <c r="O33" s="150"/>
    </row>
    <row r="35" spans="2:16" x14ac:dyDescent="0.25">
      <c r="C35" s="75" t="s">
        <v>355</v>
      </c>
      <c r="D35" s="75"/>
      <c r="E35" s="75" t="s">
        <v>455</v>
      </c>
      <c r="F35" s="120">
        <v>3.2323267232656432E-2</v>
      </c>
      <c r="G35" s="120">
        <v>3.4986064997468314E-2</v>
      </c>
      <c r="H35" s="120">
        <v>3.8074166984103652E-2</v>
      </c>
      <c r="I35" s="120">
        <v>4.1180933773490365E-2</v>
      </c>
      <c r="J35" s="120">
        <v>4.4171920041335959E-2</v>
      </c>
      <c r="K35" s="120">
        <v>4.4683535581136552E-2</v>
      </c>
      <c r="L35" s="120">
        <v>4.77361070426E-2</v>
      </c>
      <c r="M35" s="120">
        <v>4.7876331318002355E-2</v>
      </c>
      <c r="N35" s="243">
        <v>4.7317634317729861E-2</v>
      </c>
      <c r="O35" s="243">
        <v>4.59718793120239E-2</v>
      </c>
    </row>
    <row r="36" spans="2:16" x14ac:dyDescent="0.25">
      <c r="C36" s="75" t="s">
        <v>356</v>
      </c>
      <c r="D36" s="75"/>
      <c r="E36" s="75" t="s">
        <v>456</v>
      </c>
      <c r="F36" s="120">
        <v>0.11281875395420891</v>
      </c>
      <c r="G36" s="120">
        <v>0.12308617318596515</v>
      </c>
      <c r="H36" s="120">
        <v>0.13423939310428873</v>
      </c>
      <c r="I36" s="120">
        <v>0.14081188068456343</v>
      </c>
      <c r="J36" s="120">
        <v>0.15516292734250811</v>
      </c>
      <c r="K36" s="120">
        <v>0.16625544650718102</v>
      </c>
      <c r="L36" s="120">
        <v>0.17473974283224564</v>
      </c>
      <c r="M36" s="120">
        <v>0.15291820766902964</v>
      </c>
      <c r="N36" s="120">
        <v>0.14439711314818321</v>
      </c>
      <c r="O36" s="120">
        <v>0.15070221288680727</v>
      </c>
    </row>
    <row r="37" spans="2:16" x14ac:dyDescent="0.25">
      <c r="C37" s="75" t="s">
        <v>357</v>
      </c>
      <c r="D37" s="75"/>
      <c r="E37" s="75" t="s">
        <v>457</v>
      </c>
      <c r="F37" s="120">
        <v>0.11281875395420891</v>
      </c>
      <c r="G37" s="120">
        <v>0.12308617318596515</v>
      </c>
      <c r="H37" s="120">
        <v>0.13423939310428873</v>
      </c>
      <c r="I37" s="120">
        <v>0.14081188068456343</v>
      </c>
      <c r="J37" s="120">
        <v>0.15516292734250811</v>
      </c>
      <c r="K37" s="120">
        <v>0.16625544650718102</v>
      </c>
      <c r="L37" s="120">
        <v>0.17473974283224564</v>
      </c>
      <c r="M37" s="120">
        <v>0.15291820766902964</v>
      </c>
      <c r="N37" s="120">
        <v>0.14439711314818321</v>
      </c>
      <c r="O37" s="120">
        <v>0.15070221288680727</v>
      </c>
    </row>
    <row r="38" spans="2:16" x14ac:dyDescent="0.25">
      <c r="C38" s="75" t="s">
        <v>358</v>
      </c>
      <c r="D38" s="75"/>
      <c r="E38" s="75" t="s">
        <v>458</v>
      </c>
      <c r="F38" s="120">
        <v>1.0640553385968457E-2</v>
      </c>
      <c r="G38" s="120">
        <v>1.1177728341934997E-2</v>
      </c>
      <c r="H38" s="120">
        <v>1.2812350611970877E-2</v>
      </c>
      <c r="I38" s="120">
        <v>1.2995512094451772E-2</v>
      </c>
      <c r="J38" s="120">
        <v>1.5287152728576942E-2</v>
      </c>
      <c r="K38" s="120">
        <v>1.6590032111965521E-2</v>
      </c>
      <c r="L38" s="120">
        <v>1.6850164763719266E-2</v>
      </c>
      <c r="M38" s="120">
        <v>1.4343794461769649E-2</v>
      </c>
      <c r="N38" s="120">
        <v>1.362614880637149E-2</v>
      </c>
      <c r="O38" s="120">
        <v>1.4805127539923975E-2</v>
      </c>
    </row>
    <row r="39" spans="2:16" x14ac:dyDescent="0.25">
      <c r="C39" s="75" t="s">
        <v>359</v>
      </c>
      <c r="D39" s="75"/>
      <c r="E39" s="75" t="s">
        <v>459</v>
      </c>
      <c r="F39" s="120">
        <v>0.36172048336142026</v>
      </c>
      <c r="G39" s="120">
        <v>0.35457995672406195</v>
      </c>
      <c r="H39" s="120">
        <v>0.33289536980349488</v>
      </c>
      <c r="I39" s="120">
        <v>0.35220333992691127</v>
      </c>
      <c r="J39" s="120">
        <v>0.38520501532838336</v>
      </c>
      <c r="K39" s="120">
        <v>0.38764576529324557</v>
      </c>
      <c r="L39" s="120">
        <v>0.38737757583952481</v>
      </c>
      <c r="M39" s="120">
        <v>0.37633207308462274</v>
      </c>
      <c r="N39" s="120">
        <v>0.38847141216778186</v>
      </c>
      <c r="O39" s="120">
        <v>0.40059332217604288</v>
      </c>
    </row>
    <row r="40" spans="2:16" x14ac:dyDescent="0.25">
      <c r="C40" s="75" t="s">
        <v>360</v>
      </c>
      <c r="D40" s="75"/>
      <c r="E40" s="75" t="s">
        <v>460</v>
      </c>
      <c r="F40" s="120">
        <v>0.15939043075554785</v>
      </c>
      <c r="G40" s="120">
        <v>0.15889555552565032</v>
      </c>
      <c r="H40" s="120">
        <v>0.14608917699831131</v>
      </c>
      <c r="I40" s="120">
        <v>0.15087412145462617</v>
      </c>
      <c r="J40" s="120">
        <v>0.15080112486396421</v>
      </c>
      <c r="K40" s="120">
        <v>0.14970923804622252</v>
      </c>
      <c r="L40" s="120">
        <v>0.14728431272818385</v>
      </c>
      <c r="M40" s="120">
        <v>0.15234085443374584</v>
      </c>
      <c r="N40" s="120">
        <v>0.14815763758105668</v>
      </c>
      <c r="O40" s="120">
        <v>0.149591414527629</v>
      </c>
    </row>
    <row r="41" spans="2:16" x14ac:dyDescent="0.25">
      <c r="C41" s="27" t="s">
        <v>369</v>
      </c>
      <c r="D41" s="27"/>
      <c r="E41" s="27" t="s">
        <v>461</v>
      </c>
      <c r="F41" s="120">
        <v>0.12552463921291621</v>
      </c>
      <c r="G41" s="120">
        <v>0.14058524633290936</v>
      </c>
      <c r="H41" s="120">
        <v>0.11862931092903821</v>
      </c>
      <c r="I41" s="120">
        <v>0.1230686398738569</v>
      </c>
      <c r="J41" s="120">
        <v>0.12136844132977744</v>
      </c>
      <c r="K41" s="120">
        <v>0.11825934970775816</v>
      </c>
      <c r="L41" s="120">
        <v>0.11900823654514248</v>
      </c>
      <c r="M41" s="120">
        <v>0.11919838072435282</v>
      </c>
      <c r="N41" s="120">
        <v>0.11578651348721807</v>
      </c>
      <c r="O41" s="120">
        <v>0.11669890379811723</v>
      </c>
    </row>
    <row r="42" spans="2:16" x14ac:dyDescent="0.25">
      <c r="C42" s="27" t="s">
        <v>370</v>
      </c>
      <c r="D42" s="27"/>
      <c r="E42" s="27" t="s">
        <v>462</v>
      </c>
      <c r="F42" s="120">
        <v>1.4267408217823366E-2</v>
      </c>
      <c r="G42" s="120">
        <v>1.4147366878295722E-2</v>
      </c>
      <c r="H42" s="120">
        <v>1.2914408291735156E-2</v>
      </c>
      <c r="I42" s="120">
        <v>1.3197451506661904E-2</v>
      </c>
      <c r="J42" s="120">
        <v>1.3725376798765643E-2</v>
      </c>
      <c r="K42" s="120">
        <v>1.307842464639981E-2</v>
      </c>
      <c r="L42" s="120">
        <v>1.2333218414434981E-2</v>
      </c>
      <c r="M42" s="120">
        <v>1.1948021581099566E-2</v>
      </c>
      <c r="N42" s="120">
        <v>1.1876695059822319E-2</v>
      </c>
      <c r="O42" s="120">
        <v>1.237984222887986E-2</v>
      </c>
    </row>
    <row r="43" spans="2:16" x14ac:dyDescent="0.25">
      <c r="C43" s="75" t="s">
        <v>361</v>
      </c>
      <c r="D43" s="75"/>
      <c r="E43" s="75" t="s">
        <v>463</v>
      </c>
      <c r="F43" s="120">
        <v>11.558677455376934</v>
      </c>
      <c r="G43" s="120">
        <v>2.6364602524622391</v>
      </c>
      <c r="H43" s="120">
        <v>2.5872711898352536</v>
      </c>
      <c r="I43" s="120">
        <v>2.7714215869362078</v>
      </c>
      <c r="J43" s="120">
        <v>4.4426939219751365</v>
      </c>
      <c r="K43" s="120">
        <v>6.1886901506878216</v>
      </c>
      <c r="L43" s="120">
        <v>6.7270783577886206</v>
      </c>
      <c r="M43" s="120">
        <v>5.4269057458865753</v>
      </c>
      <c r="N43" s="120">
        <v>4.9635348684005383</v>
      </c>
      <c r="O43" s="120">
        <v>2.8765209961942575</v>
      </c>
    </row>
    <row r="46" spans="2:16" x14ac:dyDescent="0.25">
      <c r="B46" s="148" t="s">
        <v>362</v>
      </c>
      <c r="C46" s="149"/>
      <c r="D46" s="149"/>
      <c r="E46" s="148" t="s">
        <v>478</v>
      </c>
      <c r="F46" s="150"/>
      <c r="G46" s="150"/>
      <c r="H46" s="150"/>
      <c r="I46" s="150"/>
      <c r="J46" s="150"/>
      <c r="K46" s="150"/>
      <c r="L46" s="150"/>
      <c r="M46" s="150"/>
      <c r="N46" s="150"/>
      <c r="O46" s="150"/>
    </row>
    <row r="48" spans="2:16" x14ac:dyDescent="0.25">
      <c r="C48" s="75" t="s">
        <v>363</v>
      </c>
      <c r="D48" s="75"/>
      <c r="E48" s="75" t="s">
        <v>464</v>
      </c>
      <c r="F48" s="130">
        <v>48700.959000000003</v>
      </c>
      <c r="G48" s="130">
        <v>44456.063999999998</v>
      </c>
      <c r="H48" s="130">
        <v>50115.184999999998</v>
      </c>
      <c r="I48" s="130">
        <v>49565.97</v>
      </c>
      <c r="J48" s="130">
        <v>46285.495999999999</v>
      </c>
      <c r="K48" s="130">
        <v>50954.580999999998</v>
      </c>
      <c r="L48" s="130">
        <v>52616.156999999999</v>
      </c>
      <c r="M48" s="130">
        <v>57408.839</v>
      </c>
      <c r="N48" s="130">
        <v>54154.887000000002</v>
      </c>
      <c r="O48" s="130">
        <v>54930.563000000002</v>
      </c>
      <c r="P48" s="262"/>
    </row>
    <row r="49" spans="2:16" x14ac:dyDescent="0.25">
      <c r="C49" s="75" t="s">
        <v>364</v>
      </c>
      <c r="D49" s="75"/>
      <c r="E49" s="75" t="s">
        <v>465</v>
      </c>
      <c r="F49" s="130">
        <v>35484.799786340016</v>
      </c>
      <c r="G49" s="130">
        <v>35202.101868021135</v>
      </c>
      <c r="H49" s="130">
        <v>37275.775286590026</v>
      </c>
      <c r="I49" s="130">
        <v>37715.469360450013</v>
      </c>
      <c r="J49" s="130">
        <v>37563.732925069991</v>
      </c>
      <c r="K49" s="130">
        <v>39973.197435109993</v>
      </c>
      <c r="L49" s="130">
        <v>41535.209841039985</v>
      </c>
      <c r="M49" s="130">
        <v>43255.43901291996</v>
      </c>
      <c r="N49" s="130">
        <v>43652.450506070025</v>
      </c>
      <c r="O49" s="130">
        <v>43325.881996230019</v>
      </c>
      <c r="P49" s="262"/>
    </row>
    <row r="50" spans="2:16" x14ac:dyDescent="0.25">
      <c r="C50" s="75" t="s">
        <v>365</v>
      </c>
      <c r="D50" s="75"/>
      <c r="E50" s="75" t="s">
        <v>466</v>
      </c>
      <c r="F50" s="130">
        <v>21471.592873030029</v>
      </c>
      <c r="G50" s="130">
        <v>20867.092370261136</v>
      </c>
      <c r="H50" s="130">
        <v>21904.832445850036</v>
      </c>
      <c r="I50" s="130">
        <v>23253.197781800023</v>
      </c>
      <c r="J50" s="130">
        <v>23064.370546019996</v>
      </c>
      <c r="K50" s="130">
        <v>24329.879952039995</v>
      </c>
      <c r="L50" s="130">
        <v>25636.149733079987</v>
      </c>
      <c r="M50" s="130">
        <v>25769.868305119948</v>
      </c>
      <c r="N50" s="130">
        <v>24062.78868497003</v>
      </c>
      <c r="O50" s="130">
        <v>23493.116680740015</v>
      </c>
    </row>
    <row r="51" spans="2:16" x14ac:dyDescent="0.25">
      <c r="C51" s="75" t="s">
        <v>132</v>
      </c>
      <c r="D51" s="75"/>
      <c r="E51" s="75" t="s">
        <v>467</v>
      </c>
      <c r="F51" s="130">
        <v>10735.844957219995</v>
      </c>
      <c r="G51" s="130">
        <v>10742.253204939992</v>
      </c>
      <c r="H51" s="130">
        <v>11434.922191309997</v>
      </c>
      <c r="I51" s="130">
        <v>11068.80908262999</v>
      </c>
      <c r="J51" s="130">
        <v>11178.008177410002</v>
      </c>
      <c r="K51" s="130">
        <v>11080.594888209998</v>
      </c>
      <c r="L51" s="130">
        <v>10926.953340270002</v>
      </c>
      <c r="M51" s="130">
        <v>11460.120507900006</v>
      </c>
      <c r="N51" s="130">
        <v>12305.984123099992</v>
      </c>
      <c r="O51" s="130">
        <v>11903.185016789999</v>
      </c>
    </row>
    <row r="52" spans="2:16" x14ac:dyDescent="0.25">
      <c r="C52" s="75" t="s">
        <v>366</v>
      </c>
      <c r="D52" s="75"/>
      <c r="E52" s="75" t="s">
        <v>468</v>
      </c>
      <c r="F52" s="130">
        <v>3277.3619560900006</v>
      </c>
      <c r="G52" s="130">
        <v>3592.7562928200005</v>
      </c>
      <c r="H52" s="130">
        <v>3936.0206494299996</v>
      </c>
      <c r="I52" s="130">
        <v>3393.4624960200008</v>
      </c>
      <c r="J52" s="130">
        <v>3321.3542016400006</v>
      </c>
      <c r="K52" s="130">
        <v>4562.7225948599998</v>
      </c>
      <c r="L52" s="130">
        <v>4972.1067676900011</v>
      </c>
      <c r="M52" s="130">
        <v>6025.4501999000022</v>
      </c>
      <c r="N52" s="130">
        <v>7283.6776980000013</v>
      </c>
      <c r="O52" s="130">
        <v>7929.5802987000015</v>
      </c>
    </row>
    <row r="53" spans="2:16" x14ac:dyDescent="0.25">
      <c r="C53" s="75" t="s">
        <v>367</v>
      </c>
      <c r="D53" s="75"/>
      <c r="E53" s="75" t="s">
        <v>469</v>
      </c>
      <c r="F53" s="130">
        <v>33386.843999999997</v>
      </c>
      <c r="G53" s="130">
        <v>31164.251</v>
      </c>
      <c r="H53" s="130">
        <v>34738.841</v>
      </c>
      <c r="I53" s="130">
        <v>33858.669000000002</v>
      </c>
      <c r="J53" s="130">
        <v>34818.702135459993</v>
      </c>
      <c r="K53" s="130">
        <v>37794.38104320001</v>
      </c>
      <c r="L53" s="130">
        <v>39781.182999999997</v>
      </c>
      <c r="M53" s="130">
        <v>40428.165999999997</v>
      </c>
      <c r="N53" s="130">
        <v>38680.633000000002</v>
      </c>
      <c r="O53" s="130">
        <v>40514.163</v>
      </c>
    </row>
    <row r="54" spans="2:16" x14ac:dyDescent="0.25">
      <c r="C54" s="75" t="s">
        <v>368</v>
      </c>
      <c r="D54" s="75"/>
      <c r="E54" s="75" t="s">
        <v>470</v>
      </c>
      <c r="F54" s="130">
        <v>4736.6150760299979</v>
      </c>
      <c r="G54" s="130">
        <v>4850.1677485999999</v>
      </c>
      <c r="H54" s="130">
        <v>4956.2878391199993</v>
      </c>
      <c r="I54" s="130">
        <v>5066.2477520399998</v>
      </c>
      <c r="J54" s="130">
        <v>4973.9059725107481</v>
      </c>
      <c r="K54" s="130">
        <v>5256.8556438400001</v>
      </c>
      <c r="L54" s="130">
        <v>5430.1539995400008</v>
      </c>
      <c r="M54" s="130">
        <v>5543.4992050429282</v>
      </c>
      <c r="N54" s="130">
        <v>5645.3817454662703</v>
      </c>
      <c r="O54" s="130">
        <v>5688.6657660596766</v>
      </c>
    </row>
    <row r="55" spans="2:16" x14ac:dyDescent="0.25">
      <c r="C55" s="27" t="s">
        <v>369</v>
      </c>
      <c r="D55" s="27"/>
      <c r="E55" s="27" t="s">
        <v>461</v>
      </c>
      <c r="F55" s="130">
        <v>4253.1882852899971</v>
      </c>
      <c r="G55" s="130">
        <v>4362.0859309799998</v>
      </c>
      <c r="H55" s="130">
        <v>4469.7003749300002</v>
      </c>
      <c r="I55" s="130">
        <v>4575.5786622400001</v>
      </c>
      <c r="J55" s="130">
        <v>4468.5628370507493</v>
      </c>
      <c r="K55" s="130">
        <v>4733.3856006400001</v>
      </c>
      <c r="L55" s="130">
        <v>4920.2519635000017</v>
      </c>
      <c r="M55" s="130">
        <v>5038.4617280529283</v>
      </c>
      <c r="N55" s="130">
        <v>5120.1836226062696</v>
      </c>
      <c r="O55" s="130">
        <v>5143.0702528996762</v>
      </c>
    </row>
    <row r="56" spans="2:16" x14ac:dyDescent="0.25">
      <c r="C56" s="27" t="s">
        <v>370</v>
      </c>
      <c r="D56" s="27"/>
      <c r="E56" s="27" t="s">
        <v>462</v>
      </c>
      <c r="F56" s="130">
        <v>483.42679074000102</v>
      </c>
      <c r="G56" s="130">
        <v>488.08181761999998</v>
      </c>
      <c r="H56" s="130">
        <v>486.58746418999976</v>
      </c>
      <c r="I56" s="130">
        <v>490.66908979999999</v>
      </c>
      <c r="J56" s="130">
        <v>505.34313545999953</v>
      </c>
      <c r="K56" s="130">
        <v>523.47004319999996</v>
      </c>
      <c r="L56" s="130">
        <v>509.90203604000004</v>
      </c>
      <c r="M56" s="130">
        <v>505.03747699000002</v>
      </c>
      <c r="N56" s="130">
        <v>525.19812286000001</v>
      </c>
      <c r="O56" s="130">
        <v>545.59551316</v>
      </c>
    </row>
    <row r="57" spans="2:16" x14ac:dyDescent="0.25">
      <c r="C57" s="75" t="s">
        <v>371</v>
      </c>
      <c r="D57" s="75"/>
      <c r="E57" s="75" t="s">
        <v>471</v>
      </c>
      <c r="F57" s="130">
        <v>664.05778889600003</v>
      </c>
      <c r="G57" s="130">
        <v>631.70263900400005</v>
      </c>
      <c r="H57" s="130">
        <v>548.04194319800013</v>
      </c>
      <c r="I57" s="130">
        <v>543.11310154199998</v>
      </c>
      <c r="J57" s="130">
        <v>578.314151348</v>
      </c>
      <c r="K57" s="130">
        <v>735.32639844200003</v>
      </c>
      <c r="L57" s="130">
        <v>659.13822031999996</v>
      </c>
      <c r="M57" s="130">
        <v>895.87992090600017</v>
      </c>
      <c r="N57" s="130">
        <v>906.28205940600003</v>
      </c>
      <c r="O57" s="130">
        <v>904.01959006999994</v>
      </c>
    </row>
    <row r="58" spans="2:16" x14ac:dyDescent="0.25">
      <c r="C58" s="75" t="s">
        <v>155</v>
      </c>
      <c r="D58" s="75"/>
      <c r="E58" s="75" t="s">
        <v>472</v>
      </c>
      <c r="F58" s="130">
        <v>4391.9520000000002</v>
      </c>
      <c r="G58" s="130">
        <v>4459.17</v>
      </c>
      <c r="H58" s="130">
        <v>4555.6909999999998</v>
      </c>
      <c r="I58" s="130">
        <v>4670.6580000000004</v>
      </c>
      <c r="J58" s="130">
        <v>4775.1869999999999</v>
      </c>
      <c r="K58" s="130">
        <v>4912.0159999999996</v>
      </c>
      <c r="L58" s="130">
        <v>5072.0609999999997</v>
      </c>
      <c r="M58" s="130">
        <v>5205.3860003399996</v>
      </c>
      <c r="N58" s="130">
        <v>5303.1059999999998</v>
      </c>
      <c r="O58" s="130">
        <v>5420.8109999999997</v>
      </c>
    </row>
    <row r="61" spans="2:16" x14ac:dyDescent="0.25">
      <c r="B61" s="148" t="s">
        <v>372</v>
      </c>
      <c r="C61" s="149"/>
      <c r="D61" s="149"/>
      <c r="E61" s="148" t="s">
        <v>479</v>
      </c>
      <c r="F61" s="150"/>
      <c r="G61" s="150"/>
      <c r="H61" s="150"/>
      <c r="I61" s="150"/>
      <c r="J61" s="150"/>
      <c r="K61" s="150"/>
      <c r="L61" s="150"/>
      <c r="M61" s="150"/>
      <c r="N61" s="150"/>
      <c r="O61" s="150"/>
    </row>
    <row r="63" spans="2:16" x14ac:dyDescent="0.25">
      <c r="C63" s="75" t="s">
        <v>373</v>
      </c>
      <c r="D63" s="75"/>
      <c r="E63" s="75" t="s">
        <v>473</v>
      </c>
      <c r="F63" s="132">
        <v>5.6966999999999999</v>
      </c>
      <c r="G63" s="132">
        <v>5.0015999999999998</v>
      </c>
      <c r="H63" s="132">
        <v>5.4387999999999996</v>
      </c>
      <c r="I63" s="132">
        <v>5.5799000000000003</v>
      </c>
      <c r="J63" s="132">
        <v>4.7491000000000003</v>
      </c>
      <c r="K63" s="132">
        <v>5.2374000000000001</v>
      </c>
      <c r="L63" s="132">
        <v>5.4059999999999997</v>
      </c>
      <c r="M63" s="132">
        <v>5.2171000000000003</v>
      </c>
      <c r="N63" s="132">
        <v>5.0797999999999996</v>
      </c>
      <c r="O63" s="132">
        <v>4.8186</v>
      </c>
    </row>
    <row r="64" spans="2:16" x14ac:dyDescent="0.25">
      <c r="C64" s="75" t="s">
        <v>834</v>
      </c>
      <c r="D64" s="75"/>
      <c r="E64" s="75" t="s">
        <v>835</v>
      </c>
      <c r="F64" s="128">
        <v>2788</v>
      </c>
      <c r="G64" s="128">
        <v>3022</v>
      </c>
      <c r="H64" s="128">
        <v>3169</v>
      </c>
      <c r="I64" s="128">
        <v>3490</v>
      </c>
      <c r="J64" s="128">
        <v>3441</v>
      </c>
      <c r="K64" s="128">
        <v>3988</v>
      </c>
      <c r="L64" s="128">
        <v>4309</v>
      </c>
      <c r="M64" s="128">
        <v>4494</v>
      </c>
      <c r="N64" s="128">
        <v>4395</v>
      </c>
      <c r="O64" s="128">
        <v>4580</v>
      </c>
    </row>
    <row r="65" spans="2:15" x14ac:dyDescent="0.25">
      <c r="C65" s="75" t="s">
        <v>374</v>
      </c>
      <c r="D65" s="75"/>
      <c r="E65" s="75" t="s">
        <v>484</v>
      </c>
      <c r="F65" s="128">
        <v>776</v>
      </c>
      <c r="G65" s="128">
        <v>843</v>
      </c>
      <c r="H65" s="128">
        <v>856</v>
      </c>
      <c r="I65" s="128">
        <v>899</v>
      </c>
      <c r="J65" s="128">
        <v>986</v>
      </c>
      <c r="K65" s="128">
        <v>1111</v>
      </c>
      <c r="L65" s="128">
        <v>1151</v>
      </c>
      <c r="M65" s="128">
        <v>1193</v>
      </c>
      <c r="N65" s="128">
        <v>1191</v>
      </c>
      <c r="O65" s="128">
        <v>1235</v>
      </c>
    </row>
    <row r="68" spans="2:15" x14ac:dyDescent="0.25">
      <c r="B68" s="1" t="s">
        <v>434</v>
      </c>
    </row>
    <row r="69" spans="2:15" ht="5.0999999999999996" customHeight="1" x14ac:dyDescent="0.25"/>
    <row r="70" spans="2:15" x14ac:dyDescent="0.25">
      <c r="B70" s="75" t="s">
        <v>375</v>
      </c>
    </row>
    <row r="71" spans="2:15" x14ac:dyDescent="0.25">
      <c r="B71" s="75" t="s">
        <v>376</v>
      </c>
    </row>
    <row r="72" spans="2:15" x14ac:dyDescent="0.25">
      <c r="B72" s="75" t="s">
        <v>377</v>
      </c>
    </row>
    <row r="73" spans="2:15" x14ac:dyDescent="0.25">
      <c r="B73" s="75" t="s">
        <v>378</v>
      </c>
    </row>
    <row r="75" spans="2:15" x14ac:dyDescent="0.25">
      <c r="B75" s="1" t="s">
        <v>435</v>
      </c>
    </row>
    <row r="76" spans="2:15" ht="5.0999999999999996" customHeight="1" x14ac:dyDescent="0.25"/>
    <row r="77" spans="2:15" x14ac:dyDescent="0.25">
      <c r="B77" s="75" t="s">
        <v>480</v>
      </c>
    </row>
    <row r="78" spans="2:15" x14ac:dyDescent="0.25">
      <c r="B78" s="75" t="s">
        <v>481</v>
      </c>
    </row>
    <row r="79" spans="2:15" x14ac:dyDescent="0.25">
      <c r="B79" s="75" t="s">
        <v>482</v>
      </c>
    </row>
    <row r="80" spans="2:15" x14ac:dyDescent="0.25">
      <c r="B80" s="75" t="s">
        <v>483</v>
      </c>
    </row>
  </sheetData>
  <phoneticPr fontId="34" type="noConversion"/>
  <hyperlinks>
    <hyperlink ref="O6" location="'Índice - Index'!A1" display="Index" xr:uid="{521A19F4-2680-4198-A871-1833D3FEB30B}"/>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6FA3-5B43-4DF6-82A3-1A3B8B033AF4}">
  <sheetPr codeName="Planilha20">
    <tabColor theme="2" tint="-9.9978637043366805E-2"/>
  </sheetPr>
  <dimension ref="A2:U81"/>
  <sheetViews>
    <sheetView showGridLines="0" zoomScale="80" zoomScaleNormal="80" workbookViewId="0">
      <pane xSplit="3" ySplit="10" topLeftCell="P11" activePane="bottomRight" state="frozen"/>
      <selection pane="topRight" activeCell="C1" sqref="C1"/>
      <selection pane="bottomLeft" activeCell="A10" sqref="A10"/>
      <selection pane="bottomRight" activeCell="U10" sqref="U10"/>
    </sheetView>
  </sheetViews>
  <sheetFormatPr defaultColWidth="11.5703125" defaultRowHeight="15" x14ac:dyDescent="0.25"/>
  <cols>
    <col min="1" max="1" width="76.140625" bestFit="1" customWidth="1"/>
    <col min="2" max="2" width="1.7109375" customWidth="1"/>
    <col min="3" max="3" width="61" customWidth="1"/>
  </cols>
  <sheetData>
    <row r="2" spans="1:21" ht="21" x14ac:dyDescent="0.35">
      <c r="A2" s="4" t="s">
        <v>13</v>
      </c>
      <c r="B2" s="4"/>
      <c r="C2" s="4"/>
    </row>
    <row r="3" spans="1:21" ht="6.75" customHeight="1" x14ac:dyDescent="0.25">
      <c r="A3" s="3"/>
      <c r="B3" s="3"/>
      <c r="C3" s="3"/>
    </row>
    <row r="4" spans="1:21" x14ac:dyDescent="0.25">
      <c r="A4" s="2" t="s">
        <v>14</v>
      </c>
      <c r="B4" s="2"/>
      <c r="C4" s="2" t="s">
        <v>432</v>
      </c>
    </row>
    <row r="5" spans="1:21" ht="6.75" customHeight="1" x14ac:dyDescent="0.25"/>
    <row r="6" spans="1:21" x14ac:dyDescent="0.25">
      <c r="D6" s="236" t="s">
        <v>486</v>
      </c>
      <c r="R6" s="6"/>
      <c r="U6" s="236" t="s">
        <v>486</v>
      </c>
    </row>
    <row r="7" spans="1:21" ht="17.25" customHeight="1" x14ac:dyDescent="0.3">
      <c r="A7" s="40" t="s">
        <v>7</v>
      </c>
      <c r="B7" s="40"/>
      <c r="C7" s="40" t="s">
        <v>728</v>
      </c>
    </row>
    <row r="8" spans="1:21" x14ac:dyDescent="0.25">
      <c r="A8" s="41" t="s">
        <v>157</v>
      </c>
      <c r="B8" s="41"/>
      <c r="C8" s="41" t="s">
        <v>757</v>
      </c>
      <c r="N8" s="113"/>
      <c r="O8" s="121"/>
      <c r="P8" s="121"/>
      <c r="Q8" s="121"/>
      <c r="R8" s="121"/>
      <c r="S8" s="121"/>
      <c r="U8" s="121"/>
    </row>
    <row r="9" spans="1:21" x14ac:dyDescent="0.25">
      <c r="A9" s="34"/>
      <c r="B9" s="34"/>
      <c r="C9" s="34"/>
      <c r="D9" s="70">
        <v>2008</v>
      </c>
      <c r="E9" s="70">
        <v>2009</v>
      </c>
      <c r="F9" s="70">
        <v>2010</v>
      </c>
      <c r="G9" s="70">
        <v>2011</v>
      </c>
      <c r="H9" s="70">
        <v>2012</v>
      </c>
      <c r="I9" s="70">
        <v>2013</v>
      </c>
      <c r="J9" s="70">
        <v>2014</v>
      </c>
      <c r="K9" s="70">
        <v>2015</v>
      </c>
      <c r="L9" s="70">
        <v>2016</v>
      </c>
      <c r="M9" s="70">
        <v>2017</v>
      </c>
      <c r="N9" s="70">
        <v>2018</v>
      </c>
      <c r="O9" s="34" t="s">
        <v>595</v>
      </c>
      <c r="P9" s="34" t="s">
        <v>596</v>
      </c>
      <c r="Q9" s="34" t="s">
        <v>597</v>
      </c>
      <c r="R9" s="34" t="s">
        <v>598</v>
      </c>
      <c r="S9" s="70">
        <v>2019</v>
      </c>
      <c r="T9" s="34" t="s">
        <v>599</v>
      </c>
      <c r="U9" s="34" t="s">
        <v>600</v>
      </c>
    </row>
    <row r="10" spans="1:21" s="3" customFormat="1" x14ac:dyDescent="0.25">
      <c r="A10" s="34"/>
      <c r="B10" s="34"/>
      <c r="C10" s="34"/>
      <c r="D10" s="70" t="s">
        <v>77</v>
      </c>
      <c r="E10" s="70" t="s">
        <v>82</v>
      </c>
      <c r="F10" s="70" t="s">
        <v>87</v>
      </c>
      <c r="G10" s="70" t="s">
        <v>92</v>
      </c>
      <c r="H10" s="70">
        <v>2012</v>
      </c>
      <c r="I10" s="70">
        <v>2013</v>
      </c>
      <c r="J10" s="70">
        <v>2014</v>
      </c>
      <c r="K10" s="70">
        <v>2015</v>
      </c>
      <c r="L10" s="70">
        <v>2016</v>
      </c>
      <c r="M10" s="70">
        <v>2017</v>
      </c>
      <c r="N10" s="70">
        <v>2018</v>
      </c>
      <c r="O10" s="34" t="s">
        <v>184</v>
      </c>
      <c r="P10" s="34" t="s">
        <v>186</v>
      </c>
      <c r="Q10" s="34" t="s">
        <v>199</v>
      </c>
      <c r="R10" s="34" t="s">
        <v>286</v>
      </c>
      <c r="S10" s="70">
        <v>2019</v>
      </c>
      <c r="T10" s="34" t="s">
        <v>291</v>
      </c>
      <c r="U10" s="34" t="s">
        <v>293</v>
      </c>
    </row>
    <row r="11" spans="1:21" s="22" customFormat="1" ht="15.75" x14ac:dyDescent="0.25">
      <c r="A11" s="87" t="s">
        <v>164</v>
      </c>
      <c r="B11" s="87"/>
      <c r="C11" s="87" t="s">
        <v>729</v>
      </c>
      <c r="D11" s="24">
        <v>0.36899999999999999</v>
      </c>
      <c r="E11" s="24">
        <v>0.40400000000000003</v>
      </c>
      <c r="F11" s="24">
        <v>0.376</v>
      </c>
      <c r="G11" s="24">
        <v>0.377</v>
      </c>
      <c r="H11" s="24">
        <v>0.36299999999999999</v>
      </c>
      <c r="I11" s="24">
        <v>0.38300000000000001</v>
      </c>
      <c r="J11" s="24">
        <v>0.35299999999999998</v>
      </c>
      <c r="K11" s="24">
        <v>0.31900000000000001</v>
      </c>
      <c r="L11" s="24">
        <v>0.30199999999999999</v>
      </c>
      <c r="M11" s="24">
        <v>0.31385349681142016</v>
      </c>
      <c r="N11" s="24">
        <f>-N12/N16</f>
        <v>0.3580843875732726</v>
      </c>
      <c r="O11" s="21">
        <f t="shared" ref="O11:S11" si="0">-O12/O16</f>
        <v>0.37271971770683049</v>
      </c>
      <c r="P11" s="21">
        <f t="shared" si="0"/>
        <v>0.37732232715128955</v>
      </c>
      <c r="Q11" s="21">
        <f t="shared" si="0"/>
        <v>0.36561650706467441</v>
      </c>
      <c r="R11" s="21">
        <f t="shared" si="0"/>
        <v>0.36616127451882724</v>
      </c>
      <c r="S11" s="24">
        <f t="shared" si="0"/>
        <v>0.37021043356465005</v>
      </c>
      <c r="T11" s="21">
        <f>-T12/T16</f>
        <v>0.43771389459274473</v>
      </c>
      <c r="U11" s="21">
        <f t="shared" ref="U11" si="1">-U12/U16</f>
        <v>0.36708862564311001</v>
      </c>
    </row>
    <row r="12" spans="1:21" s="22" customFormat="1" x14ac:dyDescent="0.25">
      <c r="A12" s="97" t="s">
        <v>251</v>
      </c>
      <c r="B12" s="97"/>
      <c r="C12" s="97" t="s">
        <v>639</v>
      </c>
      <c r="D12" s="100">
        <v>-146.30000000000001</v>
      </c>
      <c r="E12" s="100">
        <v>-162.4</v>
      </c>
      <c r="F12" s="100">
        <v>-199.8</v>
      </c>
      <c r="G12" s="100">
        <v>-239.3</v>
      </c>
      <c r="H12" s="100">
        <v>-244.9</v>
      </c>
      <c r="I12" s="100">
        <v>-282.5</v>
      </c>
      <c r="J12" s="100">
        <v>-303.39999999999998</v>
      </c>
      <c r="K12" s="100">
        <v>-340.2</v>
      </c>
      <c r="L12" s="100">
        <v>-365.6</v>
      </c>
      <c r="M12" s="100">
        <v>-403.50600000000009</v>
      </c>
      <c r="N12" s="100">
        <f>SUM(N13:N15)</f>
        <v>-444.10699999999997</v>
      </c>
      <c r="O12" s="101">
        <f>SUM(O13:O15)</f>
        <v>-112.9519269685</v>
      </c>
      <c r="P12" s="101">
        <f>SUM(P13:P15)</f>
        <v>-116.15</v>
      </c>
      <c r="Q12" s="101">
        <f>SUM(Q13:Q15)-0.1</f>
        <v>-118.51531873260001</v>
      </c>
      <c r="R12" s="101">
        <f>SUM(R13:R15)</f>
        <v>-123.03184223</v>
      </c>
      <c r="S12" s="100">
        <f>SUM(S13:S15)</f>
        <v>-470.54908793109996</v>
      </c>
      <c r="T12" s="101">
        <f>SUM(T13:T15)</f>
        <v>-127.9</v>
      </c>
      <c r="U12" s="101">
        <f>SUM(U13:U15)</f>
        <v>-115.48540552759999</v>
      </c>
    </row>
    <row r="13" spans="1:21" s="23" customFormat="1" ht="18" customHeight="1" x14ac:dyDescent="0.25">
      <c r="A13" s="98" t="s">
        <v>160</v>
      </c>
      <c r="B13" s="98"/>
      <c r="C13" s="98" t="s">
        <v>785</v>
      </c>
      <c r="D13" s="102">
        <v>-68.5</v>
      </c>
      <c r="E13" s="102">
        <v>-77.900000000000006</v>
      </c>
      <c r="F13" s="102">
        <v>-92.1</v>
      </c>
      <c r="G13" s="102">
        <v>-114</v>
      </c>
      <c r="H13" s="102">
        <v>-130.6</v>
      </c>
      <c r="I13" s="102">
        <v>-140.9</v>
      </c>
      <c r="J13" s="102">
        <v>-152</v>
      </c>
      <c r="K13" s="102">
        <v>-174.8</v>
      </c>
      <c r="L13" s="102">
        <f>-183.9+10.24</f>
        <v>-173.66</v>
      </c>
      <c r="M13" s="102">
        <v>-184.88200000000001</v>
      </c>
      <c r="N13" s="102">
        <v>-195.3</v>
      </c>
      <c r="O13" s="91">
        <v>-49.174999999999997</v>
      </c>
      <c r="P13" s="91">
        <v>-49.930999999999997</v>
      </c>
      <c r="Q13" s="91">
        <v>-49.231254300000003</v>
      </c>
      <c r="R13" s="91">
        <v>-52.056445890000006</v>
      </c>
      <c r="S13" s="102">
        <f>SUM(O13:R13)</f>
        <v>-200.39370019</v>
      </c>
      <c r="T13" s="91">
        <v>-57.6</v>
      </c>
      <c r="U13" s="91">
        <v>-57.507864849999997</v>
      </c>
    </row>
    <row r="14" spans="1:21" s="23" customFormat="1" x14ac:dyDescent="0.25">
      <c r="A14" s="27" t="s">
        <v>161</v>
      </c>
      <c r="B14" s="27"/>
      <c r="C14" s="27" t="s">
        <v>786</v>
      </c>
      <c r="D14" s="102">
        <v>-47.4</v>
      </c>
      <c r="E14" s="102">
        <v>-55.2</v>
      </c>
      <c r="F14" s="102">
        <v>-57.7</v>
      </c>
      <c r="G14" s="102">
        <v>-64.900000000000006</v>
      </c>
      <c r="H14" s="102">
        <v>-71.5</v>
      </c>
      <c r="I14" s="102">
        <v>-78.400000000000006</v>
      </c>
      <c r="J14" s="102">
        <v>-86.7</v>
      </c>
      <c r="K14" s="102">
        <v>-93.7</v>
      </c>
      <c r="L14" s="102">
        <f>-104.6+0.763</f>
        <v>-103.83699999999999</v>
      </c>
      <c r="M14" s="102">
        <v>-105.97200000000001</v>
      </c>
      <c r="N14" s="102">
        <v>-90.2</v>
      </c>
      <c r="O14" s="91">
        <v>-24.5849269685</v>
      </c>
      <c r="P14" s="91">
        <v>-25.945</v>
      </c>
      <c r="Q14" s="91">
        <v>-26.844318732599998</v>
      </c>
      <c r="R14" s="91">
        <v>-28.964842229999995</v>
      </c>
      <c r="S14" s="102">
        <f>SUM(O14:R14)</f>
        <v>-106.33908793109998</v>
      </c>
      <c r="T14" s="91">
        <v>-30.3</v>
      </c>
      <c r="U14" s="91">
        <v>-27.674405527600001</v>
      </c>
    </row>
    <row r="15" spans="1:21" s="23" customFormat="1" x14ac:dyDescent="0.25">
      <c r="A15" s="27" t="s">
        <v>162</v>
      </c>
      <c r="B15" s="27"/>
      <c r="C15" s="27" t="s">
        <v>787</v>
      </c>
      <c r="D15" s="102">
        <v>-45.1</v>
      </c>
      <c r="E15" s="102">
        <v>-42.1</v>
      </c>
      <c r="F15" s="102">
        <v>-65.099999999999994</v>
      </c>
      <c r="G15" s="102">
        <v>-69.400000000000006</v>
      </c>
      <c r="H15" s="102">
        <v>-52.5</v>
      </c>
      <c r="I15" s="102">
        <v>-82.1</v>
      </c>
      <c r="J15" s="102">
        <v>-91</v>
      </c>
      <c r="K15" s="102">
        <v>-101.2</v>
      </c>
      <c r="L15" s="102">
        <f>-107.4-10.24</f>
        <v>-117.64</v>
      </c>
      <c r="M15" s="102">
        <v>-141.91200000000001</v>
      </c>
      <c r="N15" s="102">
        <v>-158.607</v>
      </c>
      <c r="O15" s="91">
        <v>-39.192</v>
      </c>
      <c r="P15" s="91">
        <v>-40.274000000000001</v>
      </c>
      <c r="Q15" s="91">
        <v>-42.339745700000002</v>
      </c>
      <c r="R15" s="91">
        <v>-42.010554109999994</v>
      </c>
      <c r="S15" s="102">
        <f>SUM(O15:R15)</f>
        <v>-163.81629981</v>
      </c>
      <c r="T15" s="91">
        <v>-40</v>
      </c>
      <c r="U15" s="91">
        <v>-30.303135149999999</v>
      </c>
    </row>
    <row r="16" spans="1:21" s="22" customFormat="1" x14ac:dyDescent="0.25">
      <c r="A16" s="19" t="s">
        <v>252</v>
      </c>
      <c r="B16" s="19"/>
      <c r="C16" s="19" t="s">
        <v>730</v>
      </c>
      <c r="D16" s="100">
        <v>396.6</v>
      </c>
      <c r="E16" s="100">
        <v>402.2</v>
      </c>
      <c r="F16" s="100">
        <v>531</v>
      </c>
      <c r="G16" s="100">
        <v>635.20000000000005</v>
      </c>
      <c r="H16" s="100">
        <v>675.3</v>
      </c>
      <c r="I16" s="100">
        <v>738.2</v>
      </c>
      <c r="J16" s="100">
        <v>859.4</v>
      </c>
      <c r="K16" s="100">
        <v>1067</v>
      </c>
      <c r="L16" s="100">
        <v>1211.2</v>
      </c>
      <c r="M16" s="100">
        <v>1285.3275251700002</v>
      </c>
      <c r="N16" s="100">
        <f t="shared" ref="N16:T16" si="2">SUM(N17:N20)</f>
        <v>1240.2300000000002</v>
      </c>
      <c r="O16" s="99">
        <f t="shared" si="2"/>
        <v>303.04789793102498</v>
      </c>
      <c r="P16" s="99">
        <f t="shared" si="2"/>
        <v>307.827</v>
      </c>
      <c r="Q16" s="99">
        <f t="shared" si="2"/>
        <v>324.15199106870648</v>
      </c>
      <c r="R16" s="99">
        <f t="shared" si="2"/>
        <v>336.00451711251065</v>
      </c>
      <c r="S16" s="100">
        <f t="shared" si="2"/>
        <v>1271.0314061122422</v>
      </c>
      <c r="T16" s="99">
        <f t="shared" si="2"/>
        <v>292.2</v>
      </c>
      <c r="U16" s="99">
        <f>SUM(U17:U21)</f>
        <v>314.59815821119156</v>
      </c>
    </row>
    <row r="17" spans="1:21" s="23" customFormat="1" x14ac:dyDescent="0.25">
      <c r="A17" s="27" t="s">
        <v>163</v>
      </c>
      <c r="B17" s="27"/>
      <c r="C17" s="27" t="s">
        <v>788</v>
      </c>
      <c r="D17" s="102">
        <v>390.6</v>
      </c>
      <c r="E17" s="102">
        <v>376</v>
      </c>
      <c r="F17" s="102">
        <v>465.1</v>
      </c>
      <c r="G17" s="102">
        <v>559.5</v>
      </c>
      <c r="H17" s="102">
        <v>580.1</v>
      </c>
      <c r="I17" s="102">
        <v>642.1</v>
      </c>
      <c r="J17" s="102">
        <v>748.2</v>
      </c>
      <c r="K17" s="102">
        <v>978.5</v>
      </c>
      <c r="L17" s="102">
        <v>1016.6</v>
      </c>
      <c r="M17" s="102">
        <v>1069.2065251700001</v>
      </c>
      <c r="N17" s="102">
        <v>958.6</v>
      </c>
      <c r="O17" s="91">
        <v>233.93410438102501</v>
      </c>
      <c r="P17" s="91">
        <v>239.84299999999999</v>
      </c>
      <c r="Q17" s="91">
        <v>262.66044617509095</v>
      </c>
      <c r="R17" s="91">
        <v>258.48581152932593</v>
      </c>
      <c r="S17" s="102">
        <f>SUM(O17:R17)</f>
        <v>994.92336208544179</v>
      </c>
      <c r="T17" s="91">
        <v>253.3</v>
      </c>
      <c r="U17" s="91">
        <v>285.1058408720674</v>
      </c>
    </row>
    <row r="18" spans="1:21" s="23" customFormat="1" x14ac:dyDescent="0.25">
      <c r="A18" s="38" t="s">
        <v>192</v>
      </c>
      <c r="B18" s="38"/>
      <c r="C18" s="27" t="s">
        <v>789</v>
      </c>
      <c r="D18" s="102">
        <v>-2.9</v>
      </c>
      <c r="E18" s="102">
        <v>-2.2000000000000002</v>
      </c>
      <c r="F18" s="102">
        <v>-34.200000000000003</v>
      </c>
      <c r="G18" s="102">
        <v>-40.299999999999997</v>
      </c>
      <c r="H18" s="102">
        <v>-38.5</v>
      </c>
      <c r="I18" s="102">
        <v>-41.4</v>
      </c>
      <c r="J18" s="102">
        <v>-40.1</v>
      </c>
      <c r="K18" s="102">
        <v>-57.5</v>
      </c>
      <c r="L18" s="102">
        <v>-37.299999999999997</v>
      </c>
      <c r="M18" s="102">
        <v>306.90600000000006</v>
      </c>
      <c r="N18" s="102">
        <v>349.8</v>
      </c>
      <c r="O18" s="91">
        <v>74.535793549999994</v>
      </c>
      <c r="P18" s="91">
        <v>87.333000000000013</v>
      </c>
      <c r="Q18" s="91">
        <v>78.867044910000004</v>
      </c>
      <c r="R18" s="91">
        <v>96.267664409999995</v>
      </c>
      <c r="S18" s="102">
        <f>SUM(O18:R18)</f>
        <v>337.00350287000003</v>
      </c>
      <c r="T18" s="91">
        <v>50.7</v>
      </c>
      <c r="U18" s="91">
        <v>59.041784770000007</v>
      </c>
    </row>
    <row r="19" spans="1:21" s="23" customFormat="1" x14ac:dyDescent="0.25">
      <c r="A19" s="38" t="s">
        <v>130</v>
      </c>
      <c r="B19" s="38"/>
      <c r="C19" s="27" t="s">
        <v>790</v>
      </c>
      <c r="D19" s="102">
        <v>43.1</v>
      </c>
      <c r="E19" s="102">
        <v>59.7</v>
      </c>
      <c r="F19" s="102">
        <v>108.1</v>
      </c>
      <c r="G19" s="102">
        <v>125.4</v>
      </c>
      <c r="H19" s="102">
        <v>137.4</v>
      </c>
      <c r="I19" s="102">
        <v>156.9</v>
      </c>
      <c r="J19" s="102">
        <v>177</v>
      </c>
      <c r="K19" s="102">
        <v>199.1</v>
      </c>
      <c r="L19" s="102">
        <v>256.60000000000002</v>
      </c>
      <c r="M19" s="102">
        <v>-69.559000000000012</v>
      </c>
      <c r="N19" s="102">
        <v>-78.37</v>
      </c>
      <c r="O19" s="91">
        <v>-11.472999999999999</v>
      </c>
      <c r="P19" s="91">
        <v>-14.421000000000001</v>
      </c>
      <c r="Q19" s="91">
        <v>-22.0366806863845</v>
      </c>
      <c r="R19" s="91">
        <v>-21.13980383046534</v>
      </c>
      <c r="S19" s="102">
        <f>SUM(O19:R19)</f>
        <v>-69.070484516849831</v>
      </c>
      <c r="T19" s="91">
        <v>-11.3</v>
      </c>
      <c r="U19" s="91">
        <v>-27.368346710875802</v>
      </c>
    </row>
    <row r="20" spans="1:21" s="23" customFormat="1" x14ac:dyDescent="0.25">
      <c r="A20" s="38" t="s">
        <v>237</v>
      </c>
      <c r="B20" s="38"/>
      <c r="C20" s="27" t="s">
        <v>791</v>
      </c>
      <c r="D20" s="102">
        <v>-19.600000000000001</v>
      </c>
      <c r="E20" s="102">
        <v>-18.399999999999999</v>
      </c>
      <c r="F20" s="102">
        <v>7</v>
      </c>
      <c r="G20" s="102">
        <v>-0.4</v>
      </c>
      <c r="H20" s="102">
        <v>6</v>
      </c>
      <c r="I20" s="102">
        <v>-0.7</v>
      </c>
      <c r="J20" s="102">
        <v>0.5</v>
      </c>
      <c r="K20" s="102">
        <v>-23.6</v>
      </c>
      <c r="L20" s="102">
        <v>5.5</v>
      </c>
      <c r="M20" s="102">
        <v>8.0339999999999989</v>
      </c>
      <c r="N20" s="102">
        <v>10.199999999999999</v>
      </c>
      <c r="O20" s="91">
        <v>6.0510000000000002</v>
      </c>
      <c r="P20" s="91">
        <v>-4.9279999999999999</v>
      </c>
      <c r="Q20" s="91">
        <v>4.6611806700000002</v>
      </c>
      <c r="R20" s="91">
        <v>2.3908450036500541</v>
      </c>
      <c r="S20" s="102">
        <f>SUM(O20:R20)</f>
        <v>8.1750256736500546</v>
      </c>
      <c r="T20" s="91">
        <v>-0.5</v>
      </c>
      <c r="U20" s="91">
        <v>-2.18112072</v>
      </c>
    </row>
    <row r="21" spans="1:21" x14ac:dyDescent="0.25">
      <c r="D21" s="16"/>
      <c r="E21" s="16"/>
      <c r="F21" s="16"/>
      <c r="G21" s="16"/>
      <c r="H21" s="16"/>
      <c r="I21" s="16"/>
      <c r="J21" s="16"/>
      <c r="K21" s="16"/>
      <c r="L21" s="16"/>
      <c r="M21" s="16"/>
      <c r="N21" s="16"/>
      <c r="O21" s="16"/>
      <c r="P21" s="16"/>
      <c r="Q21" s="16"/>
      <c r="R21" s="16"/>
      <c r="S21" s="16"/>
      <c r="U21" s="91"/>
    </row>
    <row r="22" spans="1:21" x14ac:dyDescent="0.25">
      <c r="A22" s="268" t="s">
        <v>792</v>
      </c>
      <c r="B22" s="214"/>
      <c r="C22" s="214"/>
      <c r="D22" s="16"/>
      <c r="E22" s="16"/>
      <c r="F22" s="16"/>
      <c r="G22" s="16"/>
      <c r="H22" s="16"/>
      <c r="I22" s="16"/>
      <c r="J22" s="16"/>
      <c r="K22" s="16"/>
      <c r="L22" s="16"/>
      <c r="M22" s="16"/>
      <c r="N22" s="16"/>
      <c r="O22" s="16"/>
      <c r="P22" s="16"/>
      <c r="Q22" s="16"/>
      <c r="R22" s="16"/>
      <c r="S22" s="16"/>
      <c r="U22" s="16"/>
    </row>
    <row r="23" spans="1:21" x14ac:dyDescent="0.25">
      <c r="A23" s="268"/>
      <c r="B23" s="214"/>
      <c r="C23" s="268" t="s">
        <v>737</v>
      </c>
      <c r="D23" s="16"/>
      <c r="E23" s="16"/>
      <c r="F23" s="16"/>
      <c r="G23" s="16"/>
      <c r="H23" s="16"/>
      <c r="I23" s="16"/>
      <c r="J23" s="16"/>
      <c r="K23" s="16"/>
      <c r="L23" s="16"/>
      <c r="M23" s="16"/>
      <c r="N23" s="16"/>
      <c r="O23" s="16"/>
      <c r="P23" s="16"/>
      <c r="Q23" s="16"/>
      <c r="R23" s="16"/>
      <c r="S23" s="16"/>
      <c r="U23" s="16"/>
    </row>
    <row r="24" spans="1:21" x14ac:dyDescent="0.25">
      <c r="A24" s="268"/>
      <c r="B24" s="214"/>
      <c r="C24" s="268"/>
      <c r="D24" s="16"/>
      <c r="E24" s="16"/>
      <c r="F24" s="16"/>
      <c r="G24" s="16"/>
      <c r="H24" s="16"/>
      <c r="I24" s="16"/>
      <c r="J24" s="16"/>
      <c r="K24" s="16"/>
      <c r="L24" s="16"/>
      <c r="M24" s="16"/>
      <c r="N24" s="16"/>
      <c r="O24" s="16"/>
      <c r="P24" s="16"/>
      <c r="Q24" s="16"/>
      <c r="R24" s="16"/>
      <c r="S24" s="16"/>
      <c r="U24" s="16"/>
    </row>
    <row r="25" spans="1:21" x14ac:dyDescent="0.25">
      <c r="A25" s="268"/>
      <c r="B25" s="214"/>
      <c r="C25" s="268"/>
      <c r="D25" s="9"/>
      <c r="E25" s="9"/>
      <c r="F25" s="9"/>
      <c r="G25" s="9"/>
      <c r="H25" s="9"/>
      <c r="I25" s="9"/>
      <c r="J25" s="9"/>
      <c r="K25" s="9"/>
      <c r="L25" s="9"/>
      <c r="M25" s="9"/>
      <c r="N25" s="9"/>
      <c r="O25" s="9"/>
      <c r="P25" s="9"/>
      <c r="Q25" s="9"/>
      <c r="R25" s="9"/>
      <c r="S25" s="9"/>
      <c r="U25" s="9"/>
    </row>
    <row r="26" spans="1:21" x14ac:dyDescent="0.25">
      <c r="A26" s="268"/>
      <c r="B26" s="214"/>
      <c r="C26" s="268"/>
      <c r="D26" s="9"/>
      <c r="E26" s="9"/>
      <c r="F26" s="9"/>
      <c r="G26" s="9"/>
      <c r="H26" s="9"/>
      <c r="I26" s="9"/>
      <c r="J26" s="9"/>
      <c r="K26" s="9"/>
      <c r="L26" s="9"/>
      <c r="M26" s="9"/>
      <c r="N26" s="9"/>
      <c r="O26" s="9"/>
      <c r="P26" s="9"/>
      <c r="Q26" s="9"/>
      <c r="R26" s="9"/>
      <c r="S26" s="9"/>
      <c r="U26" s="9"/>
    </row>
    <row r="27" spans="1:21" x14ac:dyDescent="0.25">
      <c r="A27" s="268"/>
      <c r="B27" s="214"/>
      <c r="C27" s="268"/>
      <c r="D27" s="9"/>
      <c r="E27" s="9"/>
      <c r="F27" s="9"/>
      <c r="G27" s="9"/>
      <c r="H27" s="9"/>
      <c r="I27" s="9"/>
      <c r="J27" s="9"/>
      <c r="K27" s="9"/>
      <c r="L27" s="9"/>
      <c r="M27" s="9"/>
      <c r="N27" s="9"/>
      <c r="O27" s="9"/>
      <c r="P27" s="9"/>
      <c r="Q27" s="9"/>
      <c r="R27" s="9"/>
      <c r="S27" s="9"/>
      <c r="U27" s="9"/>
    </row>
    <row r="28" spans="1:21" x14ac:dyDescent="0.25">
      <c r="A28" s="268"/>
      <c r="B28" s="214"/>
      <c r="C28" s="268"/>
      <c r="D28" s="9"/>
      <c r="E28" s="9"/>
      <c r="F28" s="9"/>
      <c r="G28" s="9"/>
      <c r="H28" s="9"/>
      <c r="I28" s="9"/>
      <c r="J28" s="9"/>
      <c r="K28" s="9"/>
      <c r="L28" s="9"/>
      <c r="M28" s="9"/>
      <c r="N28" s="9"/>
      <c r="O28" s="9"/>
      <c r="P28" s="9"/>
      <c r="Q28" s="9"/>
      <c r="R28" s="9"/>
      <c r="S28" s="9"/>
      <c r="U28" s="9"/>
    </row>
    <row r="29" spans="1:21" x14ac:dyDescent="0.25">
      <c r="D29" s="15"/>
      <c r="E29" s="15"/>
      <c r="F29" s="15"/>
      <c r="G29" s="15"/>
      <c r="H29" s="15"/>
      <c r="I29" s="15"/>
      <c r="J29" s="15"/>
      <c r="K29" s="15"/>
      <c r="L29" s="15"/>
      <c r="M29" s="15"/>
      <c r="N29" s="15"/>
      <c r="O29" s="9"/>
      <c r="P29" s="9"/>
      <c r="Q29" s="9"/>
      <c r="R29" s="9"/>
      <c r="S29" s="15"/>
      <c r="U29" s="9"/>
    </row>
    <row r="30" spans="1:21" x14ac:dyDescent="0.25">
      <c r="D30" s="15"/>
      <c r="E30" s="15"/>
      <c r="F30" s="15"/>
      <c r="G30" s="15"/>
      <c r="H30" s="15"/>
      <c r="I30" s="15"/>
      <c r="J30" s="15"/>
      <c r="K30" s="15"/>
      <c r="L30" s="15"/>
      <c r="M30" s="15"/>
      <c r="N30" s="15"/>
      <c r="O30" s="9"/>
      <c r="P30" s="9"/>
      <c r="Q30" s="9"/>
      <c r="R30" s="9"/>
      <c r="S30" s="15"/>
      <c r="U30" s="9"/>
    </row>
    <row r="31" spans="1:21" x14ac:dyDescent="0.25">
      <c r="D31" s="15"/>
      <c r="E31" s="15"/>
      <c r="F31" s="15"/>
      <c r="G31" s="15"/>
      <c r="H31" s="15"/>
      <c r="I31" s="15"/>
      <c r="J31" s="15"/>
      <c r="K31" s="15"/>
      <c r="L31" s="15"/>
      <c r="M31" s="15"/>
      <c r="N31" s="15"/>
      <c r="O31" s="9"/>
      <c r="P31" s="9"/>
      <c r="Q31" s="9"/>
      <c r="R31" s="9"/>
      <c r="S31" s="15"/>
      <c r="U31" s="9"/>
    </row>
    <row r="32" spans="1:21" x14ac:dyDescent="0.25">
      <c r="D32" s="15"/>
      <c r="E32" s="15"/>
      <c r="F32" s="15"/>
      <c r="G32" s="15"/>
      <c r="H32" s="15"/>
      <c r="I32" s="15"/>
      <c r="J32" s="15"/>
      <c r="K32" s="15"/>
      <c r="L32" s="15"/>
      <c r="M32" s="15"/>
      <c r="N32" s="15"/>
      <c r="O32" s="9"/>
      <c r="P32" s="9"/>
      <c r="Q32" s="9"/>
      <c r="R32" s="9"/>
      <c r="S32" s="15"/>
      <c r="U32" s="9"/>
    </row>
    <row r="33" spans="1:21" x14ac:dyDescent="0.25">
      <c r="D33" s="15"/>
      <c r="E33" s="15"/>
      <c r="F33" s="15"/>
      <c r="G33" s="15"/>
      <c r="H33" s="15"/>
      <c r="I33" s="15"/>
      <c r="J33" s="15"/>
      <c r="K33" s="15"/>
      <c r="L33" s="15"/>
      <c r="M33" s="15"/>
      <c r="N33" s="15"/>
      <c r="O33" s="9"/>
      <c r="P33" s="9"/>
      <c r="Q33" s="9"/>
      <c r="R33" s="9"/>
      <c r="S33" s="15"/>
      <c r="U33" s="9"/>
    </row>
    <row r="34" spans="1:21" x14ac:dyDescent="0.25">
      <c r="D34" s="9"/>
      <c r="E34" s="9"/>
      <c r="F34" s="9"/>
      <c r="G34" s="9"/>
      <c r="H34" s="9"/>
      <c r="I34" s="9"/>
      <c r="J34" s="9"/>
      <c r="K34" s="9"/>
      <c r="L34" s="9"/>
      <c r="M34" s="9"/>
      <c r="N34" s="9"/>
      <c r="O34" s="9"/>
      <c r="P34" s="9"/>
      <c r="Q34" s="9"/>
      <c r="R34" s="9"/>
      <c r="S34" s="9"/>
      <c r="U34" s="9"/>
    </row>
    <row r="35" spans="1:21" x14ac:dyDescent="0.25">
      <c r="A35" s="1"/>
      <c r="B35" s="1"/>
      <c r="C35" s="1"/>
      <c r="D35" s="9"/>
      <c r="E35" s="9"/>
      <c r="F35" s="9"/>
      <c r="G35" s="9"/>
      <c r="H35" s="9"/>
      <c r="I35" s="9"/>
      <c r="J35" s="9"/>
      <c r="K35" s="9"/>
      <c r="L35" s="9"/>
      <c r="M35" s="9"/>
      <c r="N35" s="9"/>
      <c r="O35" s="9"/>
      <c r="P35" s="9"/>
      <c r="Q35" s="9"/>
      <c r="R35" s="9"/>
      <c r="S35" s="9"/>
      <c r="U35" s="9"/>
    </row>
    <row r="36" spans="1:21" x14ac:dyDescent="0.25">
      <c r="A36" s="1"/>
      <c r="B36" s="1"/>
      <c r="C36" s="1"/>
      <c r="D36" s="9"/>
      <c r="E36" s="9"/>
      <c r="F36" s="9"/>
      <c r="G36" s="9"/>
      <c r="H36" s="9"/>
      <c r="I36" s="9"/>
      <c r="J36" s="9"/>
      <c r="K36" s="9"/>
      <c r="L36" s="9"/>
      <c r="M36" s="9"/>
      <c r="N36" s="9"/>
      <c r="O36" s="11"/>
      <c r="P36" s="11"/>
      <c r="Q36" s="11"/>
      <c r="R36" s="11"/>
      <c r="S36" s="9"/>
      <c r="U36" s="11"/>
    </row>
    <row r="37" spans="1:21" x14ac:dyDescent="0.25">
      <c r="D37" s="9"/>
      <c r="E37" s="9"/>
      <c r="F37" s="9"/>
      <c r="G37" s="9"/>
      <c r="H37" s="9"/>
      <c r="I37" s="9"/>
      <c r="J37" s="9"/>
      <c r="K37" s="9"/>
      <c r="L37" s="9"/>
      <c r="M37" s="9"/>
      <c r="N37" s="9"/>
      <c r="O37" s="9"/>
      <c r="P37" s="9"/>
      <c r="Q37" s="9"/>
      <c r="R37" s="9"/>
      <c r="S37" s="9"/>
      <c r="U37" s="9"/>
    </row>
    <row r="38" spans="1:21" x14ac:dyDescent="0.25">
      <c r="D38" s="9"/>
      <c r="E38" s="9"/>
      <c r="F38" s="9"/>
      <c r="G38" s="9"/>
      <c r="H38" s="9"/>
      <c r="I38" s="9"/>
      <c r="J38" s="9"/>
      <c r="K38" s="9"/>
      <c r="L38" s="9"/>
      <c r="M38" s="9"/>
      <c r="N38" s="9"/>
      <c r="O38" s="9"/>
      <c r="P38" s="9"/>
      <c r="Q38" s="9"/>
      <c r="R38" s="9"/>
      <c r="S38" s="9"/>
      <c r="U38" s="9"/>
    </row>
    <row r="39" spans="1:21" x14ac:dyDescent="0.25">
      <c r="D39" s="9"/>
      <c r="E39" s="9"/>
      <c r="F39" s="9"/>
      <c r="G39" s="9"/>
      <c r="H39" s="9"/>
      <c r="I39" s="9"/>
      <c r="J39" s="9"/>
      <c r="K39" s="9"/>
      <c r="L39" s="9"/>
      <c r="M39" s="9"/>
      <c r="N39" s="9"/>
      <c r="O39" s="9"/>
      <c r="P39" s="9"/>
      <c r="Q39" s="9"/>
      <c r="R39" s="9"/>
      <c r="S39" s="9"/>
      <c r="U39" s="9"/>
    </row>
    <row r="40" spans="1:21" x14ac:dyDescent="0.25">
      <c r="A40" s="1"/>
      <c r="B40" s="1"/>
      <c r="C40" s="1"/>
      <c r="D40" s="9"/>
      <c r="E40" s="9"/>
      <c r="F40" s="9"/>
      <c r="G40" s="9"/>
      <c r="H40" s="9"/>
      <c r="I40" s="9"/>
      <c r="J40" s="9"/>
      <c r="K40" s="9"/>
      <c r="L40" s="9"/>
      <c r="M40" s="9"/>
      <c r="N40" s="9"/>
      <c r="O40" s="9"/>
      <c r="P40" s="9"/>
      <c r="Q40" s="9"/>
      <c r="R40" s="9"/>
      <c r="S40" s="9"/>
      <c r="U40" s="9"/>
    </row>
    <row r="41" spans="1:21" x14ac:dyDescent="0.25">
      <c r="D41" s="9"/>
      <c r="E41" s="9"/>
      <c r="F41" s="9"/>
      <c r="G41" s="9"/>
      <c r="H41" s="9"/>
      <c r="I41" s="9"/>
      <c r="J41" s="9"/>
      <c r="K41" s="9"/>
      <c r="L41" s="9"/>
      <c r="M41" s="9"/>
      <c r="N41" s="9"/>
      <c r="O41" s="11"/>
      <c r="P41" s="11"/>
      <c r="Q41" s="11"/>
      <c r="R41" s="11"/>
      <c r="S41" s="9"/>
      <c r="U41" s="11"/>
    </row>
    <row r="42" spans="1:21" x14ac:dyDescent="0.25">
      <c r="D42" s="9"/>
      <c r="E42" s="9"/>
      <c r="F42" s="9"/>
      <c r="G42" s="9"/>
      <c r="H42" s="9"/>
      <c r="I42" s="9"/>
      <c r="J42" s="9"/>
      <c r="K42" s="9"/>
      <c r="L42" s="9"/>
      <c r="M42" s="9"/>
      <c r="N42" s="9"/>
      <c r="O42" s="11"/>
      <c r="P42" s="11"/>
      <c r="Q42" s="11"/>
      <c r="R42" s="11"/>
      <c r="S42" s="9"/>
      <c r="U42" s="11"/>
    </row>
    <row r="43" spans="1:21" x14ac:dyDescent="0.25">
      <c r="D43" s="9"/>
      <c r="E43" s="9"/>
      <c r="F43" s="9"/>
      <c r="G43" s="9"/>
      <c r="H43" s="9"/>
      <c r="I43" s="9"/>
      <c r="J43" s="9"/>
      <c r="K43" s="9"/>
      <c r="L43" s="9"/>
      <c r="M43" s="9"/>
      <c r="N43" s="9"/>
      <c r="O43" s="11"/>
      <c r="P43" s="11"/>
      <c r="Q43" s="11"/>
      <c r="R43" s="11"/>
      <c r="S43" s="9"/>
      <c r="U43" s="11"/>
    </row>
    <row r="44" spans="1:21" x14ac:dyDescent="0.25">
      <c r="A44" s="1"/>
      <c r="B44" s="1"/>
      <c r="C44" s="1"/>
      <c r="D44" s="9"/>
      <c r="E44" s="9"/>
      <c r="F44" s="9"/>
      <c r="G44" s="9"/>
      <c r="H44" s="9"/>
      <c r="I44" s="9"/>
      <c r="J44" s="9"/>
      <c r="K44" s="9"/>
      <c r="L44" s="9"/>
      <c r="M44" s="9"/>
      <c r="N44" s="9"/>
      <c r="O44" s="9"/>
      <c r="P44" s="9"/>
      <c r="Q44" s="9"/>
      <c r="R44" s="9"/>
      <c r="S44" s="9"/>
      <c r="U44" s="9"/>
    </row>
    <row r="45" spans="1:21" x14ac:dyDescent="0.25">
      <c r="D45" s="9"/>
      <c r="E45" s="9"/>
      <c r="F45" s="9"/>
      <c r="G45" s="9"/>
      <c r="H45" s="9"/>
      <c r="I45" s="9"/>
      <c r="J45" s="9"/>
      <c r="K45" s="9"/>
      <c r="L45" s="9"/>
      <c r="M45" s="9"/>
      <c r="N45" s="9"/>
      <c r="O45" s="9"/>
      <c r="P45" s="9"/>
      <c r="Q45" s="9"/>
      <c r="R45" s="9"/>
      <c r="S45" s="9"/>
      <c r="U45" s="9"/>
    </row>
    <row r="46" spans="1:21" x14ac:dyDescent="0.25">
      <c r="D46" s="9"/>
      <c r="E46" s="9"/>
      <c r="F46" s="9"/>
      <c r="G46" s="9"/>
      <c r="H46" s="9"/>
      <c r="I46" s="9"/>
      <c r="J46" s="9"/>
      <c r="K46" s="9"/>
      <c r="L46" s="9"/>
      <c r="M46" s="9"/>
      <c r="N46" s="9"/>
      <c r="O46" s="9"/>
      <c r="P46" s="9"/>
      <c r="Q46" s="9"/>
      <c r="R46" s="9"/>
      <c r="S46" s="9"/>
      <c r="U46" s="9"/>
    </row>
    <row r="47" spans="1:21" x14ac:dyDescent="0.25">
      <c r="D47" s="9"/>
      <c r="E47" s="9"/>
      <c r="F47" s="9"/>
      <c r="G47" s="9"/>
      <c r="H47" s="9"/>
      <c r="I47" s="9"/>
      <c r="J47" s="9"/>
      <c r="K47" s="9"/>
      <c r="L47" s="9"/>
      <c r="M47" s="9"/>
      <c r="N47" s="9"/>
      <c r="O47" s="9"/>
      <c r="P47" s="9"/>
      <c r="Q47" s="9"/>
      <c r="R47" s="9"/>
      <c r="S47" s="9"/>
      <c r="U47" s="9"/>
    </row>
    <row r="48" spans="1:21" x14ac:dyDescent="0.25">
      <c r="D48" s="11"/>
      <c r="E48" s="11"/>
      <c r="F48" s="11"/>
      <c r="G48" s="11"/>
      <c r="H48" s="11"/>
      <c r="I48" s="11"/>
      <c r="J48" s="11"/>
      <c r="K48" s="11"/>
      <c r="L48" s="11"/>
      <c r="M48" s="11"/>
      <c r="N48" s="11"/>
      <c r="O48" s="11"/>
      <c r="P48" s="11"/>
      <c r="Q48" s="11"/>
      <c r="R48" s="11"/>
      <c r="S48" s="11"/>
      <c r="U48" s="11"/>
    </row>
    <row r="49" spans="1:21" x14ac:dyDescent="0.25">
      <c r="A49" s="1"/>
      <c r="B49" s="1"/>
      <c r="C49" s="1"/>
      <c r="D49" s="11"/>
      <c r="E49" s="11"/>
      <c r="F49" s="11"/>
      <c r="G49" s="11"/>
      <c r="H49" s="11"/>
      <c r="I49" s="11"/>
      <c r="J49" s="11"/>
      <c r="K49" s="11"/>
      <c r="L49" s="11"/>
      <c r="M49" s="11"/>
      <c r="N49" s="11"/>
      <c r="O49" s="11"/>
      <c r="P49" s="11"/>
      <c r="Q49" s="11"/>
      <c r="R49" s="11"/>
      <c r="S49" s="11"/>
      <c r="U49" s="11"/>
    </row>
    <row r="50" spans="1:21" x14ac:dyDescent="0.25">
      <c r="D50" s="9"/>
      <c r="E50" s="9"/>
      <c r="F50" s="9"/>
      <c r="G50" s="9"/>
      <c r="H50" s="9"/>
      <c r="I50" s="9"/>
      <c r="J50" s="9"/>
      <c r="K50" s="9"/>
      <c r="L50" s="9"/>
      <c r="M50" s="9"/>
      <c r="N50" s="9"/>
      <c r="O50" s="9"/>
      <c r="P50" s="9"/>
      <c r="Q50" s="9"/>
      <c r="R50" s="9"/>
      <c r="S50" s="9"/>
      <c r="U50" s="9"/>
    </row>
    <row r="51" spans="1:21" x14ac:dyDescent="0.25">
      <c r="D51" s="9"/>
      <c r="E51" s="9"/>
      <c r="F51" s="9"/>
      <c r="G51" s="9"/>
      <c r="H51" s="9"/>
      <c r="I51" s="9"/>
      <c r="J51" s="9"/>
      <c r="K51" s="9"/>
      <c r="L51" s="9"/>
      <c r="M51" s="9"/>
      <c r="N51" s="9"/>
      <c r="O51" s="9"/>
      <c r="P51" s="9"/>
      <c r="Q51" s="9"/>
      <c r="R51" s="9"/>
      <c r="S51" s="9"/>
      <c r="U51" s="9"/>
    </row>
    <row r="52" spans="1:21" x14ac:dyDescent="0.25">
      <c r="D52" s="9"/>
      <c r="E52" s="9"/>
      <c r="F52" s="9"/>
      <c r="G52" s="9"/>
      <c r="H52" s="9"/>
      <c r="I52" s="9"/>
      <c r="J52" s="9"/>
      <c r="K52" s="9"/>
      <c r="L52" s="9"/>
      <c r="M52" s="9"/>
      <c r="N52" s="9"/>
      <c r="O52" s="9"/>
      <c r="P52" s="9"/>
      <c r="Q52" s="9"/>
      <c r="R52" s="9"/>
      <c r="S52" s="9"/>
      <c r="U52" s="9"/>
    </row>
    <row r="53" spans="1:21" x14ac:dyDescent="0.25">
      <c r="D53" s="9"/>
      <c r="E53" s="9"/>
      <c r="F53" s="9"/>
      <c r="G53" s="9"/>
      <c r="H53" s="9"/>
      <c r="I53" s="9"/>
      <c r="J53" s="9"/>
      <c r="K53" s="9"/>
      <c r="L53" s="9"/>
      <c r="M53" s="9"/>
      <c r="N53" s="9"/>
      <c r="O53" s="9"/>
      <c r="P53" s="9"/>
      <c r="Q53" s="9"/>
      <c r="R53" s="9"/>
      <c r="S53" s="9"/>
      <c r="U53" s="9"/>
    </row>
    <row r="54" spans="1:21" x14ac:dyDescent="0.25">
      <c r="D54" s="9"/>
      <c r="E54" s="9"/>
      <c r="F54" s="9"/>
      <c r="G54" s="9"/>
      <c r="H54" s="9"/>
      <c r="I54" s="9"/>
      <c r="J54" s="9"/>
      <c r="K54" s="9"/>
      <c r="L54" s="9"/>
      <c r="M54" s="9"/>
      <c r="N54" s="9"/>
      <c r="O54" s="9"/>
      <c r="P54" s="9"/>
      <c r="Q54" s="9"/>
      <c r="R54" s="9"/>
      <c r="S54" s="9"/>
      <c r="U54" s="9"/>
    </row>
    <row r="55" spans="1:21" x14ac:dyDescent="0.25">
      <c r="D55" s="9"/>
      <c r="E55" s="9"/>
      <c r="F55" s="9"/>
      <c r="G55" s="9"/>
      <c r="H55" s="9"/>
      <c r="I55" s="9"/>
      <c r="J55" s="9"/>
      <c r="K55" s="9"/>
      <c r="L55" s="9"/>
      <c r="M55" s="9"/>
      <c r="N55" s="9"/>
      <c r="O55" s="11"/>
      <c r="P55" s="11"/>
      <c r="Q55" s="11"/>
      <c r="R55" s="11"/>
      <c r="S55" s="9"/>
      <c r="U55" s="11"/>
    </row>
    <row r="56" spans="1:21" x14ac:dyDescent="0.25">
      <c r="D56" s="11"/>
      <c r="E56" s="11"/>
      <c r="F56" s="11"/>
      <c r="G56" s="11"/>
      <c r="H56" s="11"/>
      <c r="I56" s="11"/>
      <c r="J56" s="11"/>
      <c r="K56" s="11"/>
      <c r="L56" s="11"/>
      <c r="M56" s="11"/>
      <c r="N56" s="11"/>
      <c r="O56" s="11"/>
      <c r="P56" s="11"/>
      <c r="Q56" s="11"/>
      <c r="R56" s="11"/>
      <c r="S56" s="11"/>
      <c r="U56" s="11"/>
    </row>
    <row r="57" spans="1:21" x14ac:dyDescent="0.25">
      <c r="A57" s="1"/>
      <c r="B57" s="1"/>
      <c r="C57" s="1"/>
      <c r="D57" s="9"/>
      <c r="E57" s="9"/>
      <c r="F57" s="9"/>
      <c r="G57" s="9"/>
      <c r="H57" s="9"/>
      <c r="I57" s="9"/>
      <c r="J57" s="9"/>
      <c r="K57" s="9"/>
      <c r="L57" s="9"/>
      <c r="M57" s="9"/>
      <c r="N57" s="9"/>
      <c r="O57" s="9"/>
      <c r="P57" s="9"/>
      <c r="Q57" s="9"/>
      <c r="R57" s="9"/>
      <c r="S57" s="9"/>
      <c r="U57" s="9"/>
    </row>
    <row r="58" spans="1:21" x14ac:dyDescent="0.25">
      <c r="D58" s="9"/>
      <c r="E58" s="9"/>
      <c r="F58" s="9"/>
      <c r="G58" s="9"/>
      <c r="H58" s="9"/>
      <c r="I58" s="9"/>
      <c r="J58" s="9"/>
      <c r="K58" s="9"/>
      <c r="L58" s="9"/>
      <c r="M58" s="9"/>
      <c r="N58" s="9"/>
      <c r="O58" s="9"/>
      <c r="P58" s="9"/>
      <c r="Q58" s="9"/>
      <c r="R58" s="9"/>
      <c r="S58" s="9"/>
      <c r="U58" s="9"/>
    </row>
    <row r="59" spans="1:21" x14ac:dyDescent="0.25">
      <c r="D59" s="9"/>
      <c r="E59" s="9"/>
      <c r="F59" s="9"/>
      <c r="G59" s="9"/>
      <c r="H59" s="9"/>
      <c r="I59" s="9"/>
      <c r="J59" s="9"/>
      <c r="K59" s="9"/>
      <c r="L59" s="9"/>
      <c r="M59" s="9"/>
      <c r="N59" s="9"/>
      <c r="O59" s="9"/>
      <c r="P59" s="9"/>
      <c r="Q59" s="9"/>
      <c r="R59" s="9"/>
      <c r="S59" s="9"/>
      <c r="U59" s="9"/>
    </row>
    <row r="60" spans="1:21" x14ac:dyDescent="0.25">
      <c r="D60" s="9"/>
      <c r="E60" s="9"/>
      <c r="F60" s="9"/>
      <c r="G60" s="9"/>
      <c r="H60" s="9"/>
      <c r="I60" s="9"/>
      <c r="J60" s="9"/>
      <c r="K60" s="9"/>
      <c r="L60" s="9"/>
      <c r="M60" s="9"/>
      <c r="N60" s="9"/>
      <c r="O60" s="9"/>
      <c r="P60" s="9"/>
      <c r="Q60" s="9"/>
      <c r="R60" s="9"/>
      <c r="S60" s="9"/>
      <c r="U60" s="9"/>
    </row>
    <row r="61" spans="1:21" x14ac:dyDescent="0.25">
      <c r="D61" s="9"/>
      <c r="E61" s="9"/>
      <c r="F61" s="9"/>
      <c r="G61" s="9"/>
      <c r="H61" s="9"/>
      <c r="I61" s="9"/>
      <c r="J61" s="9"/>
      <c r="K61" s="9"/>
      <c r="L61" s="9"/>
      <c r="M61" s="9"/>
      <c r="N61" s="9"/>
      <c r="O61" s="9"/>
      <c r="P61" s="9"/>
      <c r="Q61" s="9"/>
      <c r="R61" s="9"/>
      <c r="S61" s="9"/>
      <c r="U61" s="9"/>
    </row>
    <row r="62" spans="1:21" x14ac:dyDescent="0.25">
      <c r="D62" s="9"/>
      <c r="E62" s="9"/>
      <c r="F62" s="9"/>
      <c r="G62" s="9"/>
      <c r="H62" s="9"/>
      <c r="I62" s="9"/>
      <c r="J62" s="9"/>
      <c r="K62" s="9"/>
      <c r="L62" s="9"/>
      <c r="M62" s="9"/>
      <c r="N62" s="9"/>
      <c r="O62" s="9"/>
      <c r="P62" s="9"/>
      <c r="Q62" s="9"/>
      <c r="R62" s="9"/>
      <c r="S62" s="9"/>
      <c r="U62" s="9"/>
    </row>
    <row r="63" spans="1:21" x14ac:dyDescent="0.25">
      <c r="D63" s="9"/>
      <c r="E63" s="9"/>
      <c r="F63" s="9"/>
      <c r="G63" s="9"/>
      <c r="H63" s="9"/>
      <c r="I63" s="9"/>
      <c r="J63" s="9"/>
      <c r="K63" s="9"/>
      <c r="L63" s="9"/>
      <c r="M63" s="9"/>
      <c r="N63" s="9"/>
      <c r="O63" s="9"/>
      <c r="P63" s="9"/>
      <c r="Q63" s="9"/>
      <c r="R63" s="9"/>
      <c r="S63" s="9"/>
      <c r="U63" s="9"/>
    </row>
    <row r="64" spans="1:21" x14ac:dyDescent="0.25">
      <c r="A64" s="1"/>
      <c r="B64" s="1"/>
      <c r="C64" s="1"/>
      <c r="D64" s="9"/>
      <c r="E64" s="9"/>
      <c r="F64" s="9"/>
      <c r="G64" s="9"/>
      <c r="H64" s="9"/>
      <c r="I64" s="9"/>
      <c r="J64" s="9"/>
      <c r="K64" s="9"/>
      <c r="L64" s="9"/>
      <c r="M64" s="9"/>
      <c r="N64" s="9"/>
      <c r="O64" s="9"/>
      <c r="P64" s="9"/>
      <c r="Q64" s="9"/>
      <c r="R64" s="9"/>
      <c r="S64" s="9"/>
      <c r="U64" s="9"/>
    </row>
    <row r="65" spans="1:21" x14ac:dyDescent="0.25">
      <c r="D65" s="9"/>
      <c r="E65" s="9"/>
      <c r="F65" s="9"/>
      <c r="G65" s="9"/>
      <c r="H65" s="9"/>
      <c r="I65" s="9"/>
      <c r="J65" s="9"/>
      <c r="K65" s="9"/>
      <c r="L65" s="9"/>
      <c r="M65" s="9"/>
      <c r="N65" s="9"/>
      <c r="O65" s="11"/>
      <c r="P65" s="11"/>
      <c r="Q65" s="11"/>
      <c r="R65" s="11"/>
      <c r="S65" s="9"/>
      <c r="U65" s="11"/>
    </row>
    <row r="66" spans="1:21" x14ac:dyDescent="0.25">
      <c r="D66" s="9"/>
      <c r="E66" s="9"/>
      <c r="F66" s="9"/>
      <c r="G66" s="9"/>
      <c r="H66" s="9"/>
      <c r="I66" s="9"/>
      <c r="J66" s="9"/>
      <c r="K66" s="9"/>
      <c r="L66" s="9"/>
      <c r="M66" s="9"/>
      <c r="N66" s="9"/>
      <c r="O66" s="11"/>
      <c r="P66" s="11"/>
      <c r="Q66" s="11"/>
      <c r="R66" s="11"/>
      <c r="S66" s="9"/>
      <c r="U66" s="11"/>
    </row>
    <row r="67" spans="1:21" x14ac:dyDescent="0.25">
      <c r="D67" s="9"/>
      <c r="E67" s="9"/>
      <c r="F67" s="9"/>
      <c r="G67" s="9"/>
      <c r="H67" s="9"/>
      <c r="I67" s="9"/>
      <c r="J67" s="9"/>
      <c r="K67" s="9"/>
      <c r="L67" s="9"/>
      <c r="M67" s="9"/>
      <c r="N67" s="9"/>
      <c r="O67" s="11"/>
      <c r="P67" s="11"/>
      <c r="Q67" s="11"/>
      <c r="R67" s="11"/>
      <c r="S67" s="9"/>
      <c r="U67" s="11"/>
    </row>
    <row r="68" spans="1:21" x14ac:dyDescent="0.25">
      <c r="D68" s="14"/>
      <c r="E68" s="14"/>
      <c r="F68" s="14"/>
      <c r="G68" s="14"/>
      <c r="H68" s="14"/>
      <c r="I68" s="14"/>
      <c r="J68" s="14"/>
      <c r="K68" s="14"/>
      <c r="L68" s="14"/>
      <c r="M68" s="14"/>
      <c r="N68" s="14"/>
      <c r="S68" s="14"/>
    </row>
    <row r="69" spans="1:21" x14ac:dyDescent="0.25">
      <c r="D69" s="14"/>
      <c r="E69" s="14"/>
      <c r="F69" s="14"/>
      <c r="G69" s="14"/>
      <c r="H69" s="14"/>
      <c r="I69" s="14"/>
      <c r="J69" s="14"/>
      <c r="K69" s="14"/>
      <c r="L69" s="14"/>
      <c r="M69" s="14"/>
      <c r="N69" s="14"/>
      <c r="S69" s="14"/>
    </row>
    <row r="71" spans="1:21" x14ac:dyDescent="0.25">
      <c r="A71" s="1"/>
      <c r="B71" s="1"/>
      <c r="C71" s="1"/>
    </row>
    <row r="72" spans="1:21" x14ac:dyDescent="0.25">
      <c r="D72" s="14"/>
      <c r="E72" s="14"/>
      <c r="F72" s="14"/>
      <c r="G72" s="14"/>
      <c r="H72" s="14"/>
      <c r="I72" s="14"/>
      <c r="J72" s="14"/>
      <c r="K72" s="14"/>
      <c r="L72" s="14"/>
      <c r="M72" s="14"/>
      <c r="N72" s="14"/>
      <c r="S72" s="14"/>
    </row>
    <row r="73" spans="1:21" x14ac:dyDescent="0.25">
      <c r="D73" s="14"/>
      <c r="E73" s="14"/>
      <c r="F73" s="14"/>
      <c r="G73" s="14"/>
      <c r="H73" s="14"/>
      <c r="I73" s="14"/>
      <c r="J73" s="14"/>
      <c r="K73" s="14"/>
      <c r="L73" s="14"/>
      <c r="M73" s="14"/>
      <c r="N73" s="14"/>
      <c r="S73" s="14"/>
    </row>
    <row r="74" spans="1:21" x14ac:dyDescent="0.25">
      <c r="D74" s="14"/>
      <c r="E74" s="14"/>
      <c r="F74" s="14"/>
      <c r="G74" s="14"/>
      <c r="H74" s="14"/>
      <c r="I74" s="14"/>
      <c r="J74" s="14"/>
      <c r="K74" s="14"/>
      <c r="L74" s="14"/>
      <c r="M74" s="14"/>
      <c r="N74" s="14"/>
      <c r="S74" s="14"/>
    </row>
    <row r="75" spans="1:21" x14ac:dyDescent="0.25">
      <c r="D75" s="14"/>
      <c r="E75" s="14"/>
      <c r="F75" s="14"/>
      <c r="G75" s="14"/>
      <c r="H75" s="14"/>
      <c r="I75" s="14"/>
      <c r="J75" s="14"/>
      <c r="K75" s="14"/>
      <c r="L75" s="14"/>
      <c r="M75" s="14"/>
      <c r="N75" s="14"/>
      <c r="S75" s="14"/>
    </row>
    <row r="76" spans="1:21" x14ac:dyDescent="0.25">
      <c r="D76" s="14"/>
      <c r="E76" s="14"/>
      <c r="F76" s="14"/>
      <c r="G76" s="14"/>
      <c r="H76" s="14"/>
      <c r="I76" s="14"/>
      <c r="J76" s="14"/>
      <c r="K76" s="14"/>
      <c r="L76" s="14"/>
      <c r="M76" s="14"/>
      <c r="N76" s="14"/>
      <c r="S76" s="14"/>
    </row>
    <row r="77" spans="1:21" x14ac:dyDescent="0.25">
      <c r="D77" s="14"/>
      <c r="E77" s="14"/>
      <c r="F77" s="14"/>
      <c r="G77" s="14"/>
      <c r="H77" s="14"/>
      <c r="I77" s="14"/>
      <c r="J77" s="14"/>
      <c r="K77" s="14"/>
      <c r="L77" s="14"/>
      <c r="M77" s="14"/>
      <c r="N77" s="14"/>
      <c r="S77" s="14"/>
    </row>
    <row r="78" spans="1:21" x14ac:dyDescent="0.25">
      <c r="D78" s="14"/>
      <c r="E78" s="14"/>
      <c r="F78" s="14"/>
      <c r="G78" s="14"/>
      <c r="H78" s="14"/>
      <c r="I78" s="14"/>
      <c r="J78" s="14"/>
      <c r="K78" s="14"/>
      <c r="L78" s="14"/>
      <c r="M78" s="14"/>
      <c r="N78" s="14"/>
      <c r="S78" s="14"/>
    </row>
    <row r="79" spans="1:21" x14ac:dyDescent="0.25">
      <c r="D79" s="14"/>
      <c r="E79" s="14"/>
      <c r="F79" s="14"/>
      <c r="G79" s="14"/>
      <c r="H79" s="14"/>
      <c r="I79" s="14"/>
      <c r="J79" s="14"/>
      <c r="K79" s="14"/>
      <c r="L79" s="14"/>
      <c r="M79" s="14"/>
      <c r="N79" s="14"/>
      <c r="S79" s="14"/>
    </row>
    <row r="80" spans="1:21" x14ac:dyDescent="0.25">
      <c r="D80" s="14"/>
      <c r="E80" s="14"/>
      <c r="F80" s="14"/>
      <c r="G80" s="14"/>
      <c r="H80" s="14"/>
      <c r="I80" s="14"/>
      <c r="J80" s="14"/>
      <c r="K80" s="14"/>
      <c r="L80" s="14"/>
      <c r="M80" s="14"/>
      <c r="N80" s="14"/>
      <c r="S80" s="14"/>
    </row>
    <row r="81" spans="4:19" s="1" customFormat="1" x14ac:dyDescent="0.25">
      <c r="D81" s="10"/>
      <c r="E81" s="10"/>
      <c r="F81" s="10"/>
      <c r="G81" s="10"/>
      <c r="H81" s="10"/>
      <c r="I81" s="10"/>
      <c r="J81" s="10"/>
      <c r="K81" s="10"/>
      <c r="L81" s="10"/>
      <c r="M81" s="10"/>
      <c r="N81" s="10"/>
      <c r="S81" s="10"/>
    </row>
  </sheetData>
  <mergeCells count="2">
    <mergeCell ref="A22:A28"/>
    <mergeCell ref="C23:C28"/>
  </mergeCells>
  <hyperlinks>
    <hyperlink ref="U6" location="'Índice - Index'!A1" display="Index" xr:uid="{83DFFCD7-20D6-420F-B5B5-6CE6DA00D58B}"/>
    <hyperlink ref="D6" location="'Índice - Index'!A1" display="Index" xr:uid="{D1FA7A04-3CD6-4205-B683-F475C63A6037}"/>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6CDA-3A24-41EB-95DE-EDC5A314C21E}">
  <sheetPr codeName="Planilha21">
    <tabColor theme="2" tint="-9.9978637043366805E-2"/>
  </sheetPr>
  <dimension ref="A2:P84"/>
  <sheetViews>
    <sheetView showGridLines="0" zoomScale="80" zoomScaleNormal="80" workbookViewId="0">
      <pane xSplit="2" ySplit="10" topLeftCell="L11" activePane="bottomRight" state="frozen"/>
      <selection pane="topRight" activeCell="C1" sqref="C1"/>
      <selection pane="bottomLeft" activeCell="A11" sqref="A11"/>
      <selection pane="bottomRight" activeCell="P10" sqref="P10"/>
    </sheetView>
  </sheetViews>
  <sheetFormatPr defaultColWidth="11.5703125" defaultRowHeight="15" x14ac:dyDescent="0.25"/>
  <cols>
    <col min="1" max="2" width="57.140625" customWidth="1"/>
  </cols>
  <sheetData>
    <row r="2" spans="1:16" ht="21" x14ac:dyDescent="0.35">
      <c r="A2" s="4" t="s">
        <v>13</v>
      </c>
      <c r="B2" s="4"/>
    </row>
    <row r="3" spans="1:16" ht="6.75" customHeight="1" x14ac:dyDescent="0.25">
      <c r="A3" s="3"/>
      <c r="B3" s="3"/>
    </row>
    <row r="4" spans="1:16" x14ac:dyDescent="0.25">
      <c r="A4" s="2" t="s">
        <v>14</v>
      </c>
      <c r="B4" s="2" t="s">
        <v>432</v>
      </c>
    </row>
    <row r="5" spans="1:16" ht="6.75" customHeight="1" x14ac:dyDescent="0.25"/>
    <row r="6" spans="1:16" x14ac:dyDescent="0.25">
      <c r="C6" s="236" t="s">
        <v>486</v>
      </c>
      <c r="J6" s="6"/>
      <c r="P6" s="236" t="s">
        <v>486</v>
      </c>
    </row>
    <row r="7" spans="1:16" ht="17.25" customHeight="1" x14ac:dyDescent="0.3">
      <c r="A7" s="40" t="s">
        <v>261</v>
      </c>
      <c r="B7" s="40" t="s">
        <v>793</v>
      </c>
    </row>
    <row r="8" spans="1:16" x14ac:dyDescent="0.25">
      <c r="A8" s="41" t="s">
        <v>157</v>
      </c>
      <c r="B8" s="41" t="s">
        <v>757</v>
      </c>
      <c r="N8" s="121"/>
    </row>
    <row r="9" spans="1:16" x14ac:dyDescent="0.25">
      <c r="A9" s="34"/>
      <c r="B9" s="34"/>
      <c r="C9" s="34" t="s">
        <v>587</v>
      </c>
      <c r="D9" s="34" t="s">
        <v>588</v>
      </c>
      <c r="E9" s="34" t="s">
        <v>589</v>
      </c>
      <c r="F9" s="34" t="s">
        <v>590</v>
      </c>
      <c r="G9" s="34" t="s">
        <v>591</v>
      </c>
      <c r="H9" s="34" t="s">
        <v>592</v>
      </c>
      <c r="I9" s="34" t="s">
        <v>593</v>
      </c>
      <c r="J9" s="34" t="s">
        <v>594</v>
      </c>
      <c r="K9" s="34" t="s">
        <v>595</v>
      </c>
      <c r="L9" s="34" t="s">
        <v>596</v>
      </c>
      <c r="M9" s="34" t="s">
        <v>597</v>
      </c>
      <c r="N9" s="34" t="s">
        <v>598</v>
      </c>
      <c r="O9" s="34" t="s">
        <v>599</v>
      </c>
      <c r="P9" s="34" t="s">
        <v>600</v>
      </c>
    </row>
    <row r="10" spans="1:16" s="3" customFormat="1" x14ac:dyDescent="0.25">
      <c r="A10" s="34"/>
      <c r="B10" s="34"/>
      <c r="C10" s="34" t="s">
        <v>117</v>
      </c>
      <c r="D10" s="34" t="s">
        <v>166</v>
      </c>
      <c r="E10" s="34" t="s">
        <v>170</v>
      </c>
      <c r="F10" s="34" t="s">
        <v>172</v>
      </c>
      <c r="G10" s="34" t="s">
        <v>174</v>
      </c>
      <c r="H10" s="34" t="s">
        <v>177</v>
      </c>
      <c r="I10" s="34" t="s">
        <v>179</v>
      </c>
      <c r="J10" s="34" t="s">
        <v>181</v>
      </c>
      <c r="K10" s="34" t="s">
        <v>184</v>
      </c>
      <c r="L10" s="34" t="s">
        <v>186</v>
      </c>
      <c r="M10" s="34" t="s">
        <v>199</v>
      </c>
      <c r="N10" s="34" t="s">
        <v>286</v>
      </c>
      <c r="O10" s="34" t="s">
        <v>291</v>
      </c>
      <c r="P10" s="34" t="s">
        <v>293</v>
      </c>
    </row>
    <row r="11" spans="1:16" s="22" customFormat="1" ht="15.75" x14ac:dyDescent="0.25">
      <c r="A11" s="74" t="s">
        <v>261</v>
      </c>
      <c r="B11" s="74" t="s">
        <v>794</v>
      </c>
      <c r="C11" s="71"/>
      <c r="D11" s="71"/>
      <c r="E11" s="71"/>
      <c r="F11" s="71"/>
      <c r="G11" s="71"/>
      <c r="H11" s="71"/>
      <c r="I11" s="71"/>
      <c r="J11" s="71"/>
      <c r="K11" s="71"/>
      <c r="L11" s="71"/>
      <c r="M11" s="71"/>
      <c r="N11" s="71"/>
      <c r="O11" s="71"/>
      <c r="P11" s="71"/>
    </row>
    <row r="12" spans="1:16" s="23" customFormat="1" x14ac:dyDescent="0.25">
      <c r="A12" s="72" t="s">
        <v>262</v>
      </c>
      <c r="B12" s="38" t="s">
        <v>795</v>
      </c>
      <c r="C12" s="103">
        <v>265.82240964893498</v>
      </c>
      <c r="D12" s="103">
        <v>275.82380844368078</v>
      </c>
      <c r="E12" s="103">
        <v>260.15016782143027</v>
      </c>
      <c r="F12" s="103">
        <v>220.41031131</v>
      </c>
      <c r="G12" s="103">
        <v>230.23561643713529</v>
      </c>
      <c r="H12" s="103">
        <v>253.57556110236138</v>
      </c>
      <c r="I12" s="103">
        <v>235.19392546582387</v>
      </c>
      <c r="J12" s="103">
        <v>239.59407398902263</v>
      </c>
      <c r="K12" s="103">
        <f>'DRE Ger. (Tri) - IS Mngmt Q'!F13</f>
        <v>234.14385994815245</v>
      </c>
      <c r="L12" s="103">
        <f>'DRE Ger. (Tri) - IS Mngmt Q'!G13</f>
        <v>236.99364114213495</v>
      </c>
      <c r="M12" s="103">
        <f>'DRE Ger. (Tri) - IS Mngmt Q'!H13</f>
        <v>264.72968115192583</v>
      </c>
      <c r="N12" s="103">
        <f>'DRE Ger. (Tri) - IS Mngmt Q'!I13</f>
        <v>259.8385978815669</v>
      </c>
      <c r="O12" s="103">
        <f>'DRE Ger. (Tri) - IS Mngmt Q'!J13</f>
        <v>255.37942635985991</v>
      </c>
      <c r="P12" s="103">
        <f>'DRE Ger. (Tri) - IS Mngmt Q'!K13</f>
        <v>281.67722642103394</v>
      </c>
    </row>
    <row r="13" spans="1:16" s="23" customFormat="1" ht="18" customHeight="1" x14ac:dyDescent="0.25">
      <c r="A13" s="72" t="s">
        <v>263</v>
      </c>
      <c r="B13" s="72" t="s">
        <v>741</v>
      </c>
      <c r="C13" s="91">
        <v>11573.89493221544</v>
      </c>
      <c r="D13" s="91">
        <v>11670.789041624999</v>
      </c>
      <c r="E13" s="91">
        <v>11744.248444054891</v>
      </c>
      <c r="F13" s="91">
        <v>11862.466130744901</v>
      </c>
      <c r="G13" s="91">
        <v>12010.349655224993</v>
      </c>
      <c r="H13" s="91">
        <v>12138.977420465002</v>
      </c>
      <c r="I13" s="91">
        <v>12394.591936779998</v>
      </c>
      <c r="J13" s="91">
        <v>12707.867900915</v>
      </c>
      <c r="K13" s="91">
        <v>13021.896141745019</v>
      </c>
      <c r="L13" s="91">
        <v>13349.073399850011</v>
      </c>
      <c r="M13" s="91">
        <v>14412.564124110009</v>
      </c>
      <c r="N13" s="91">
        <v>16195.584117324999</v>
      </c>
      <c r="O13" s="91">
        <v>17527.98423808501</v>
      </c>
      <c r="P13" s="91">
        <v>18037.685915654998</v>
      </c>
    </row>
    <row r="14" spans="1:16" s="23" customFormat="1" x14ac:dyDescent="0.25">
      <c r="A14" s="38" t="s">
        <v>264</v>
      </c>
      <c r="B14" s="38" t="s">
        <v>742</v>
      </c>
      <c r="C14" s="91">
        <v>13603.139499999997</v>
      </c>
      <c r="D14" s="91">
        <v>13791.821999999998</v>
      </c>
      <c r="E14" s="91">
        <v>13917.776</v>
      </c>
      <c r="F14" s="91">
        <v>13512.403999999999</v>
      </c>
      <c r="G14" s="91">
        <v>13128.710999999999</v>
      </c>
      <c r="H14" s="91">
        <v>13494.297500000001</v>
      </c>
      <c r="I14" s="91">
        <v>14259.407500000001</v>
      </c>
      <c r="J14" s="91">
        <v>15198.155499999997</v>
      </c>
      <c r="K14" s="91">
        <v>15711.874999999996</v>
      </c>
      <c r="L14" s="91">
        <v>15385.699499999995</v>
      </c>
      <c r="M14" s="91">
        <v>15042.586499999998</v>
      </c>
      <c r="N14" s="91">
        <v>14319.428</v>
      </c>
      <c r="O14" s="91">
        <v>16437.908000000003</v>
      </c>
      <c r="P14" s="91">
        <v>19512.407999999999</v>
      </c>
    </row>
    <row r="15" spans="1:16" s="23" customFormat="1" x14ac:dyDescent="0.25">
      <c r="A15" s="38" t="s">
        <v>265</v>
      </c>
      <c r="B15" s="38" t="s">
        <v>796</v>
      </c>
      <c r="C15" s="91">
        <f t="shared" ref="C15:L15" si="0">SUM(C13:C14)</f>
        <v>25177.034432215438</v>
      </c>
      <c r="D15" s="91">
        <f t="shared" si="0"/>
        <v>25462.611041624998</v>
      </c>
      <c r="E15" s="91">
        <f t="shared" si="0"/>
        <v>25662.024444054892</v>
      </c>
      <c r="F15" s="91">
        <f t="shared" si="0"/>
        <v>25374.870130744901</v>
      </c>
      <c r="G15" s="91">
        <f t="shared" si="0"/>
        <v>25139.060655224992</v>
      </c>
      <c r="H15" s="91">
        <f t="shared" si="0"/>
        <v>25633.274920465003</v>
      </c>
      <c r="I15" s="91">
        <f t="shared" si="0"/>
        <v>26653.999436779999</v>
      </c>
      <c r="J15" s="91">
        <f t="shared" si="0"/>
        <v>27906.023400914997</v>
      </c>
      <c r="K15" s="91">
        <f t="shared" si="0"/>
        <v>28733.771141745015</v>
      </c>
      <c r="L15" s="91">
        <f t="shared" si="0"/>
        <v>28734.772899850006</v>
      </c>
      <c r="M15" s="91">
        <f>SUM(M13:M14)</f>
        <v>29455.150624110007</v>
      </c>
      <c r="N15" s="91">
        <f>SUM(N13:N14)</f>
        <v>30515.012117325001</v>
      </c>
      <c r="O15" s="91">
        <f>SUM(O13:O14)</f>
        <v>33965.892238085013</v>
      </c>
      <c r="P15" s="91">
        <f>SUM(P13:P14)</f>
        <v>37550.093915655001</v>
      </c>
    </row>
    <row r="16" spans="1:16" s="22" customFormat="1" x14ac:dyDescent="0.25">
      <c r="A16" s="52" t="s">
        <v>266</v>
      </c>
      <c r="B16" s="52" t="s">
        <v>797</v>
      </c>
      <c r="C16" s="71">
        <f t="shared" ref="C16:K16" si="1">(C12*4)/C15</f>
        <v>4.2232521127873617E-2</v>
      </c>
      <c r="D16" s="71">
        <f t="shared" si="1"/>
        <v>4.3330011677557789E-2</v>
      </c>
      <c r="E16" s="71">
        <f t="shared" si="1"/>
        <v>4.0550217445015198E-2</v>
      </c>
      <c r="F16" s="71">
        <f t="shared" si="1"/>
        <v>3.474466039421336E-2</v>
      </c>
      <c r="G16" s="71">
        <f t="shared" si="1"/>
        <v>3.6633925124689541E-2</v>
      </c>
      <c r="H16" s="71">
        <f t="shared" si="1"/>
        <v>3.9569748600466595E-2</v>
      </c>
      <c r="I16" s="71">
        <f t="shared" si="1"/>
        <v>3.5295855096519356E-2</v>
      </c>
      <c r="J16" s="71">
        <f t="shared" si="1"/>
        <v>3.434299047870313E-2</v>
      </c>
      <c r="K16" s="71">
        <f t="shared" si="1"/>
        <v>3.2594936291948595E-2</v>
      </c>
      <c r="L16" s="71">
        <f>(L12*4)/L15</f>
        <v>3.2990501364758937E-2</v>
      </c>
      <c r="M16" s="71">
        <f>(M12*4)/M15</f>
        <v>3.5950205725342431E-2</v>
      </c>
      <c r="N16" s="71">
        <f>(N12*4)/N15</f>
        <v>3.4060428602490068E-2</v>
      </c>
      <c r="O16" s="71">
        <f>(O12*4)/O15</f>
        <v>3.0074808524948454E-2</v>
      </c>
      <c r="P16" s="71">
        <f>(P12*4)/P15</f>
        <v>3.0005488354168931E-2</v>
      </c>
    </row>
    <row r="17" spans="1:14" s="22" customFormat="1" x14ac:dyDescent="0.25">
      <c r="A17" s="52"/>
      <c r="B17" s="52"/>
      <c r="C17" s="90"/>
      <c r="D17" s="90"/>
      <c r="E17" s="90"/>
      <c r="F17" s="90"/>
      <c r="G17" s="90"/>
      <c r="H17" s="90"/>
      <c r="I17" s="90"/>
      <c r="J17" s="90"/>
      <c r="K17" s="90"/>
      <c r="L17" s="90"/>
      <c r="M17" s="90"/>
      <c r="N17" s="90"/>
    </row>
    <row r="18" spans="1:14" s="23" customFormat="1" x14ac:dyDescent="0.25">
      <c r="A18" s="27"/>
      <c r="B18" s="27"/>
      <c r="C18" s="91"/>
      <c r="D18" s="91"/>
      <c r="E18" s="91"/>
      <c r="F18" s="91"/>
      <c r="G18" s="91"/>
      <c r="H18" s="91"/>
      <c r="I18" s="91"/>
      <c r="J18" s="91"/>
      <c r="K18" s="91"/>
      <c r="L18" s="91"/>
      <c r="M18" s="91"/>
      <c r="N18" s="91"/>
    </row>
    <row r="19" spans="1:14" s="23" customFormat="1" x14ac:dyDescent="0.25">
      <c r="A19" s="38"/>
      <c r="B19" s="38"/>
      <c r="C19" s="91"/>
      <c r="D19" s="91"/>
      <c r="E19" s="91"/>
      <c r="F19" s="91"/>
      <c r="G19" s="91"/>
      <c r="H19" s="91"/>
      <c r="I19" s="91"/>
      <c r="J19" s="91"/>
      <c r="K19" s="91"/>
      <c r="L19" s="91"/>
      <c r="M19" s="91"/>
      <c r="N19" s="91"/>
    </row>
    <row r="20" spans="1:14" s="23" customFormat="1" x14ac:dyDescent="0.25">
      <c r="A20" s="38"/>
      <c r="B20" s="38"/>
      <c r="C20" s="91"/>
      <c r="D20" s="91"/>
      <c r="E20" s="91"/>
      <c r="F20" s="91"/>
      <c r="G20" s="91"/>
      <c r="H20" s="91"/>
      <c r="I20" s="91"/>
      <c r="J20" s="91"/>
      <c r="K20" s="91"/>
      <c r="L20" s="91"/>
      <c r="M20" s="91"/>
      <c r="N20" s="91"/>
    </row>
    <row r="21" spans="1:14" s="23" customFormat="1" x14ac:dyDescent="0.25">
      <c r="A21" s="38"/>
      <c r="B21" s="38"/>
      <c r="C21" s="91"/>
      <c r="D21" s="91"/>
      <c r="E21" s="91"/>
      <c r="F21" s="91"/>
      <c r="G21" s="91"/>
      <c r="H21" s="91"/>
      <c r="I21" s="91"/>
      <c r="J21" s="91"/>
      <c r="K21" s="91"/>
      <c r="L21" s="91"/>
      <c r="M21" s="91"/>
      <c r="N21" s="91"/>
    </row>
    <row r="22" spans="1:14" s="23" customFormat="1" x14ac:dyDescent="0.25">
      <c r="A22" s="27"/>
      <c r="B22" s="27"/>
      <c r="C22" s="91"/>
      <c r="D22" s="91"/>
      <c r="E22" s="91"/>
      <c r="F22" s="91"/>
      <c r="G22" s="91"/>
      <c r="H22" s="91"/>
      <c r="I22" s="91"/>
      <c r="J22" s="91"/>
      <c r="K22" s="91"/>
      <c r="L22" s="92"/>
      <c r="M22" s="92"/>
      <c r="N22" s="92"/>
    </row>
    <row r="23" spans="1:14" x14ac:dyDescent="0.25">
      <c r="K23" s="16"/>
      <c r="L23" s="16"/>
      <c r="M23" s="16"/>
      <c r="N23" s="16"/>
    </row>
    <row r="24" spans="1:14" x14ac:dyDescent="0.25">
      <c r="K24" s="16"/>
      <c r="L24" s="16"/>
      <c r="M24" s="16"/>
      <c r="N24" s="16"/>
    </row>
    <row r="25" spans="1:14" x14ac:dyDescent="0.25">
      <c r="A25" s="267"/>
      <c r="B25" s="214"/>
      <c r="K25" s="16"/>
      <c r="L25" s="16"/>
      <c r="M25" s="16"/>
      <c r="N25" s="16"/>
    </row>
    <row r="26" spans="1:14" ht="19.5" customHeight="1" x14ac:dyDescent="0.25">
      <c r="A26" s="267"/>
      <c r="B26" s="214"/>
      <c r="K26" s="16"/>
      <c r="L26" s="16"/>
      <c r="M26" s="16"/>
      <c r="N26" s="16"/>
    </row>
    <row r="27" spans="1:14" x14ac:dyDescent="0.25">
      <c r="A27" s="267"/>
      <c r="B27" s="214"/>
      <c r="K27" s="16"/>
      <c r="L27" s="16"/>
      <c r="M27" s="16"/>
      <c r="N27" s="16"/>
    </row>
    <row r="28" spans="1:14" x14ac:dyDescent="0.25">
      <c r="A28" s="267"/>
      <c r="B28" s="214"/>
      <c r="K28" s="9"/>
      <c r="L28" s="9"/>
      <c r="M28" s="9"/>
      <c r="N28" s="9"/>
    </row>
    <row r="29" spans="1:14" x14ac:dyDescent="0.25">
      <c r="A29" s="267"/>
      <c r="B29" s="214"/>
      <c r="K29" s="9"/>
      <c r="L29" s="9"/>
      <c r="M29" s="9"/>
      <c r="N29" s="9"/>
    </row>
    <row r="30" spans="1:14" x14ac:dyDescent="0.25">
      <c r="A30" s="267"/>
      <c r="B30" s="214"/>
      <c r="K30" s="9"/>
      <c r="L30" s="9"/>
      <c r="M30" s="9"/>
      <c r="N30" s="9"/>
    </row>
    <row r="31" spans="1:14" x14ac:dyDescent="0.25">
      <c r="A31" s="267"/>
      <c r="B31" s="214"/>
      <c r="K31" s="9"/>
      <c r="L31" s="9"/>
      <c r="M31" s="9"/>
      <c r="N31" s="9"/>
    </row>
    <row r="32" spans="1:14" x14ac:dyDescent="0.25">
      <c r="K32" s="9"/>
      <c r="L32" s="9"/>
      <c r="M32" s="9"/>
      <c r="N32" s="9"/>
    </row>
    <row r="33" spans="1:14" x14ac:dyDescent="0.25">
      <c r="K33" s="9"/>
      <c r="L33" s="9"/>
      <c r="M33" s="9"/>
      <c r="N33" s="9"/>
    </row>
    <row r="34" spans="1:14" x14ac:dyDescent="0.25">
      <c r="K34" s="9"/>
      <c r="L34" s="9"/>
      <c r="M34" s="9"/>
      <c r="N34" s="9"/>
    </row>
    <row r="35" spans="1:14" x14ac:dyDescent="0.25">
      <c r="K35" s="9"/>
      <c r="L35" s="9"/>
      <c r="M35" s="9"/>
      <c r="N35" s="9"/>
    </row>
    <row r="36" spans="1:14" x14ac:dyDescent="0.25">
      <c r="K36" s="9"/>
      <c r="L36" s="9"/>
      <c r="M36" s="9"/>
      <c r="N36" s="9"/>
    </row>
    <row r="37" spans="1:14" x14ac:dyDescent="0.25">
      <c r="K37" s="9"/>
      <c r="L37" s="9"/>
      <c r="M37" s="9"/>
      <c r="N37" s="9"/>
    </row>
    <row r="38" spans="1:14" x14ac:dyDescent="0.25">
      <c r="A38" s="1"/>
      <c r="B38" s="1"/>
      <c r="K38" s="9"/>
      <c r="L38" s="9"/>
      <c r="M38" s="9"/>
      <c r="N38" s="9"/>
    </row>
    <row r="39" spans="1:14" x14ac:dyDescent="0.25">
      <c r="A39" s="1"/>
      <c r="B39" s="1"/>
      <c r="K39" s="11"/>
      <c r="L39" s="11"/>
      <c r="M39" s="11"/>
      <c r="N39" s="11"/>
    </row>
    <row r="40" spans="1:14" x14ac:dyDescent="0.25">
      <c r="K40" s="9"/>
      <c r="L40" s="9"/>
      <c r="M40" s="9"/>
      <c r="N40" s="9"/>
    </row>
    <row r="41" spans="1:14" x14ac:dyDescent="0.25">
      <c r="K41" s="9"/>
      <c r="L41" s="9"/>
      <c r="M41" s="9"/>
      <c r="N41" s="9"/>
    </row>
    <row r="42" spans="1:14" x14ac:dyDescent="0.25">
      <c r="K42" s="9"/>
      <c r="L42" s="9"/>
      <c r="M42" s="9"/>
      <c r="N42" s="9"/>
    </row>
    <row r="43" spans="1:14" x14ac:dyDescent="0.25">
      <c r="A43" s="1"/>
      <c r="B43" s="1"/>
      <c r="K43" s="9"/>
      <c r="L43" s="9"/>
      <c r="M43" s="9"/>
      <c r="N43" s="9"/>
    </row>
    <row r="44" spans="1:14" x14ac:dyDescent="0.25">
      <c r="K44" s="11"/>
      <c r="L44" s="11"/>
      <c r="M44" s="11"/>
      <c r="N44" s="11"/>
    </row>
    <row r="45" spans="1:14" x14ac:dyDescent="0.25">
      <c r="K45" s="11"/>
      <c r="L45" s="11"/>
      <c r="M45" s="11"/>
      <c r="N45" s="11"/>
    </row>
    <row r="46" spans="1:14" x14ac:dyDescent="0.25">
      <c r="K46" s="11"/>
      <c r="L46" s="11"/>
      <c r="M46" s="11"/>
      <c r="N46" s="11"/>
    </row>
    <row r="47" spans="1:14" x14ac:dyDescent="0.25">
      <c r="A47" s="1"/>
      <c r="B47" s="1"/>
      <c r="K47" s="9"/>
      <c r="L47" s="9"/>
      <c r="M47" s="9"/>
      <c r="N47" s="9"/>
    </row>
    <row r="48" spans="1:14" x14ac:dyDescent="0.25">
      <c r="K48" s="9"/>
      <c r="L48" s="9"/>
      <c r="M48" s="9"/>
      <c r="N48" s="9"/>
    </row>
    <row r="49" spans="1:14" x14ac:dyDescent="0.25">
      <c r="K49" s="9"/>
      <c r="L49" s="9"/>
      <c r="M49" s="9"/>
      <c r="N49" s="9"/>
    </row>
    <row r="50" spans="1:14" x14ac:dyDescent="0.25">
      <c r="K50" s="9"/>
      <c r="L50" s="9"/>
      <c r="M50" s="9"/>
      <c r="N50" s="9"/>
    </row>
    <row r="51" spans="1:14" x14ac:dyDescent="0.25">
      <c r="K51" s="11"/>
      <c r="L51" s="11"/>
      <c r="M51" s="11"/>
      <c r="N51" s="11"/>
    </row>
    <row r="52" spans="1:14" x14ac:dyDescent="0.25">
      <c r="A52" s="1"/>
      <c r="B52" s="1"/>
      <c r="K52" s="11"/>
      <c r="L52" s="11"/>
      <c r="M52" s="11"/>
      <c r="N52" s="11"/>
    </row>
    <row r="53" spans="1:14" x14ac:dyDescent="0.25">
      <c r="K53" s="9"/>
      <c r="L53" s="9"/>
      <c r="M53" s="9"/>
      <c r="N53" s="9"/>
    </row>
    <row r="54" spans="1:14" x14ac:dyDescent="0.25">
      <c r="K54" s="9"/>
      <c r="L54" s="9"/>
      <c r="M54" s="9"/>
      <c r="N54" s="9"/>
    </row>
    <row r="55" spans="1:14" x14ac:dyDescent="0.25">
      <c r="K55" s="9"/>
      <c r="L55" s="9"/>
      <c r="M55" s="9"/>
      <c r="N55" s="9"/>
    </row>
    <row r="56" spans="1:14" x14ac:dyDescent="0.25">
      <c r="K56" s="9"/>
      <c r="L56" s="9"/>
      <c r="M56" s="9"/>
      <c r="N56" s="9"/>
    </row>
    <row r="57" spans="1:14" x14ac:dyDescent="0.25">
      <c r="K57" s="9"/>
      <c r="L57" s="9"/>
      <c r="M57" s="9"/>
      <c r="N57" s="9"/>
    </row>
    <row r="58" spans="1:14" x14ac:dyDescent="0.25">
      <c r="K58" s="11"/>
      <c r="L58" s="11"/>
      <c r="M58" s="11"/>
      <c r="N58" s="11"/>
    </row>
    <row r="59" spans="1:14" x14ac:dyDescent="0.25">
      <c r="K59" s="11"/>
      <c r="L59" s="11"/>
      <c r="M59" s="11"/>
      <c r="N59" s="11"/>
    </row>
    <row r="60" spans="1:14" x14ac:dyDescent="0.25">
      <c r="A60" s="1"/>
      <c r="B60" s="1"/>
      <c r="K60" s="9"/>
      <c r="L60" s="9"/>
      <c r="M60" s="9"/>
      <c r="N60" s="9"/>
    </row>
    <row r="61" spans="1:14" x14ac:dyDescent="0.25">
      <c r="K61" s="9"/>
      <c r="L61" s="9"/>
      <c r="M61" s="9"/>
      <c r="N61" s="9"/>
    </row>
    <row r="62" spans="1:14" x14ac:dyDescent="0.25">
      <c r="K62" s="9"/>
      <c r="L62" s="9"/>
      <c r="M62" s="9"/>
      <c r="N62" s="9"/>
    </row>
    <row r="63" spans="1:14" x14ac:dyDescent="0.25">
      <c r="K63" s="9"/>
      <c r="L63" s="9"/>
      <c r="M63" s="9"/>
      <c r="N63" s="9"/>
    </row>
    <row r="64" spans="1:14" x14ac:dyDescent="0.25">
      <c r="K64" s="9"/>
      <c r="L64" s="9"/>
      <c r="M64" s="9"/>
      <c r="N64" s="9"/>
    </row>
    <row r="65" spans="1:14" x14ac:dyDescent="0.25">
      <c r="K65" s="9"/>
      <c r="L65" s="9"/>
      <c r="M65" s="9"/>
      <c r="N65" s="9"/>
    </row>
    <row r="66" spans="1:14" x14ac:dyDescent="0.25">
      <c r="K66" s="9"/>
      <c r="L66" s="9"/>
      <c r="M66" s="9"/>
      <c r="N66" s="9"/>
    </row>
    <row r="67" spans="1:14" x14ac:dyDescent="0.25">
      <c r="A67" s="1"/>
      <c r="B67" s="1"/>
      <c r="K67" s="9"/>
      <c r="L67" s="9"/>
      <c r="M67" s="9"/>
      <c r="N67" s="9"/>
    </row>
    <row r="68" spans="1:14" x14ac:dyDescent="0.25">
      <c r="K68" s="11"/>
      <c r="L68" s="11"/>
      <c r="M68" s="11"/>
      <c r="N68" s="11"/>
    </row>
    <row r="69" spans="1:14" x14ac:dyDescent="0.25">
      <c r="K69" s="11"/>
      <c r="L69" s="11"/>
      <c r="M69" s="11"/>
      <c r="N69" s="11"/>
    </row>
    <row r="70" spans="1:14" x14ac:dyDescent="0.25">
      <c r="K70" s="11"/>
      <c r="L70" s="11"/>
      <c r="M70" s="11"/>
      <c r="N70" s="11"/>
    </row>
    <row r="74" spans="1:14" x14ac:dyDescent="0.25">
      <c r="A74" s="1"/>
      <c r="B74" s="1"/>
    </row>
    <row r="84" s="1" customFormat="1" x14ac:dyDescent="0.25"/>
  </sheetData>
  <mergeCells count="1">
    <mergeCell ref="A25:A31"/>
  </mergeCells>
  <hyperlinks>
    <hyperlink ref="P6" location="'Índice - Index'!A1" display="Index" xr:uid="{008804BD-B4FA-4A63-A592-5D5DC9A15DDB}"/>
    <hyperlink ref="C6" location="'Índice - Index'!A1" display="Index" xr:uid="{4CAA685F-F7B6-4FFE-B751-36BC7A59188A}"/>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C15:J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theme="3" tint="0.39997558519241921"/>
    <outlinePr showOutlineSymbols="0"/>
    <pageSetUpPr autoPageBreaks="0"/>
  </sheetPr>
  <dimension ref="B2:BQ58"/>
  <sheetViews>
    <sheetView showGridLines="0" showOutlineSymbols="0" zoomScale="80" zoomScaleNormal="80" workbookViewId="0">
      <pane xSplit="5" ySplit="9" topLeftCell="BK10" activePane="bottomRight" state="frozen"/>
      <selection activeCell="D1" sqref="D1"/>
      <selection pane="topRight" activeCell="D1" sqref="D1"/>
      <selection pane="bottomLeft" activeCell="D1" sqref="D1"/>
      <selection pane="bottomRight" activeCell="BO9" sqref="BO9"/>
    </sheetView>
  </sheetViews>
  <sheetFormatPr defaultColWidth="12.7109375" defaultRowHeight="15" outlineLevelCol="1" x14ac:dyDescent="0.25"/>
  <cols>
    <col min="1" max="1" width="2.7109375" customWidth="1"/>
    <col min="2" max="2" width="1.7109375" customWidth="1" outlineLevel="1"/>
    <col min="3" max="3" width="48.85546875" customWidth="1" outlineLevel="1"/>
    <col min="4" max="4" width="1.7109375" customWidth="1"/>
    <col min="5" max="5" width="45.5703125" customWidth="1" outlineLevel="1"/>
    <col min="6" max="55" width="12" customWidth="1"/>
    <col min="58" max="62" width="12.28515625" bestFit="1" customWidth="1"/>
    <col min="64" max="67" width="13.85546875" bestFit="1" customWidth="1"/>
    <col min="69" max="69" width="13.140625" bestFit="1" customWidth="1"/>
  </cols>
  <sheetData>
    <row r="2" spans="2:69" x14ac:dyDescent="0.25">
      <c r="B2" t="s">
        <v>429</v>
      </c>
    </row>
    <row r="3" spans="2:69" ht="21" x14ac:dyDescent="0.35">
      <c r="C3" s="4"/>
      <c r="D3" s="4"/>
      <c r="E3" s="4"/>
    </row>
    <row r="4" spans="2:69" ht="15" customHeight="1" x14ac:dyDescent="0.25">
      <c r="C4" s="3"/>
      <c r="D4" s="3"/>
      <c r="E4" s="3"/>
    </row>
    <row r="5" spans="2:69" x14ac:dyDescent="0.25">
      <c r="C5" s="2"/>
      <c r="D5" s="2"/>
      <c r="E5" s="2"/>
    </row>
    <row r="6" spans="2:69" x14ac:dyDescent="0.25">
      <c r="F6" s="236" t="s">
        <v>486</v>
      </c>
      <c r="AT6" s="6"/>
      <c r="AU6" s="6"/>
      <c r="BB6" s="6"/>
      <c r="BO6" s="236" t="s">
        <v>486</v>
      </c>
    </row>
    <row r="7" spans="2:69" ht="17.25" customHeight="1" x14ac:dyDescent="0.3">
      <c r="B7" s="40" t="s">
        <v>4</v>
      </c>
      <c r="C7" s="40"/>
      <c r="D7" s="40"/>
      <c r="E7" s="40" t="s">
        <v>487</v>
      </c>
    </row>
    <row r="8" spans="2:69" ht="17.25" customHeight="1" x14ac:dyDescent="0.25">
      <c r="B8" s="215" t="s">
        <v>434</v>
      </c>
      <c r="C8" s="216"/>
      <c r="D8" s="216"/>
      <c r="E8" s="215" t="s">
        <v>435</v>
      </c>
      <c r="F8" s="146" t="s">
        <v>17</v>
      </c>
      <c r="G8" s="146" t="s">
        <v>18</v>
      </c>
      <c r="H8" s="146" t="s">
        <v>488</v>
      </c>
      <c r="I8" s="146" t="s">
        <v>489</v>
      </c>
      <c r="J8" s="146" t="s">
        <v>21</v>
      </c>
      <c r="K8" s="146" t="s">
        <v>22</v>
      </c>
      <c r="L8" s="146" t="s">
        <v>490</v>
      </c>
      <c r="M8" s="146" t="s">
        <v>491</v>
      </c>
      <c r="N8" s="146" t="s">
        <v>25</v>
      </c>
      <c r="O8" s="146" t="s">
        <v>26</v>
      </c>
      <c r="P8" s="146" t="s">
        <v>492</v>
      </c>
      <c r="Q8" s="146" t="s">
        <v>493</v>
      </c>
      <c r="R8" s="146" t="s">
        <v>29</v>
      </c>
      <c r="S8" s="146" t="s">
        <v>30</v>
      </c>
      <c r="T8" s="146" t="s">
        <v>494</v>
      </c>
      <c r="U8" s="146" t="s">
        <v>495</v>
      </c>
      <c r="V8" s="146" t="s">
        <v>33</v>
      </c>
      <c r="W8" s="146" t="s">
        <v>34</v>
      </c>
      <c r="X8" s="146" t="s">
        <v>496</v>
      </c>
      <c r="Y8" s="146" t="s">
        <v>497</v>
      </c>
      <c r="Z8" s="146" t="s">
        <v>37</v>
      </c>
      <c r="AA8" s="146" t="s">
        <v>38</v>
      </c>
      <c r="AB8" s="146" t="s">
        <v>498</v>
      </c>
      <c r="AC8" s="146" t="s">
        <v>499</v>
      </c>
      <c r="AD8" s="146" t="s">
        <v>41</v>
      </c>
      <c r="AE8" s="146" t="s">
        <v>42</v>
      </c>
      <c r="AF8" s="146" t="s">
        <v>500</v>
      </c>
      <c r="AG8" s="146" t="s">
        <v>501</v>
      </c>
      <c r="AH8" s="146" t="s">
        <v>45</v>
      </c>
      <c r="AI8" s="146" t="s">
        <v>46</v>
      </c>
      <c r="AJ8" s="146" t="s">
        <v>502</v>
      </c>
      <c r="AK8" s="146" t="s">
        <v>503</v>
      </c>
      <c r="AL8" s="146" t="s">
        <v>49</v>
      </c>
      <c r="AM8" s="146" t="s">
        <v>50</v>
      </c>
      <c r="AN8" s="146" t="s">
        <v>504</v>
      </c>
      <c r="AO8" s="146" t="s">
        <v>505</v>
      </c>
      <c r="AP8" s="146" t="s">
        <v>53</v>
      </c>
      <c r="AQ8" s="155" t="s">
        <v>165</v>
      </c>
      <c r="AR8" s="155" t="s">
        <v>506</v>
      </c>
      <c r="AS8" s="155" t="s">
        <v>507</v>
      </c>
      <c r="AT8" s="155" t="s">
        <v>173</v>
      </c>
      <c r="AU8" s="155" t="s">
        <v>176</v>
      </c>
      <c r="AV8" s="156" t="s">
        <v>508</v>
      </c>
      <c r="AW8" s="156" t="s">
        <v>509</v>
      </c>
      <c r="AX8" s="156" t="s">
        <v>182</v>
      </c>
      <c r="AY8" s="155" t="s">
        <v>185</v>
      </c>
      <c r="AZ8" s="155" t="s">
        <v>242</v>
      </c>
      <c r="BA8" s="155" t="s">
        <v>510</v>
      </c>
      <c r="BB8" s="155" t="s">
        <v>290</v>
      </c>
      <c r="BC8" s="155" t="s">
        <v>292</v>
      </c>
      <c r="BD8" s="155" t="s">
        <v>511</v>
      </c>
      <c r="BE8" s="155" t="s">
        <v>512</v>
      </c>
      <c r="BF8" s="155" t="s">
        <v>322</v>
      </c>
      <c r="BG8" s="155" t="s">
        <v>329</v>
      </c>
      <c r="BH8" s="155" t="s">
        <v>513</v>
      </c>
      <c r="BI8" s="155" t="s">
        <v>514</v>
      </c>
      <c r="BJ8" s="155" t="s">
        <v>430</v>
      </c>
      <c r="BK8" s="155" t="s">
        <v>827</v>
      </c>
      <c r="BL8" s="155" t="s">
        <v>845</v>
      </c>
      <c r="BM8" s="155" t="s">
        <v>851</v>
      </c>
      <c r="BN8" s="155" t="s">
        <v>855</v>
      </c>
      <c r="BO8" s="155" t="s">
        <v>862</v>
      </c>
    </row>
    <row r="9" spans="2:69" s="3" customFormat="1" x14ac:dyDescent="0.25">
      <c r="B9" s="154" t="s">
        <v>338</v>
      </c>
      <c r="C9" s="146"/>
      <c r="D9" s="146"/>
      <c r="E9" s="154" t="s">
        <v>433</v>
      </c>
      <c r="F9" s="146" t="s">
        <v>17</v>
      </c>
      <c r="G9" s="146" t="s">
        <v>18</v>
      </c>
      <c r="H9" s="146" t="s">
        <v>19</v>
      </c>
      <c r="I9" s="146" t="s">
        <v>20</v>
      </c>
      <c r="J9" s="146" t="s">
        <v>21</v>
      </c>
      <c r="K9" s="146" t="s">
        <v>22</v>
      </c>
      <c r="L9" s="146" t="s">
        <v>23</v>
      </c>
      <c r="M9" s="146" t="s">
        <v>24</v>
      </c>
      <c r="N9" s="146" t="s">
        <v>25</v>
      </c>
      <c r="O9" s="146" t="s">
        <v>26</v>
      </c>
      <c r="P9" s="146" t="s">
        <v>27</v>
      </c>
      <c r="Q9" s="146" t="s">
        <v>28</v>
      </c>
      <c r="R9" s="146" t="s">
        <v>29</v>
      </c>
      <c r="S9" s="146" t="s">
        <v>30</v>
      </c>
      <c r="T9" s="146" t="s">
        <v>31</v>
      </c>
      <c r="U9" s="146" t="s">
        <v>32</v>
      </c>
      <c r="V9" s="146" t="s">
        <v>33</v>
      </c>
      <c r="W9" s="146" t="s">
        <v>34</v>
      </c>
      <c r="X9" s="146" t="s">
        <v>35</v>
      </c>
      <c r="Y9" s="146" t="s">
        <v>36</v>
      </c>
      <c r="Z9" s="146" t="s">
        <v>37</v>
      </c>
      <c r="AA9" s="146" t="s">
        <v>38</v>
      </c>
      <c r="AB9" s="146" t="s">
        <v>39</v>
      </c>
      <c r="AC9" s="146" t="s">
        <v>40</v>
      </c>
      <c r="AD9" s="146" t="s">
        <v>41</v>
      </c>
      <c r="AE9" s="146" t="s">
        <v>42</v>
      </c>
      <c r="AF9" s="146" t="s">
        <v>43</v>
      </c>
      <c r="AG9" s="146" t="s">
        <v>44</v>
      </c>
      <c r="AH9" s="146" t="s">
        <v>45</v>
      </c>
      <c r="AI9" s="146" t="s">
        <v>46</v>
      </c>
      <c r="AJ9" s="146" t="s">
        <v>47</v>
      </c>
      <c r="AK9" s="146" t="s">
        <v>48</v>
      </c>
      <c r="AL9" s="146" t="s">
        <v>49</v>
      </c>
      <c r="AM9" s="146" t="s">
        <v>50</v>
      </c>
      <c r="AN9" s="146" t="s">
        <v>51</v>
      </c>
      <c r="AO9" s="146" t="s">
        <v>52</v>
      </c>
      <c r="AP9" s="146" t="s">
        <v>53</v>
      </c>
      <c r="AQ9" s="155" t="s">
        <v>165</v>
      </c>
      <c r="AR9" s="155" t="s">
        <v>169</v>
      </c>
      <c r="AS9" s="155" t="s">
        <v>171</v>
      </c>
      <c r="AT9" s="155" t="s">
        <v>173</v>
      </c>
      <c r="AU9" s="155" t="s">
        <v>176</v>
      </c>
      <c r="AV9" s="156" t="s">
        <v>178</v>
      </c>
      <c r="AW9" s="156" t="s">
        <v>180</v>
      </c>
      <c r="AX9" s="156" t="s">
        <v>182</v>
      </c>
      <c r="AY9" s="155" t="s">
        <v>185</v>
      </c>
      <c r="AZ9" s="155" t="s">
        <v>198</v>
      </c>
      <c r="BA9" s="155" t="s">
        <v>285</v>
      </c>
      <c r="BB9" s="155" t="s">
        <v>290</v>
      </c>
      <c r="BC9" s="155" t="s">
        <v>292</v>
      </c>
      <c r="BD9" s="155" t="s">
        <v>306</v>
      </c>
      <c r="BE9" s="155" t="s">
        <v>309</v>
      </c>
      <c r="BF9" s="155" t="s">
        <v>322</v>
      </c>
      <c r="BG9" s="155" t="s">
        <v>329</v>
      </c>
      <c r="BH9" s="155" t="s">
        <v>331</v>
      </c>
      <c r="BI9" s="155" t="s">
        <v>335</v>
      </c>
      <c r="BJ9" s="155" t="s">
        <v>430</v>
      </c>
      <c r="BK9" s="155" t="s">
        <v>827</v>
      </c>
      <c r="BL9" s="155" t="s">
        <v>846</v>
      </c>
      <c r="BM9" s="155" t="s">
        <v>853</v>
      </c>
      <c r="BN9" s="156">
        <v>44986</v>
      </c>
      <c r="BO9" s="156" t="s">
        <v>862</v>
      </c>
    </row>
    <row r="10" spans="2:69" s="3" customFormat="1" ht="15" customHeight="1" x14ac:dyDescent="0.25">
      <c r="B10" s="15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52"/>
      <c r="AR10" s="152"/>
      <c r="AS10" s="152"/>
      <c r="AT10" s="152"/>
      <c r="AU10" s="152"/>
      <c r="AV10" s="153"/>
      <c r="AW10" s="153"/>
      <c r="AX10" s="153"/>
      <c r="AY10" s="152"/>
      <c r="AZ10" s="152"/>
      <c r="BA10" s="152"/>
      <c r="BB10" s="152"/>
      <c r="BC10" s="152"/>
      <c r="BD10" s="152"/>
      <c r="BE10" s="152"/>
      <c r="BF10" s="152"/>
      <c r="BG10" s="152"/>
      <c r="BH10" s="152"/>
      <c r="BI10" s="152"/>
      <c r="BJ10" s="152"/>
      <c r="BK10" s="152"/>
      <c r="BL10" s="152"/>
      <c r="BM10" s="152"/>
      <c r="BN10" s="152"/>
      <c r="BO10" s="152"/>
    </row>
    <row r="11" spans="2:69" s="3" customFormat="1" ht="15" customHeight="1" x14ac:dyDescent="0.25">
      <c r="B11" s="160" t="s">
        <v>362</v>
      </c>
      <c r="C11" s="161"/>
      <c r="D11" s="161"/>
      <c r="E11" s="160" t="s">
        <v>478</v>
      </c>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2"/>
      <c r="AR11" s="162"/>
      <c r="AS11" s="162"/>
      <c r="AT11" s="162"/>
      <c r="AU11" s="162"/>
      <c r="AV11" s="163"/>
      <c r="AW11" s="163"/>
      <c r="AX11" s="163"/>
      <c r="AY11" s="162"/>
      <c r="AZ11" s="162"/>
      <c r="BA11" s="162"/>
      <c r="BB11" s="162"/>
      <c r="BC11" s="162"/>
      <c r="BD11" s="162"/>
      <c r="BE11" s="162"/>
      <c r="BF11" s="162"/>
      <c r="BG11" s="162"/>
      <c r="BH11" s="162"/>
      <c r="BI11" s="162"/>
      <c r="BJ11" s="162"/>
      <c r="BK11" s="162"/>
      <c r="BL11" s="162"/>
      <c r="BM11" s="162"/>
      <c r="BN11" s="162"/>
      <c r="BO11" s="162"/>
    </row>
    <row r="12" spans="2:69" s="3" customFormat="1" ht="15" customHeight="1" x14ac:dyDescent="0.25">
      <c r="B12" s="151"/>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152"/>
      <c r="AR12" s="152"/>
      <c r="AS12" s="152"/>
      <c r="AT12" s="152"/>
      <c r="AU12" s="152"/>
      <c r="AV12" s="153"/>
      <c r="AW12" s="153"/>
      <c r="AX12" s="153"/>
      <c r="AY12" s="152"/>
      <c r="AZ12" s="152"/>
      <c r="BA12" s="152"/>
      <c r="BB12" s="152"/>
      <c r="BC12" s="152"/>
      <c r="BD12" s="152"/>
      <c r="BE12" s="152"/>
      <c r="BF12" s="152"/>
      <c r="BG12" s="152"/>
      <c r="BH12" s="152"/>
      <c r="BI12" s="152"/>
      <c r="BJ12" s="152"/>
      <c r="BK12" s="152"/>
      <c r="BL12" s="152"/>
      <c r="BM12" s="152"/>
      <c r="BN12" s="152"/>
      <c r="BO12" s="152"/>
    </row>
    <row r="13" spans="2:69" ht="15.75" x14ac:dyDescent="0.25">
      <c r="B13" s="185" t="s">
        <v>71</v>
      </c>
      <c r="C13" s="74"/>
      <c r="D13" s="74"/>
      <c r="E13" s="185" t="s">
        <v>515</v>
      </c>
    </row>
    <row r="14" spans="2:69" ht="5.0999999999999996" customHeight="1" x14ac:dyDescent="0.25">
      <c r="B14" s="74"/>
      <c r="C14" s="74"/>
      <c r="D14" s="74"/>
      <c r="E14" s="74"/>
    </row>
    <row r="15" spans="2:69" s="1" customFormat="1" x14ac:dyDescent="0.25">
      <c r="B15" s="178" t="s">
        <v>54</v>
      </c>
      <c r="C15" s="179"/>
      <c r="D15" s="179"/>
      <c r="E15" s="178" t="s">
        <v>516</v>
      </c>
      <c r="F15" s="180">
        <f>SUM(F16:F22)</f>
        <v>5872.4169999999995</v>
      </c>
      <c r="G15" s="180">
        <f t="shared" ref="G15:BO15" si="0">SUM(G16:G22)</f>
        <v>6298.5630000000001</v>
      </c>
      <c r="H15" s="180">
        <f t="shared" si="0"/>
        <v>7672.6740000000009</v>
      </c>
      <c r="I15" s="180">
        <f t="shared" si="0"/>
        <v>7483.1540000000005</v>
      </c>
      <c r="J15" s="180">
        <f t="shared" si="0"/>
        <v>6875.0719999999992</v>
      </c>
      <c r="K15" s="180">
        <f t="shared" si="0"/>
        <v>6602.3869999999997</v>
      </c>
      <c r="L15" s="180">
        <f t="shared" si="0"/>
        <v>7449.3310000000001</v>
      </c>
      <c r="M15" s="180">
        <f t="shared" si="0"/>
        <v>7359.094000000001</v>
      </c>
      <c r="N15" s="180">
        <f t="shared" si="0"/>
        <v>8138.4439999999995</v>
      </c>
      <c r="O15" s="180">
        <f t="shared" si="0"/>
        <v>9681.9060000000009</v>
      </c>
      <c r="P15" s="180">
        <f t="shared" si="0"/>
        <v>9820.3469999999998</v>
      </c>
      <c r="Q15" s="180">
        <f t="shared" si="0"/>
        <v>9798.1579999999994</v>
      </c>
      <c r="R15" s="180">
        <f t="shared" si="0"/>
        <v>9786.5470000000005</v>
      </c>
      <c r="S15" s="180">
        <f t="shared" si="0"/>
        <v>10232.526</v>
      </c>
      <c r="T15" s="180">
        <f t="shared" si="0"/>
        <v>11623.798000000001</v>
      </c>
      <c r="U15" s="180">
        <f t="shared" si="0"/>
        <v>10490.237999999999</v>
      </c>
      <c r="V15" s="180">
        <f t="shared" si="0"/>
        <v>11607.956</v>
      </c>
      <c r="W15" s="180">
        <f t="shared" si="0"/>
        <v>12889.005000000001</v>
      </c>
      <c r="X15" s="180">
        <f t="shared" si="0"/>
        <v>13132.220000000001</v>
      </c>
      <c r="Y15" s="180">
        <f t="shared" si="0"/>
        <v>13460.687</v>
      </c>
      <c r="Z15" s="180">
        <f t="shared" si="0"/>
        <v>13951.517</v>
      </c>
      <c r="AA15" s="180">
        <f t="shared" si="0"/>
        <v>16360.382000000001</v>
      </c>
      <c r="AB15" s="180">
        <f t="shared" si="0"/>
        <v>17173.13</v>
      </c>
      <c r="AC15" s="180">
        <f t="shared" si="0"/>
        <v>17238.066999999999</v>
      </c>
      <c r="AD15" s="180">
        <f t="shared" si="0"/>
        <v>18371.227999999999</v>
      </c>
      <c r="AE15" s="180">
        <f t="shared" si="0"/>
        <v>18206.348000000002</v>
      </c>
      <c r="AF15" s="180">
        <f t="shared" si="0"/>
        <v>19188.027999999998</v>
      </c>
      <c r="AG15" s="180">
        <f t="shared" si="0"/>
        <v>20709.554</v>
      </c>
      <c r="AH15" s="180">
        <f t="shared" si="0"/>
        <v>23072.236000000001</v>
      </c>
      <c r="AI15" s="180">
        <f t="shared" si="0"/>
        <v>23029.663</v>
      </c>
      <c r="AJ15" s="180">
        <f t="shared" si="0"/>
        <v>26442.805</v>
      </c>
      <c r="AK15" s="180">
        <f t="shared" si="0"/>
        <v>24167.540999999997</v>
      </c>
      <c r="AL15" s="180">
        <f t="shared" si="0"/>
        <v>23399.692000000003</v>
      </c>
      <c r="AM15" s="180">
        <f t="shared" si="0"/>
        <v>22675.519</v>
      </c>
      <c r="AN15" s="180">
        <f t="shared" si="0"/>
        <v>23497.704999999998</v>
      </c>
      <c r="AO15" s="180">
        <f t="shared" si="0"/>
        <v>25630.509999999995</v>
      </c>
      <c r="AP15" s="180">
        <f t="shared" si="0"/>
        <v>26145.608</v>
      </c>
      <c r="AQ15" s="180">
        <f t="shared" si="0"/>
        <v>26503.21</v>
      </c>
      <c r="AR15" s="180">
        <f t="shared" si="0"/>
        <v>26941.056999999997</v>
      </c>
      <c r="AS15" s="180">
        <f t="shared" si="0"/>
        <v>28718.596000000001</v>
      </c>
      <c r="AT15" s="180">
        <f t="shared" si="0"/>
        <v>28314.684999999998</v>
      </c>
      <c r="AU15" s="180">
        <f t="shared" si="0"/>
        <v>30874.996000000003</v>
      </c>
      <c r="AV15" s="180">
        <f t="shared" si="0"/>
        <v>31281.074999999997</v>
      </c>
      <c r="AW15" s="180">
        <f t="shared" si="0"/>
        <v>32678.842000000001</v>
      </c>
      <c r="AX15" s="180">
        <f t="shared" si="0"/>
        <v>34352.662599999996</v>
      </c>
      <c r="AY15" s="180">
        <f t="shared" si="0"/>
        <v>35351.18413686</v>
      </c>
      <c r="AZ15" s="180">
        <f t="shared" si="0"/>
        <v>37013.34000638</v>
      </c>
      <c r="BA15" s="180">
        <f t="shared" si="0"/>
        <v>36186.851737140001</v>
      </c>
      <c r="BB15" s="180">
        <f t="shared" si="0"/>
        <v>49572.230869909996</v>
      </c>
      <c r="BC15" s="180">
        <f t="shared" si="0"/>
        <v>49785.489000000009</v>
      </c>
      <c r="BD15" s="180">
        <f t="shared" si="0"/>
        <v>46061.882000000005</v>
      </c>
      <c r="BE15" s="180">
        <f t="shared" si="0"/>
        <v>43232.351999999992</v>
      </c>
      <c r="BF15" s="180">
        <f t="shared" si="0"/>
        <v>48597.229000000007</v>
      </c>
      <c r="BG15" s="180">
        <f t="shared" si="0"/>
        <v>44348.512999999999</v>
      </c>
      <c r="BH15" s="180">
        <f t="shared" si="0"/>
        <v>50003.536999999989</v>
      </c>
      <c r="BI15" s="180">
        <f t="shared" si="0"/>
        <v>49444.638000000006</v>
      </c>
      <c r="BJ15" s="180">
        <f t="shared" si="0"/>
        <v>46151.584000000003</v>
      </c>
      <c r="BK15" s="180">
        <f t="shared" si="0"/>
        <v>50808.125999999997</v>
      </c>
      <c r="BL15" s="180">
        <f t="shared" si="0"/>
        <v>52453.35</v>
      </c>
      <c r="BM15" s="180">
        <f t="shared" si="0"/>
        <v>57228.926999999996</v>
      </c>
      <c r="BN15" s="180">
        <f t="shared" si="0"/>
        <v>53952.096000000012</v>
      </c>
      <c r="BO15" s="180">
        <f t="shared" si="0"/>
        <v>54708.064000000006</v>
      </c>
    </row>
    <row r="16" spans="2:69" x14ac:dyDescent="0.25">
      <c r="C16" s="75" t="s">
        <v>55</v>
      </c>
      <c r="D16" s="75"/>
      <c r="E16" s="75" t="s">
        <v>524</v>
      </c>
      <c r="F16" s="12">
        <v>39.07</v>
      </c>
      <c r="G16" s="12">
        <v>8.3239999999999998</v>
      </c>
      <c r="H16" s="12">
        <v>39.238</v>
      </c>
      <c r="I16" s="12">
        <v>43.508000000000003</v>
      </c>
      <c r="J16" s="12">
        <v>22.669</v>
      </c>
      <c r="K16" s="12">
        <v>11.38</v>
      </c>
      <c r="L16" s="12">
        <v>13.598000000000001</v>
      </c>
      <c r="M16" s="12">
        <v>8.0310000000000006</v>
      </c>
      <c r="N16" s="12">
        <v>21.835999999999999</v>
      </c>
      <c r="O16" s="12">
        <v>11.868</v>
      </c>
      <c r="P16" s="12">
        <v>9.7949999999999999</v>
      </c>
      <c r="Q16" s="12">
        <v>21.529</v>
      </c>
      <c r="R16" s="12">
        <v>15.532999999999999</v>
      </c>
      <c r="S16" s="12">
        <v>15.305999999999999</v>
      </c>
      <c r="T16" s="12">
        <v>17.692</v>
      </c>
      <c r="U16" s="12">
        <v>21.201000000000001</v>
      </c>
      <c r="V16" s="12">
        <v>16.155000000000001</v>
      </c>
      <c r="W16" s="12">
        <v>13.153</v>
      </c>
      <c r="X16" s="12">
        <v>87.616</v>
      </c>
      <c r="Y16" s="12">
        <v>87.522999999999996</v>
      </c>
      <c r="Z16" s="12">
        <v>61.243000000000002</v>
      </c>
      <c r="AA16" s="12">
        <v>68.572000000000003</v>
      </c>
      <c r="AB16" s="12">
        <v>23.74</v>
      </c>
      <c r="AC16" s="12">
        <v>175.34700000000001</v>
      </c>
      <c r="AD16" s="12">
        <v>177.596</v>
      </c>
      <c r="AE16" s="12">
        <v>54.253999999999998</v>
      </c>
      <c r="AF16" s="12">
        <v>85.921000000000006</v>
      </c>
      <c r="AG16" s="12">
        <v>51.686999999999998</v>
      </c>
      <c r="AH16" s="12">
        <v>161.02799999999999</v>
      </c>
      <c r="AI16" s="12">
        <v>58.273000000000003</v>
      </c>
      <c r="AJ16" s="12">
        <v>44.279000000000003</v>
      </c>
      <c r="AK16" s="12">
        <v>46.655000000000001</v>
      </c>
      <c r="AL16" s="12">
        <v>86.147000000000006</v>
      </c>
      <c r="AM16" s="12">
        <v>28.279</v>
      </c>
      <c r="AN16" s="12">
        <v>22.393000000000001</v>
      </c>
      <c r="AO16" s="12">
        <v>8.7769999999999992</v>
      </c>
      <c r="AP16" s="12">
        <v>17.571999999999999</v>
      </c>
      <c r="AQ16" s="12">
        <v>20.440000000000001</v>
      </c>
      <c r="AR16" s="12">
        <v>21.792000000000002</v>
      </c>
      <c r="AS16" s="12">
        <v>18.175999999999998</v>
      </c>
      <c r="AT16" s="12">
        <v>21.416</v>
      </c>
      <c r="AU16" s="12">
        <v>33.926000000000002</v>
      </c>
      <c r="AV16" s="12">
        <v>26.844000000000001</v>
      </c>
      <c r="AW16" s="12">
        <v>29.378</v>
      </c>
      <c r="AX16" s="12">
        <v>111.496</v>
      </c>
      <c r="AY16" s="12">
        <v>68.153999999999996</v>
      </c>
      <c r="AZ16" s="12">
        <v>57.667000000000002</v>
      </c>
      <c r="BA16" s="12">
        <v>297.18700000000001</v>
      </c>
      <c r="BB16" s="12">
        <v>625.25300000000004</v>
      </c>
      <c r="BC16" s="12">
        <v>635.62400000000002</v>
      </c>
      <c r="BD16" s="12">
        <v>670.99300000000005</v>
      </c>
      <c r="BE16" s="12">
        <v>513.29300000000001</v>
      </c>
      <c r="BF16" s="12">
        <v>1361.952</v>
      </c>
      <c r="BG16" s="12">
        <v>2853.1860000000001</v>
      </c>
      <c r="BH16" s="12">
        <v>1710.865</v>
      </c>
      <c r="BI16" s="12">
        <v>731.09199999999998</v>
      </c>
      <c r="BJ16" s="12">
        <v>362.71199999999999</v>
      </c>
      <c r="BK16" s="12">
        <v>553.93700000000001</v>
      </c>
      <c r="BL16" s="12">
        <v>506.22699999999998</v>
      </c>
      <c r="BM16" s="12">
        <v>329.87900000000002</v>
      </c>
      <c r="BN16" s="12">
        <v>324.33</v>
      </c>
      <c r="BO16" s="33">
        <v>371.96699999999998</v>
      </c>
      <c r="BQ16" s="1"/>
    </row>
    <row r="17" spans="2:69" x14ac:dyDescent="0.25">
      <c r="C17" s="75" t="s">
        <v>279</v>
      </c>
      <c r="D17" s="75"/>
      <c r="E17" s="75" t="s">
        <v>525</v>
      </c>
      <c r="F17" s="12">
        <v>201.17699999999999</v>
      </c>
      <c r="G17" s="12">
        <v>281.26900000000001</v>
      </c>
      <c r="H17" s="12">
        <v>326.01299999999998</v>
      </c>
      <c r="I17" s="12">
        <v>869.05600000000004</v>
      </c>
      <c r="J17" s="12">
        <v>678.31600000000003</v>
      </c>
      <c r="K17" s="12">
        <v>597.18200000000002</v>
      </c>
      <c r="L17" s="12">
        <v>428.14299999999997</v>
      </c>
      <c r="M17" s="12">
        <v>508.10300000000001</v>
      </c>
      <c r="N17" s="12">
        <v>482.18099999999998</v>
      </c>
      <c r="O17" s="12">
        <v>1256.5930000000001</v>
      </c>
      <c r="P17" s="12">
        <v>860.88499999999999</v>
      </c>
      <c r="Q17" s="12">
        <v>885.80100000000004</v>
      </c>
      <c r="R17" s="12">
        <v>916.05799999999999</v>
      </c>
      <c r="S17" s="12">
        <v>1245.433</v>
      </c>
      <c r="T17" s="12">
        <v>1428.2460000000001</v>
      </c>
      <c r="U17" s="12">
        <v>1042.3440000000001</v>
      </c>
      <c r="V17" s="12">
        <v>1744.0340000000001</v>
      </c>
      <c r="W17" s="12">
        <v>1582.778</v>
      </c>
      <c r="X17" s="12">
        <v>2129.4650000000001</v>
      </c>
      <c r="Y17" s="12">
        <v>1886.3320000000001</v>
      </c>
      <c r="Z17" s="12">
        <v>1573.27</v>
      </c>
      <c r="AA17" s="12">
        <v>2126.0810000000001</v>
      </c>
      <c r="AB17" s="12">
        <v>2438.3130000000001</v>
      </c>
      <c r="AC17" s="12">
        <v>2403.404</v>
      </c>
      <c r="AD17" s="12">
        <v>3025.2930000000001</v>
      </c>
      <c r="AE17" s="12">
        <v>2200.279</v>
      </c>
      <c r="AF17" s="12">
        <v>3115.9079999999999</v>
      </c>
      <c r="AG17" s="12">
        <v>3599.3829999999998</v>
      </c>
      <c r="AH17" s="12">
        <v>5454.6109999999999</v>
      </c>
      <c r="AI17" s="12">
        <v>5587.4769999999999</v>
      </c>
      <c r="AJ17" s="12">
        <v>6682.0190000000002</v>
      </c>
      <c r="AK17" s="12">
        <v>5779.5330000000004</v>
      </c>
      <c r="AL17" s="12">
        <v>4321.6670000000004</v>
      </c>
      <c r="AM17" s="12">
        <v>5356.2439999999997</v>
      </c>
      <c r="AN17" s="12">
        <v>5141.2129999999997</v>
      </c>
      <c r="AO17" s="12">
        <v>5777.6859999999997</v>
      </c>
      <c r="AP17" s="12">
        <v>5788.4470000000001</v>
      </c>
      <c r="AQ17" s="12">
        <v>6041.5190000000002</v>
      </c>
      <c r="AR17" s="12">
        <v>6599.3419999999996</v>
      </c>
      <c r="AS17" s="12">
        <v>6762.9889999999996</v>
      </c>
      <c r="AT17" s="12">
        <v>5544.7910000000002</v>
      </c>
      <c r="AU17" s="12">
        <v>5558.2380000000003</v>
      </c>
      <c r="AV17" s="12">
        <v>6304.2179999999998</v>
      </c>
      <c r="AW17" s="12">
        <v>7522.6549999999997</v>
      </c>
      <c r="AX17" s="12">
        <v>7931.2809999999999</v>
      </c>
      <c r="AY17" s="12">
        <v>6959.8119999999999</v>
      </c>
      <c r="AZ17" s="12">
        <v>6407.0640000000003</v>
      </c>
      <c r="BA17" s="12">
        <v>5326.1540000000005</v>
      </c>
      <c r="BB17" s="12">
        <v>6287.1819999999998</v>
      </c>
      <c r="BC17" s="12">
        <v>6918.924</v>
      </c>
      <c r="BD17" s="12">
        <v>6756.6120000000001</v>
      </c>
      <c r="BE17" s="12">
        <v>7472.6409999999996</v>
      </c>
      <c r="BF17" s="12">
        <v>6328.1319999999996</v>
      </c>
      <c r="BG17" s="12">
        <v>3670.203</v>
      </c>
      <c r="BH17" s="12">
        <v>5352.2690000000002</v>
      </c>
      <c r="BI17" s="12">
        <v>3057.0210000000002</v>
      </c>
      <c r="BJ17" s="12">
        <v>2750.835</v>
      </c>
      <c r="BK17" s="12">
        <v>3878.663</v>
      </c>
      <c r="BL17" s="12">
        <v>5247.951</v>
      </c>
      <c r="BM17" s="12">
        <v>6149.3509999999997</v>
      </c>
      <c r="BN17" s="12">
        <v>3072.846</v>
      </c>
      <c r="BO17" s="33">
        <v>4348.4970000000003</v>
      </c>
      <c r="BQ17" s="1"/>
    </row>
    <row r="18" spans="2:69" x14ac:dyDescent="0.25">
      <c r="C18" s="75" t="s">
        <v>549</v>
      </c>
      <c r="D18" s="75"/>
      <c r="E18" s="75" t="s">
        <v>526</v>
      </c>
      <c r="F18" s="12">
        <v>972.80100000000004</v>
      </c>
      <c r="G18" s="12">
        <v>874.93799999999999</v>
      </c>
      <c r="H18" s="12">
        <v>1212.7560000000001</v>
      </c>
      <c r="I18" s="12">
        <v>1494.278</v>
      </c>
      <c r="J18" s="12">
        <v>1319.3689999999999</v>
      </c>
      <c r="K18" s="12">
        <v>1282.3920000000001</v>
      </c>
      <c r="L18" s="12">
        <v>1772.1569999999999</v>
      </c>
      <c r="M18" s="12">
        <v>1039.6510000000001</v>
      </c>
      <c r="N18" s="12">
        <v>1036.067</v>
      </c>
      <c r="O18" s="12">
        <v>1128.4770000000001</v>
      </c>
      <c r="P18" s="12">
        <v>1325.873</v>
      </c>
      <c r="Q18" s="12">
        <v>1094.1679999999999</v>
      </c>
      <c r="R18" s="12">
        <v>1193.0129999999999</v>
      </c>
      <c r="S18" s="12">
        <v>1203.3109999999999</v>
      </c>
      <c r="T18" s="12">
        <v>1464.684</v>
      </c>
      <c r="U18" s="12">
        <v>1439.0350000000001</v>
      </c>
      <c r="V18" s="12">
        <v>1516.8040000000001</v>
      </c>
      <c r="W18" s="12">
        <v>1925.3430000000001</v>
      </c>
      <c r="X18" s="12">
        <v>1782.6279999999999</v>
      </c>
      <c r="Y18" s="12">
        <v>1913.5350000000001</v>
      </c>
      <c r="Z18" s="12">
        <v>2355.08</v>
      </c>
      <c r="AA18" s="12">
        <v>3123.9549999999999</v>
      </c>
      <c r="AB18" s="12">
        <v>2952.799</v>
      </c>
      <c r="AC18" s="12">
        <v>2979.8739999999998</v>
      </c>
      <c r="AD18" s="12">
        <v>3358.6170000000002</v>
      </c>
      <c r="AE18" s="12">
        <v>3935.04</v>
      </c>
      <c r="AF18" s="12">
        <v>3866.6280000000002</v>
      </c>
      <c r="AG18" s="12">
        <v>4293.625</v>
      </c>
      <c r="AH18" s="12">
        <v>4420.1149999999998</v>
      </c>
      <c r="AI18" s="12">
        <v>4357.3249999999998</v>
      </c>
      <c r="AJ18" s="12">
        <v>5085.5230000000001</v>
      </c>
      <c r="AK18" s="12">
        <v>5684.8959999999997</v>
      </c>
      <c r="AL18" s="12">
        <v>6445.1610000000001</v>
      </c>
      <c r="AM18" s="12">
        <v>5992.5050000000001</v>
      </c>
      <c r="AN18" s="12">
        <v>7095.0379999999996</v>
      </c>
      <c r="AO18" s="12">
        <v>7708.0860000000002</v>
      </c>
      <c r="AP18" s="12">
        <v>7915.6779999999999</v>
      </c>
      <c r="AQ18" s="12">
        <v>7811.5889999999999</v>
      </c>
      <c r="AR18" s="12">
        <v>7493.7669999999998</v>
      </c>
      <c r="AS18" s="12">
        <v>7707.8869999999997</v>
      </c>
      <c r="AT18" s="12">
        <v>8331.8780000000006</v>
      </c>
      <c r="AU18" s="12">
        <v>8954.8970000000008</v>
      </c>
      <c r="AV18" s="12">
        <v>8754.9179999999997</v>
      </c>
      <c r="AW18" s="12">
        <v>8831.0490000000009</v>
      </c>
      <c r="AX18" s="12">
        <v>8253.6419999999998</v>
      </c>
      <c r="AY18" s="12">
        <v>8649.6329999999998</v>
      </c>
      <c r="AZ18" s="12">
        <v>9500.8389999999999</v>
      </c>
      <c r="BA18" s="12">
        <v>8970.018</v>
      </c>
      <c r="BB18" s="12">
        <v>13363.922</v>
      </c>
      <c r="BC18" s="12">
        <v>13146.576999999999</v>
      </c>
      <c r="BD18" s="12">
        <v>12277.635</v>
      </c>
      <c r="BE18" s="12">
        <v>9778.4779999999992</v>
      </c>
      <c r="BF18" s="12">
        <v>12583.13</v>
      </c>
      <c r="BG18" s="12">
        <v>11815.14</v>
      </c>
      <c r="BH18" s="12">
        <v>13649.934999999999</v>
      </c>
      <c r="BI18" s="12">
        <v>14529.424999999999</v>
      </c>
      <c r="BJ18" s="12">
        <v>16074.349</v>
      </c>
      <c r="BK18" s="12">
        <v>16544.25</v>
      </c>
      <c r="BL18" s="12">
        <v>15713.616</v>
      </c>
      <c r="BM18" s="12">
        <v>15959.053</v>
      </c>
      <c r="BN18" s="12">
        <v>19813.223000000002</v>
      </c>
      <c r="BO18" s="33">
        <v>21925.001</v>
      </c>
      <c r="BQ18" s="1"/>
    </row>
    <row r="19" spans="2:69" x14ac:dyDescent="0.25">
      <c r="C19" s="75" t="s">
        <v>269</v>
      </c>
      <c r="D19" s="75"/>
      <c r="E19" s="75" t="s">
        <v>527</v>
      </c>
      <c r="F19" s="12">
        <v>55.978999999999999</v>
      </c>
      <c r="G19" s="12">
        <v>94.349000000000004</v>
      </c>
      <c r="H19" s="12">
        <v>13.755000000000001</v>
      </c>
      <c r="I19" s="12">
        <v>18.891999999999999</v>
      </c>
      <c r="J19" s="12">
        <v>9.4420000000000002</v>
      </c>
      <c r="K19" s="12">
        <v>27.42</v>
      </c>
      <c r="L19" s="12">
        <v>41.107999999999997</v>
      </c>
      <c r="M19" s="12">
        <v>68.046999999999997</v>
      </c>
      <c r="N19" s="12">
        <v>66.379000000000005</v>
      </c>
      <c r="O19" s="12">
        <v>67.144999999999996</v>
      </c>
      <c r="P19" s="12">
        <v>43.853999999999999</v>
      </c>
      <c r="Q19" s="12">
        <v>80.858999999999995</v>
      </c>
      <c r="R19" s="12">
        <v>78.986000000000004</v>
      </c>
      <c r="S19" s="12">
        <v>75.429000000000002</v>
      </c>
      <c r="T19" s="12">
        <v>88.597999999999999</v>
      </c>
      <c r="U19" s="12">
        <v>106.55</v>
      </c>
      <c r="V19" s="12">
        <v>112.494</v>
      </c>
      <c r="W19" s="12">
        <v>206.99100000000001</v>
      </c>
      <c r="X19" s="12">
        <v>169.03100000000001</v>
      </c>
      <c r="Y19" s="12">
        <v>146.892</v>
      </c>
      <c r="Z19" s="12">
        <v>127.78</v>
      </c>
      <c r="AA19" s="12">
        <v>90.543999999999997</v>
      </c>
      <c r="AB19" s="12">
        <v>82.356999999999999</v>
      </c>
      <c r="AC19" s="12">
        <v>62.548000000000002</v>
      </c>
      <c r="AD19" s="12">
        <v>61.466000000000001</v>
      </c>
      <c r="AE19" s="12">
        <v>36.945</v>
      </c>
      <c r="AF19" s="12">
        <v>41.009</v>
      </c>
      <c r="AG19" s="12">
        <v>51.05</v>
      </c>
      <c r="AH19" s="12">
        <v>56.55</v>
      </c>
      <c r="AI19" s="12">
        <v>1.1599999999999999</v>
      </c>
      <c r="AJ19" s="12">
        <v>0.94399999999999995</v>
      </c>
      <c r="AK19" s="12">
        <v>0.21</v>
      </c>
      <c r="AL19" s="12">
        <v>6.9880000000000004</v>
      </c>
      <c r="AM19" s="12">
        <v>12.656000000000001</v>
      </c>
      <c r="AN19" s="12">
        <v>17.213999999999999</v>
      </c>
      <c r="AO19" s="12">
        <v>1.5149999999999999</v>
      </c>
      <c r="AP19" s="12">
        <v>17.108000000000001</v>
      </c>
      <c r="AQ19" s="12">
        <v>21.946000000000002</v>
      </c>
      <c r="AR19" s="12">
        <v>25.425000000000001</v>
      </c>
      <c r="AS19" s="12">
        <v>0</v>
      </c>
      <c r="AT19" s="12">
        <v>25.023</v>
      </c>
      <c r="AU19" s="12">
        <v>34.398000000000003</v>
      </c>
      <c r="AV19" s="12">
        <v>44.841000000000001</v>
      </c>
      <c r="AW19" s="12">
        <v>0</v>
      </c>
      <c r="AX19" s="12">
        <v>81.632999999999996</v>
      </c>
      <c r="AY19" s="12">
        <v>113.339</v>
      </c>
      <c r="AZ19" s="12">
        <v>161.506</v>
      </c>
      <c r="BA19" s="12">
        <v>66.010999999999996</v>
      </c>
      <c r="BB19" s="12">
        <v>135.209</v>
      </c>
      <c r="BC19" s="12">
        <v>189.57900000000001</v>
      </c>
      <c r="BD19" s="12">
        <v>218.26300000000001</v>
      </c>
      <c r="BE19" s="12">
        <v>157.78</v>
      </c>
      <c r="BF19" s="12">
        <v>218.529</v>
      </c>
      <c r="BG19" s="12">
        <v>129.429</v>
      </c>
      <c r="BH19" s="12">
        <v>126.226</v>
      </c>
      <c r="BI19" s="12">
        <v>90.24</v>
      </c>
      <c r="BJ19" s="12">
        <v>149.554</v>
      </c>
      <c r="BK19" s="12">
        <v>192.35300000000001</v>
      </c>
      <c r="BL19" s="12">
        <v>442.38900000000001</v>
      </c>
      <c r="BM19" s="12">
        <v>293.76600000000002</v>
      </c>
      <c r="BN19" s="12">
        <v>356.75400000000002</v>
      </c>
      <c r="BO19" s="33">
        <v>255.739</v>
      </c>
      <c r="BQ19" s="1"/>
    </row>
    <row r="20" spans="2:69" x14ac:dyDescent="0.25">
      <c r="C20" s="75" t="s">
        <v>118</v>
      </c>
      <c r="D20" s="75"/>
      <c r="E20" s="75" t="s">
        <v>528</v>
      </c>
      <c r="F20" s="12">
        <v>3864.3380000000002</v>
      </c>
      <c r="G20" s="12">
        <v>4282.7910000000002</v>
      </c>
      <c r="H20" s="12">
        <v>4750.4560000000001</v>
      </c>
      <c r="I20" s="12">
        <v>4245.982</v>
      </c>
      <c r="J20" s="12">
        <v>3950.6529999999998</v>
      </c>
      <c r="K20" s="12">
        <v>3976.4389999999999</v>
      </c>
      <c r="L20" s="12">
        <v>4364.8630000000003</v>
      </c>
      <c r="M20" s="12">
        <v>5098.6490000000003</v>
      </c>
      <c r="N20" s="12">
        <v>5662.7330000000002</v>
      </c>
      <c r="O20" s="12">
        <v>6245.4459999999999</v>
      </c>
      <c r="P20" s="12">
        <v>6586.1850000000004</v>
      </c>
      <c r="Q20" s="12">
        <v>7040.607</v>
      </c>
      <c r="R20" s="12">
        <v>6878.0370000000003</v>
      </c>
      <c r="S20" s="12">
        <v>6811.9250000000002</v>
      </c>
      <c r="T20" s="12">
        <v>7117.1580000000004</v>
      </c>
      <c r="U20" s="12">
        <v>7125.848</v>
      </c>
      <c r="V20" s="12">
        <v>7140.2169999999996</v>
      </c>
      <c r="W20" s="12">
        <v>7605.402</v>
      </c>
      <c r="X20" s="12">
        <v>7499.6790000000001</v>
      </c>
      <c r="Y20" s="12">
        <v>7525.0789999999997</v>
      </c>
      <c r="Z20" s="12">
        <v>7565.576</v>
      </c>
      <c r="AA20" s="12">
        <v>7820.2510000000002</v>
      </c>
      <c r="AB20" s="12">
        <v>7899.9889999999996</v>
      </c>
      <c r="AC20" s="12">
        <v>8973.61</v>
      </c>
      <c r="AD20" s="12">
        <v>9040.1309999999994</v>
      </c>
      <c r="AE20" s="12">
        <v>9200.1630000000005</v>
      </c>
      <c r="AF20" s="12">
        <v>9493.2389999999996</v>
      </c>
      <c r="AG20" s="12">
        <v>10189.897999999999</v>
      </c>
      <c r="AH20" s="12">
        <v>10612.928</v>
      </c>
      <c r="AI20" s="12">
        <v>10718.486999999999</v>
      </c>
      <c r="AJ20" s="12">
        <v>11293.981</v>
      </c>
      <c r="AK20" s="12">
        <v>10619.152</v>
      </c>
      <c r="AL20" s="12">
        <v>10100.467000000001</v>
      </c>
      <c r="AM20" s="12">
        <v>9335.2029999999995</v>
      </c>
      <c r="AN20" s="12">
        <v>9555.0959999999995</v>
      </c>
      <c r="AO20" s="12">
        <v>10152.468999999999</v>
      </c>
      <c r="AP20" s="12">
        <v>10210.337</v>
      </c>
      <c r="AQ20" s="12">
        <v>10451.028</v>
      </c>
      <c r="AR20" s="12">
        <v>10282.477000000001</v>
      </c>
      <c r="AS20" s="12">
        <v>10471.538</v>
      </c>
      <c r="AT20" s="12">
        <v>10596.107</v>
      </c>
      <c r="AU20" s="12">
        <v>10934.954</v>
      </c>
      <c r="AV20" s="12">
        <v>11048.133</v>
      </c>
      <c r="AW20" s="12">
        <v>11183.165999999999</v>
      </c>
      <c r="AX20" s="12">
        <v>12838.65409</v>
      </c>
      <c r="AY20" s="12">
        <v>13398.57583</v>
      </c>
      <c r="AZ20" s="12">
        <v>12549.07</v>
      </c>
      <c r="BA20" s="12">
        <v>13280.494000000001</v>
      </c>
      <c r="BB20" s="12">
        <v>17590.522519999999</v>
      </c>
      <c r="BC20" s="12">
        <v>17930.393</v>
      </c>
      <c r="BD20" s="12">
        <v>18917.055</v>
      </c>
      <c r="BE20" s="12">
        <v>20214.225999999999</v>
      </c>
      <c r="BF20" s="12">
        <v>20637.760999999999</v>
      </c>
      <c r="BG20" s="12">
        <v>19994.59</v>
      </c>
      <c r="BH20" s="12">
        <v>21012.335999999999</v>
      </c>
      <c r="BI20" s="12">
        <v>22321.034</v>
      </c>
      <c r="BJ20" s="12">
        <v>22200.871999999999</v>
      </c>
      <c r="BK20" s="12">
        <v>23506.973999999998</v>
      </c>
      <c r="BL20" s="12">
        <v>24688.821</v>
      </c>
      <c r="BM20" s="12">
        <v>24676.93</v>
      </c>
      <c r="BN20" s="12">
        <v>22832.989000000001</v>
      </c>
      <c r="BO20" s="33">
        <v>22145.433000000001</v>
      </c>
      <c r="BQ20" s="1"/>
    </row>
    <row r="21" spans="2:69" x14ac:dyDescent="0.25">
      <c r="C21" s="75" t="s">
        <v>278</v>
      </c>
      <c r="D21" s="75"/>
      <c r="E21" s="75" t="s">
        <v>529</v>
      </c>
      <c r="F21" s="12">
        <v>716.50400000000002</v>
      </c>
      <c r="G21" s="12">
        <v>729.09500000000003</v>
      </c>
      <c r="H21" s="12">
        <v>1300.4590000000001</v>
      </c>
      <c r="I21" s="12">
        <v>793.86800000000005</v>
      </c>
      <c r="J21" s="12">
        <v>878.47699999999998</v>
      </c>
      <c r="K21" s="12">
        <v>692.02099999999996</v>
      </c>
      <c r="L21" s="12">
        <v>813.33399999999995</v>
      </c>
      <c r="M21" s="12">
        <v>623.74599999999998</v>
      </c>
      <c r="N21" s="12">
        <v>850.90599999999995</v>
      </c>
      <c r="O21" s="12">
        <v>956.38300000000004</v>
      </c>
      <c r="P21" s="12">
        <v>986.83799999999997</v>
      </c>
      <c r="Q21" s="12">
        <v>671.20299999999997</v>
      </c>
      <c r="R21" s="12">
        <v>694.53800000000001</v>
      </c>
      <c r="S21" s="12">
        <v>872.33100000000002</v>
      </c>
      <c r="T21" s="12">
        <v>1499.883</v>
      </c>
      <c r="U21" s="12">
        <v>732.08699999999999</v>
      </c>
      <c r="V21" s="12">
        <v>1054.6780000000001</v>
      </c>
      <c r="W21" s="12">
        <v>1512.616</v>
      </c>
      <c r="X21" s="12">
        <v>1422.6110000000001</v>
      </c>
      <c r="Y21" s="12">
        <v>1863.232</v>
      </c>
      <c r="Z21" s="12">
        <v>2225.9879999999998</v>
      </c>
      <c r="AA21" s="12">
        <v>3086.7159999999999</v>
      </c>
      <c r="AB21" s="12">
        <v>3731.0360000000001</v>
      </c>
      <c r="AC21" s="12">
        <v>2615.0030000000002</v>
      </c>
      <c r="AD21" s="12">
        <v>2677.3560000000002</v>
      </c>
      <c r="AE21" s="12">
        <v>2752.0369999999998</v>
      </c>
      <c r="AF21" s="12">
        <v>2555.3649999999998</v>
      </c>
      <c r="AG21" s="12">
        <v>2502.4319999999998</v>
      </c>
      <c r="AH21" s="12">
        <v>2331.973</v>
      </c>
      <c r="AI21" s="12">
        <v>2273.5889999999999</v>
      </c>
      <c r="AJ21" s="12">
        <v>3286.4810000000002</v>
      </c>
      <c r="AK21" s="12">
        <v>1991.434</v>
      </c>
      <c r="AL21" s="12">
        <v>2369.2600000000002</v>
      </c>
      <c r="AM21" s="12">
        <v>1865.8710000000001</v>
      </c>
      <c r="AN21" s="12">
        <v>1545.3420000000001</v>
      </c>
      <c r="AO21" s="12">
        <v>1855.0640000000001</v>
      </c>
      <c r="AP21" s="12">
        <v>1940.8050000000001</v>
      </c>
      <c r="AQ21" s="12">
        <v>1876.652</v>
      </c>
      <c r="AR21" s="12">
        <v>2150.0650000000001</v>
      </c>
      <c r="AS21" s="12">
        <v>3401.32</v>
      </c>
      <c r="AT21" s="12">
        <v>3495.5439999999999</v>
      </c>
      <c r="AU21" s="12">
        <v>5075.6289999999999</v>
      </c>
      <c r="AV21" s="12">
        <v>4802.5510000000004</v>
      </c>
      <c r="AW21" s="12">
        <v>4813.6570000000002</v>
      </c>
      <c r="AX21" s="12">
        <v>4832.5515099999993</v>
      </c>
      <c r="AY21" s="12">
        <v>5905.0213400000002</v>
      </c>
      <c r="AZ21" s="12">
        <v>8092.0780000000004</v>
      </c>
      <c r="BA21" s="12">
        <v>7989.1419999999998</v>
      </c>
      <c r="BB21" s="12">
        <v>11306.296039999999</v>
      </c>
      <c r="BC21" s="12">
        <v>10692.503000000001</v>
      </c>
      <c r="BD21" s="12">
        <v>6966.1909999999998</v>
      </c>
      <c r="BE21" s="12">
        <v>4891.0119999999997</v>
      </c>
      <c r="BF21" s="12">
        <v>7236.2640000000001</v>
      </c>
      <c r="BG21" s="12">
        <v>5656.9229999999998</v>
      </c>
      <c r="BH21" s="12">
        <v>7950.143</v>
      </c>
      <c r="BI21" s="12">
        <v>8536.7219999999998</v>
      </c>
      <c r="BJ21" s="12">
        <v>4447.2830000000004</v>
      </c>
      <c r="BK21" s="12">
        <v>5942.0659999999998</v>
      </c>
      <c r="BL21" s="12">
        <v>5671.5429999999997</v>
      </c>
      <c r="BM21" s="12">
        <v>9643.6939999999995</v>
      </c>
      <c r="BN21" s="12">
        <v>7378.0140000000001</v>
      </c>
      <c r="BO21" s="33">
        <v>5489.76</v>
      </c>
      <c r="BQ21" s="1"/>
    </row>
    <row r="22" spans="2:69" x14ac:dyDescent="0.25">
      <c r="C22" s="75" t="s">
        <v>277</v>
      </c>
      <c r="D22" s="75"/>
      <c r="E22" s="75" t="s">
        <v>530</v>
      </c>
      <c r="F22" s="12">
        <v>22.547999999999998</v>
      </c>
      <c r="G22" s="12">
        <v>27.797000000000001</v>
      </c>
      <c r="H22" s="12">
        <v>29.997</v>
      </c>
      <c r="I22" s="12">
        <v>17.57</v>
      </c>
      <c r="J22" s="12">
        <v>16.146000000000001</v>
      </c>
      <c r="K22" s="12">
        <v>15.553000000000001</v>
      </c>
      <c r="L22" s="12">
        <v>16.128</v>
      </c>
      <c r="M22" s="12">
        <v>12.867000000000001</v>
      </c>
      <c r="N22" s="12">
        <v>18.341999999999999</v>
      </c>
      <c r="O22" s="12">
        <v>15.994</v>
      </c>
      <c r="P22" s="12">
        <v>6.9169999999999998</v>
      </c>
      <c r="Q22" s="12">
        <v>3.9910000000000001</v>
      </c>
      <c r="R22" s="12">
        <v>10.382</v>
      </c>
      <c r="S22" s="12">
        <v>8.7910000000000004</v>
      </c>
      <c r="T22" s="12">
        <v>7.5369999999999999</v>
      </c>
      <c r="U22" s="12">
        <v>23.172999999999998</v>
      </c>
      <c r="V22" s="12">
        <v>23.574000000000002</v>
      </c>
      <c r="W22" s="12">
        <v>42.722000000000001</v>
      </c>
      <c r="X22" s="12">
        <v>41.19</v>
      </c>
      <c r="Y22" s="12">
        <v>38.094000000000001</v>
      </c>
      <c r="Z22" s="12">
        <v>42.58</v>
      </c>
      <c r="AA22" s="12">
        <v>44.262999999999998</v>
      </c>
      <c r="AB22" s="12">
        <v>44.896000000000001</v>
      </c>
      <c r="AC22" s="12">
        <v>28.280999999999999</v>
      </c>
      <c r="AD22" s="12">
        <v>30.768999999999998</v>
      </c>
      <c r="AE22" s="12">
        <v>27.63</v>
      </c>
      <c r="AF22" s="12">
        <v>29.957999999999998</v>
      </c>
      <c r="AG22" s="12">
        <v>21.478999999999999</v>
      </c>
      <c r="AH22" s="12">
        <v>35.030999999999999</v>
      </c>
      <c r="AI22" s="12">
        <v>33.351999999999997</v>
      </c>
      <c r="AJ22" s="12">
        <v>49.578000000000003</v>
      </c>
      <c r="AK22" s="12">
        <v>45.661000000000001</v>
      </c>
      <c r="AL22" s="12">
        <v>70.001999999999995</v>
      </c>
      <c r="AM22" s="12">
        <v>84.760999999999996</v>
      </c>
      <c r="AN22" s="12">
        <v>121.40900000000001</v>
      </c>
      <c r="AO22" s="12">
        <v>126.913</v>
      </c>
      <c r="AP22" s="12">
        <v>255.661</v>
      </c>
      <c r="AQ22" s="12">
        <v>280.036</v>
      </c>
      <c r="AR22" s="12">
        <v>368.18900000000002</v>
      </c>
      <c r="AS22" s="12">
        <v>356.68599999999998</v>
      </c>
      <c r="AT22" s="12">
        <v>299.92599999999999</v>
      </c>
      <c r="AU22" s="12">
        <v>282.95400000000001</v>
      </c>
      <c r="AV22" s="12">
        <v>299.57</v>
      </c>
      <c r="AW22" s="12">
        <v>298.93700000000001</v>
      </c>
      <c r="AX22" s="12">
        <v>303.40499999999997</v>
      </c>
      <c r="AY22" s="12">
        <v>256.64896685999997</v>
      </c>
      <c r="AZ22" s="12">
        <v>245.11600638000002</v>
      </c>
      <c r="BA22" s="12">
        <v>257.84573714000004</v>
      </c>
      <c r="BB22" s="12">
        <v>263.84630991</v>
      </c>
      <c r="BC22" s="12">
        <v>271.88900000000001</v>
      </c>
      <c r="BD22" s="12">
        <v>255.13300000000001</v>
      </c>
      <c r="BE22" s="12">
        <v>204.922</v>
      </c>
      <c r="BF22" s="12">
        <v>231.46100000000001</v>
      </c>
      <c r="BG22" s="12">
        <v>229.042</v>
      </c>
      <c r="BH22" s="12">
        <v>201.76300000000001</v>
      </c>
      <c r="BI22" s="12">
        <v>179.10400000000001</v>
      </c>
      <c r="BJ22" s="12">
        <v>165.97900000000001</v>
      </c>
      <c r="BK22" s="12">
        <v>189.88300000000001</v>
      </c>
      <c r="BL22" s="12">
        <v>182.803</v>
      </c>
      <c r="BM22" s="12">
        <v>176.25399999999999</v>
      </c>
      <c r="BN22" s="12">
        <v>173.94</v>
      </c>
      <c r="BO22" s="33">
        <v>171.667</v>
      </c>
      <c r="BQ22" s="1"/>
    </row>
    <row r="23" spans="2:69" x14ac:dyDescent="0.25">
      <c r="B23" s="27"/>
      <c r="C23" s="27"/>
      <c r="D23" s="27"/>
      <c r="E23" s="27"/>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Q23" s="1"/>
    </row>
    <row r="24" spans="2:69" s="1" customFormat="1" x14ac:dyDescent="0.25">
      <c r="B24" s="178" t="s">
        <v>56</v>
      </c>
      <c r="C24" s="179"/>
      <c r="D24" s="179"/>
      <c r="E24" s="178" t="s">
        <v>517</v>
      </c>
      <c r="F24" s="180">
        <f>SUM(F25:F28)</f>
        <v>9.7880000000000003</v>
      </c>
      <c r="G24" s="180">
        <f t="shared" ref="G24:BO24" si="1">SUM(G25:G28)</f>
        <v>10.98</v>
      </c>
      <c r="H24" s="180">
        <f t="shared" si="1"/>
        <v>11.734999999999999</v>
      </c>
      <c r="I24" s="180">
        <f t="shared" si="1"/>
        <v>11.766999999999999</v>
      </c>
      <c r="J24" s="180">
        <f t="shared" si="1"/>
        <v>12.69</v>
      </c>
      <c r="K24" s="180">
        <f t="shared" si="1"/>
        <v>17.269000000000002</v>
      </c>
      <c r="L24" s="180">
        <f t="shared" si="1"/>
        <v>17.779999999999998</v>
      </c>
      <c r="M24" s="180">
        <f t="shared" si="1"/>
        <v>18.130000000000003</v>
      </c>
      <c r="N24" s="180">
        <f t="shared" si="1"/>
        <v>17.638999999999999</v>
      </c>
      <c r="O24" s="180">
        <f t="shared" si="1"/>
        <v>17.196000000000002</v>
      </c>
      <c r="P24" s="180">
        <f t="shared" si="1"/>
        <v>18.769000000000002</v>
      </c>
      <c r="Q24" s="180">
        <f t="shared" si="1"/>
        <v>18.73</v>
      </c>
      <c r="R24" s="180">
        <f t="shared" si="1"/>
        <v>18.763000000000002</v>
      </c>
      <c r="S24" s="180">
        <f t="shared" si="1"/>
        <v>19.252000000000002</v>
      </c>
      <c r="T24" s="180">
        <f t="shared" si="1"/>
        <v>18.344000000000001</v>
      </c>
      <c r="U24" s="180">
        <f t="shared" si="1"/>
        <v>20.577000000000002</v>
      </c>
      <c r="V24" s="180">
        <f t="shared" si="1"/>
        <v>20.786000000000001</v>
      </c>
      <c r="W24" s="180">
        <f t="shared" si="1"/>
        <v>20.768999999999998</v>
      </c>
      <c r="X24" s="180">
        <f t="shared" si="1"/>
        <v>21.585000000000001</v>
      </c>
      <c r="Y24" s="180">
        <f t="shared" si="1"/>
        <v>22.439</v>
      </c>
      <c r="Z24" s="180">
        <f t="shared" si="1"/>
        <v>22.376999999999999</v>
      </c>
      <c r="AA24" s="180">
        <f t="shared" si="1"/>
        <v>21.439</v>
      </c>
      <c r="AB24" s="180">
        <f t="shared" si="1"/>
        <v>22.074000000000002</v>
      </c>
      <c r="AC24" s="180">
        <f t="shared" si="1"/>
        <v>21.678000000000001</v>
      </c>
      <c r="AD24" s="180">
        <f t="shared" si="1"/>
        <v>22.483000000000001</v>
      </c>
      <c r="AE24" s="180">
        <f t="shared" si="1"/>
        <v>22.824999999999999</v>
      </c>
      <c r="AF24" s="180">
        <f t="shared" si="1"/>
        <v>23.942</v>
      </c>
      <c r="AG24" s="180">
        <f t="shared" si="1"/>
        <v>30.87</v>
      </c>
      <c r="AH24" s="180">
        <f t="shared" si="1"/>
        <v>43.647000000000006</v>
      </c>
      <c r="AI24" s="180">
        <f t="shared" si="1"/>
        <v>44.15</v>
      </c>
      <c r="AJ24" s="180">
        <f t="shared" si="1"/>
        <v>45.212000000000003</v>
      </c>
      <c r="AK24" s="180">
        <f t="shared" si="1"/>
        <v>44.869</v>
      </c>
      <c r="AL24" s="180">
        <f t="shared" si="1"/>
        <v>45.326999999999998</v>
      </c>
      <c r="AM24" s="180">
        <f t="shared" si="1"/>
        <v>46.180999999999997</v>
      </c>
      <c r="AN24" s="180">
        <f t="shared" si="1"/>
        <v>45.432000000000002</v>
      </c>
      <c r="AO24" s="180">
        <f t="shared" si="1"/>
        <v>47.652000000000001</v>
      </c>
      <c r="AP24" s="180">
        <f t="shared" si="1"/>
        <v>46.373999999999995</v>
      </c>
      <c r="AQ24" s="180">
        <f t="shared" si="1"/>
        <v>45.962000000000003</v>
      </c>
      <c r="AR24" s="180">
        <f t="shared" si="1"/>
        <v>47.531000000000006</v>
      </c>
      <c r="AS24" s="180">
        <f t="shared" si="1"/>
        <v>49.189</v>
      </c>
      <c r="AT24" s="180">
        <f t="shared" si="1"/>
        <v>47.870999999999995</v>
      </c>
      <c r="AU24" s="180">
        <f t="shared" si="1"/>
        <v>48.045000000000002</v>
      </c>
      <c r="AV24" s="180">
        <f t="shared" si="1"/>
        <v>48.872</v>
      </c>
      <c r="AW24" s="180">
        <f t="shared" si="1"/>
        <v>49.933999999999997</v>
      </c>
      <c r="AX24" s="180">
        <f t="shared" si="1"/>
        <v>53.643000000000001</v>
      </c>
      <c r="AY24" s="180">
        <f t="shared" si="1"/>
        <v>61.436999999999998</v>
      </c>
      <c r="AZ24" s="180">
        <f t="shared" si="1"/>
        <v>66.506</v>
      </c>
      <c r="BA24" s="180">
        <f t="shared" si="1"/>
        <v>70.378</v>
      </c>
      <c r="BB24" s="180">
        <f t="shared" si="1"/>
        <v>73.483000000000004</v>
      </c>
      <c r="BC24" s="180">
        <f t="shared" si="1"/>
        <v>83.082000000000008</v>
      </c>
      <c r="BD24" s="180">
        <f t="shared" si="1"/>
        <v>92.355999999999995</v>
      </c>
      <c r="BE24" s="180">
        <f t="shared" si="1"/>
        <v>96.489000000000004</v>
      </c>
      <c r="BF24" s="180">
        <f t="shared" si="1"/>
        <v>103.73</v>
      </c>
      <c r="BG24" s="180">
        <f t="shared" si="1"/>
        <v>107.55099999999999</v>
      </c>
      <c r="BH24" s="180">
        <f t="shared" si="1"/>
        <v>111.648</v>
      </c>
      <c r="BI24" s="180">
        <f t="shared" si="1"/>
        <v>121.33200000000001</v>
      </c>
      <c r="BJ24" s="180">
        <f t="shared" si="1"/>
        <v>133.91200000000001</v>
      </c>
      <c r="BK24" s="180">
        <f t="shared" si="1"/>
        <v>146.45500000000001</v>
      </c>
      <c r="BL24" s="180">
        <f t="shared" si="1"/>
        <v>162.80699999999999</v>
      </c>
      <c r="BM24" s="180">
        <f t="shared" si="1"/>
        <v>179.91699999999997</v>
      </c>
      <c r="BN24" s="180">
        <f t="shared" si="1"/>
        <v>202.791</v>
      </c>
      <c r="BO24" s="180">
        <f t="shared" si="1"/>
        <v>222.499</v>
      </c>
    </row>
    <row r="25" spans="2:69" x14ac:dyDescent="0.25">
      <c r="C25" s="75" t="s">
        <v>57</v>
      </c>
      <c r="D25" s="75"/>
      <c r="E25" s="75" t="s">
        <v>531</v>
      </c>
      <c r="F25" s="12">
        <v>0.98699999999999999</v>
      </c>
      <c r="G25" s="12">
        <v>1.163</v>
      </c>
      <c r="H25" s="12">
        <v>1.163</v>
      </c>
      <c r="I25" s="12">
        <v>1.2190000000000001</v>
      </c>
      <c r="J25" s="12">
        <v>1.2190000000000001</v>
      </c>
      <c r="K25" s="12">
        <v>1.0920000000000001</v>
      </c>
      <c r="L25" s="12">
        <v>1.0920000000000001</v>
      </c>
      <c r="M25" s="12">
        <v>0.40600000000000003</v>
      </c>
      <c r="N25" s="12">
        <v>0.41099999999999998</v>
      </c>
      <c r="O25" s="12">
        <v>0.41199999999999998</v>
      </c>
      <c r="P25" s="12">
        <v>0.41199999999999998</v>
      </c>
      <c r="Q25" s="12">
        <v>0.41199999999999998</v>
      </c>
      <c r="R25" s="12">
        <v>0.41199999999999998</v>
      </c>
      <c r="S25" s="12">
        <v>0.41199999999999998</v>
      </c>
      <c r="T25" s="12">
        <v>0.41199999999999998</v>
      </c>
      <c r="U25" s="12">
        <v>0.41199999999999998</v>
      </c>
      <c r="V25" s="12">
        <v>0.41199999999999998</v>
      </c>
      <c r="W25" s="12">
        <v>0.41199999999999998</v>
      </c>
      <c r="X25" s="12">
        <v>0.41</v>
      </c>
      <c r="Y25" s="12">
        <v>0.41199999999999998</v>
      </c>
      <c r="Z25" s="12">
        <v>0.41199999999999998</v>
      </c>
      <c r="AA25" s="12">
        <v>0.38100000000000001</v>
      </c>
      <c r="AB25" s="12">
        <v>0.35199999999999998</v>
      </c>
      <c r="AC25" s="12">
        <v>0.35199999999999998</v>
      </c>
      <c r="AD25" s="12">
        <v>0.35199999999999998</v>
      </c>
      <c r="AE25" s="12">
        <v>0.35199999999999998</v>
      </c>
      <c r="AF25" s="12">
        <v>0.35199999999999998</v>
      </c>
      <c r="AG25" s="12">
        <v>0.35199999999999998</v>
      </c>
      <c r="AH25" s="12">
        <v>0.35199999999999998</v>
      </c>
      <c r="AI25" s="12">
        <v>0.35199999999999998</v>
      </c>
      <c r="AJ25" s="12">
        <v>0.61099999999999999</v>
      </c>
      <c r="AK25" s="12">
        <v>0.61399999999999999</v>
      </c>
      <c r="AL25" s="12">
        <v>0.61399999999999999</v>
      </c>
      <c r="AM25" s="12">
        <v>0.61399999999999999</v>
      </c>
      <c r="AN25" s="12">
        <v>0.61399999999999999</v>
      </c>
      <c r="AO25" s="12">
        <v>0.61399999999999999</v>
      </c>
      <c r="AP25" s="12">
        <v>0.61399999999999999</v>
      </c>
      <c r="AQ25" s="12">
        <v>0.61399999999999999</v>
      </c>
      <c r="AR25" s="12">
        <v>0.61399999999999999</v>
      </c>
      <c r="AS25" s="12">
        <v>0.61399999999999999</v>
      </c>
      <c r="AT25" s="12">
        <v>0.61399999999999999</v>
      </c>
      <c r="AU25" s="12">
        <v>0.61399999999999999</v>
      </c>
      <c r="AV25" s="12">
        <v>0.61399999999999999</v>
      </c>
      <c r="AW25" s="12">
        <v>1.0509999999999999</v>
      </c>
      <c r="AX25" s="12">
        <v>1.133</v>
      </c>
      <c r="AY25" s="12">
        <v>1.2150000000000001</v>
      </c>
      <c r="AZ25" s="12">
        <v>1.2969999999999999</v>
      </c>
      <c r="BA25" s="12">
        <v>1.379</v>
      </c>
      <c r="BB25" s="12">
        <v>1.5529999999999999</v>
      </c>
      <c r="BC25" s="12">
        <v>2.0990000000000002</v>
      </c>
      <c r="BD25" s="12">
        <v>2.33</v>
      </c>
      <c r="BE25" s="12">
        <v>2.5409999999999999</v>
      </c>
      <c r="BF25" s="12">
        <v>2.6960000000000002</v>
      </c>
      <c r="BG25" s="12">
        <v>3.03</v>
      </c>
      <c r="BH25" s="12">
        <v>3.3759999999999999</v>
      </c>
      <c r="BI25" s="12">
        <v>4.7530000000000001</v>
      </c>
      <c r="BJ25" s="12">
        <v>5.9089999999999998</v>
      </c>
      <c r="BK25" s="12">
        <v>7.4080000000000004</v>
      </c>
      <c r="BL25" s="12">
        <v>8.8119999999999994</v>
      </c>
      <c r="BM25" s="12">
        <v>10.417</v>
      </c>
      <c r="BN25" s="12">
        <v>12.365</v>
      </c>
      <c r="BO25" s="12">
        <v>12.48</v>
      </c>
      <c r="BQ25" s="1"/>
    </row>
    <row r="26" spans="2:69" x14ac:dyDescent="0.25">
      <c r="C26" s="75" t="s">
        <v>58</v>
      </c>
      <c r="D26" s="75"/>
      <c r="E26" s="75" t="s">
        <v>532</v>
      </c>
      <c r="F26" s="12">
        <v>6.9470000000000001</v>
      </c>
      <c r="G26" s="12">
        <v>7.36</v>
      </c>
      <c r="H26" s="12">
        <v>8.077</v>
      </c>
      <c r="I26" s="12">
        <v>5.8179999999999996</v>
      </c>
      <c r="J26" s="12">
        <v>6.9139999999999997</v>
      </c>
      <c r="K26" s="12">
        <v>11.728</v>
      </c>
      <c r="L26" s="12">
        <v>12.491</v>
      </c>
      <c r="M26" s="12">
        <v>13.156000000000001</v>
      </c>
      <c r="N26" s="12">
        <v>12.992000000000001</v>
      </c>
      <c r="O26" s="12">
        <v>12.71</v>
      </c>
      <c r="P26" s="12">
        <v>13.579000000000001</v>
      </c>
      <c r="Q26" s="12">
        <v>13.512</v>
      </c>
      <c r="R26" s="12">
        <v>13.792</v>
      </c>
      <c r="S26" s="12">
        <v>14.173999999999999</v>
      </c>
      <c r="T26" s="12">
        <v>12.718999999999999</v>
      </c>
      <c r="U26" s="12">
        <v>15.044</v>
      </c>
      <c r="V26" s="12">
        <v>15.531000000000001</v>
      </c>
      <c r="W26" s="12">
        <v>15.289</v>
      </c>
      <c r="X26" s="12">
        <v>14.589</v>
      </c>
      <c r="Y26" s="12">
        <v>15.391999999999999</v>
      </c>
      <c r="Z26" s="12">
        <v>14.815</v>
      </c>
      <c r="AA26" s="12">
        <v>14.106999999999999</v>
      </c>
      <c r="AB26" s="12">
        <v>13.629</v>
      </c>
      <c r="AC26" s="12">
        <v>12.967000000000001</v>
      </c>
      <c r="AD26" s="12">
        <v>13.749000000000001</v>
      </c>
      <c r="AE26" s="12">
        <v>13.433999999999999</v>
      </c>
      <c r="AF26" s="12">
        <v>12.952</v>
      </c>
      <c r="AG26" s="12">
        <v>18.28</v>
      </c>
      <c r="AH26" s="12">
        <v>30.902000000000001</v>
      </c>
      <c r="AI26" s="12">
        <v>31.452999999999999</v>
      </c>
      <c r="AJ26" s="12">
        <v>30.388000000000002</v>
      </c>
      <c r="AK26" s="12">
        <v>29.77</v>
      </c>
      <c r="AL26" s="12">
        <v>30.274000000000001</v>
      </c>
      <c r="AM26" s="12">
        <v>30.195</v>
      </c>
      <c r="AN26" s="12">
        <v>29.797999999999998</v>
      </c>
      <c r="AO26" s="12">
        <v>30.902000000000001</v>
      </c>
      <c r="AP26" s="12">
        <v>29.376999999999999</v>
      </c>
      <c r="AQ26" s="12">
        <v>28.805</v>
      </c>
      <c r="AR26" s="12">
        <v>28.076000000000001</v>
      </c>
      <c r="AS26" s="12">
        <v>27.024999999999999</v>
      </c>
      <c r="AT26" s="12">
        <v>25.876999999999999</v>
      </c>
      <c r="AU26" s="12">
        <v>25.25</v>
      </c>
      <c r="AV26" s="12">
        <v>24.416</v>
      </c>
      <c r="AW26" s="12">
        <v>23.792999999999999</v>
      </c>
      <c r="AX26" s="12">
        <v>23.071999999999999</v>
      </c>
      <c r="AY26" s="12">
        <v>27.898</v>
      </c>
      <c r="AZ26" s="12">
        <v>26.983000000000001</v>
      </c>
      <c r="BA26" s="12">
        <v>25.66</v>
      </c>
      <c r="BB26" s="12">
        <v>25.3</v>
      </c>
      <c r="BC26" s="12">
        <v>24.6</v>
      </c>
      <c r="BD26" s="12">
        <v>24.452999999999999</v>
      </c>
      <c r="BE26" s="12">
        <v>23.611999999999998</v>
      </c>
      <c r="BF26" s="12">
        <v>24.745000000000001</v>
      </c>
      <c r="BG26" s="12">
        <v>24.457000000000001</v>
      </c>
      <c r="BH26" s="12">
        <v>23.010999999999999</v>
      </c>
      <c r="BI26" s="12">
        <v>22.693999999999999</v>
      </c>
      <c r="BJ26" s="12">
        <v>23.422999999999998</v>
      </c>
      <c r="BK26" s="12">
        <v>22.742999999999999</v>
      </c>
      <c r="BL26" s="12">
        <v>22.847999999999999</v>
      </c>
      <c r="BM26" s="12">
        <v>22.638999999999999</v>
      </c>
      <c r="BN26" s="12">
        <v>23.97</v>
      </c>
      <c r="BO26" s="12">
        <v>28.956</v>
      </c>
      <c r="BQ26" s="1"/>
    </row>
    <row r="27" spans="2:69" x14ac:dyDescent="0.25">
      <c r="C27" s="75" t="s">
        <v>59</v>
      </c>
      <c r="D27" s="75"/>
      <c r="E27" s="75" t="s">
        <v>533</v>
      </c>
      <c r="F27" s="12">
        <v>0</v>
      </c>
      <c r="G27" s="12">
        <v>0</v>
      </c>
      <c r="H27" s="12">
        <v>0</v>
      </c>
      <c r="I27" s="12">
        <v>2.4460000000000002</v>
      </c>
      <c r="J27" s="12">
        <v>2.484</v>
      </c>
      <c r="K27" s="12">
        <v>2.5880000000000001</v>
      </c>
      <c r="L27" s="12">
        <v>2.5470000000000002</v>
      </c>
      <c r="M27" s="12">
        <v>3.129</v>
      </c>
      <c r="N27" s="12">
        <v>3.0089999999999999</v>
      </c>
      <c r="O27" s="12">
        <v>2.984</v>
      </c>
      <c r="P27" s="12">
        <v>3.7890000000000001</v>
      </c>
      <c r="Q27" s="12">
        <v>3.9159999999999999</v>
      </c>
      <c r="R27" s="12">
        <v>3.7679999999999998</v>
      </c>
      <c r="S27" s="12">
        <v>3.9740000000000002</v>
      </c>
      <c r="T27" s="12">
        <v>4.6189999999999998</v>
      </c>
      <c r="U27" s="12">
        <v>4.6260000000000003</v>
      </c>
      <c r="V27" s="12">
        <v>4.4459999999999997</v>
      </c>
      <c r="W27" s="12">
        <v>4.7699999999999996</v>
      </c>
      <c r="X27" s="12">
        <v>6.3689999999999998</v>
      </c>
      <c r="Y27" s="12">
        <v>6.4939999999999998</v>
      </c>
      <c r="Z27" s="12">
        <v>7.0780000000000003</v>
      </c>
      <c r="AA27" s="12">
        <v>6.9169999999999998</v>
      </c>
      <c r="AB27" s="12">
        <v>8.0640000000000001</v>
      </c>
      <c r="AC27" s="12">
        <v>8.33</v>
      </c>
      <c r="AD27" s="12">
        <v>8.3819999999999997</v>
      </c>
      <c r="AE27" s="12">
        <v>9.0389999999999997</v>
      </c>
      <c r="AF27" s="12">
        <v>10.638</v>
      </c>
      <c r="AG27" s="12">
        <v>12.238</v>
      </c>
      <c r="AH27" s="12">
        <v>12.393000000000001</v>
      </c>
      <c r="AI27" s="12">
        <v>12.345000000000001</v>
      </c>
      <c r="AJ27" s="12">
        <v>14.212999999999999</v>
      </c>
      <c r="AK27" s="12">
        <v>14.484999999999999</v>
      </c>
      <c r="AL27" s="12">
        <v>14.439</v>
      </c>
      <c r="AM27" s="12">
        <v>15.372</v>
      </c>
      <c r="AN27" s="12">
        <v>15.02</v>
      </c>
      <c r="AO27" s="12">
        <v>16.135999999999999</v>
      </c>
      <c r="AP27" s="12">
        <v>16.382999999999999</v>
      </c>
      <c r="AQ27" s="12">
        <v>16.542999999999999</v>
      </c>
      <c r="AR27" s="12">
        <v>18.841000000000001</v>
      </c>
      <c r="AS27" s="12">
        <v>21.55</v>
      </c>
      <c r="AT27" s="12">
        <v>21.38</v>
      </c>
      <c r="AU27" s="12">
        <v>22.181000000000001</v>
      </c>
      <c r="AV27" s="12">
        <v>23.841999999999999</v>
      </c>
      <c r="AW27" s="12">
        <v>25.09</v>
      </c>
      <c r="AX27" s="12">
        <v>29.437999999999999</v>
      </c>
      <c r="AY27" s="12">
        <v>32.323999999999998</v>
      </c>
      <c r="AZ27" s="12">
        <v>38.225999999999999</v>
      </c>
      <c r="BA27" s="12">
        <v>43.338999999999999</v>
      </c>
      <c r="BB27" s="12">
        <v>46.63</v>
      </c>
      <c r="BC27" s="12">
        <v>56.383000000000003</v>
      </c>
      <c r="BD27" s="12">
        <v>65.572999999999993</v>
      </c>
      <c r="BE27" s="12">
        <v>70.335999999999999</v>
      </c>
      <c r="BF27" s="12">
        <v>76.289000000000001</v>
      </c>
      <c r="BG27" s="12">
        <v>80.063999999999993</v>
      </c>
      <c r="BH27" s="12">
        <v>85.260999999999996</v>
      </c>
      <c r="BI27" s="12">
        <v>93.885000000000005</v>
      </c>
      <c r="BJ27" s="12">
        <v>104.58</v>
      </c>
      <c r="BK27" s="12">
        <v>116.304</v>
      </c>
      <c r="BL27" s="12">
        <v>131.14699999999999</v>
      </c>
      <c r="BM27" s="12">
        <v>146.86099999999999</v>
      </c>
      <c r="BN27" s="12">
        <v>166.45599999999999</v>
      </c>
      <c r="BO27" s="12">
        <v>181.06299999999999</v>
      </c>
      <c r="BQ27" s="1"/>
    </row>
    <row r="28" spans="2:69" x14ac:dyDescent="0.25">
      <c r="C28" s="75" t="s">
        <v>61</v>
      </c>
      <c r="D28" s="75"/>
      <c r="E28" s="75" t="s">
        <v>534</v>
      </c>
      <c r="F28" s="12">
        <v>1.8540000000000001</v>
      </c>
      <c r="G28" s="12">
        <v>2.4569999999999999</v>
      </c>
      <c r="H28" s="12">
        <v>2.4950000000000001</v>
      </c>
      <c r="I28" s="12">
        <v>2.2839999999999998</v>
      </c>
      <c r="J28" s="12">
        <v>2.073</v>
      </c>
      <c r="K28" s="12">
        <v>1.861</v>
      </c>
      <c r="L28" s="12">
        <v>1.65</v>
      </c>
      <c r="M28" s="12">
        <v>1.4390000000000001</v>
      </c>
      <c r="N28" s="12">
        <v>1.2270000000000001</v>
      </c>
      <c r="O28" s="12">
        <v>1.0900000000000001</v>
      </c>
      <c r="P28" s="12">
        <v>0.98899999999999999</v>
      </c>
      <c r="Q28" s="12">
        <v>0.89</v>
      </c>
      <c r="R28" s="12">
        <v>0.79100000000000004</v>
      </c>
      <c r="S28" s="12">
        <v>0.69199999999999995</v>
      </c>
      <c r="T28" s="12">
        <v>0.59399999999999997</v>
      </c>
      <c r="U28" s="12">
        <v>0.495</v>
      </c>
      <c r="V28" s="12">
        <v>0.39700000000000002</v>
      </c>
      <c r="W28" s="12">
        <v>0.29799999999999999</v>
      </c>
      <c r="X28" s="12">
        <v>0.217</v>
      </c>
      <c r="Y28" s="12">
        <v>0.14099999999999999</v>
      </c>
      <c r="Z28" s="12">
        <v>7.1999999999999995E-2</v>
      </c>
      <c r="AA28" s="12">
        <v>3.4000000000000002E-2</v>
      </c>
      <c r="AB28" s="12">
        <v>2.9000000000000001E-2</v>
      </c>
      <c r="AC28" s="12">
        <v>2.9000000000000001E-2</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0</v>
      </c>
      <c r="AX28" s="12">
        <v>0</v>
      </c>
      <c r="AY28" s="12">
        <v>0</v>
      </c>
      <c r="AZ28" s="12">
        <v>0</v>
      </c>
      <c r="BA28" s="12">
        <v>0</v>
      </c>
      <c r="BB28" s="12">
        <v>0</v>
      </c>
      <c r="BC28" s="12">
        <v>0</v>
      </c>
      <c r="BD28" s="12">
        <v>0</v>
      </c>
      <c r="BE28" s="12">
        <v>0</v>
      </c>
      <c r="BF28" s="12">
        <v>0</v>
      </c>
      <c r="BG28" s="12">
        <v>0</v>
      </c>
      <c r="BH28" s="12">
        <v>0</v>
      </c>
      <c r="BI28" s="12">
        <v>0</v>
      </c>
      <c r="BJ28" s="12">
        <v>0</v>
      </c>
      <c r="BK28" s="12">
        <v>0</v>
      </c>
      <c r="BL28" s="12">
        <v>0</v>
      </c>
      <c r="BM28" s="12">
        <v>0</v>
      </c>
      <c r="BN28" s="12">
        <v>0</v>
      </c>
      <c r="BO28" s="12">
        <v>0</v>
      </c>
      <c r="BQ28" s="1"/>
    </row>
    <row r="29" spans="2:69" x14ac:dyDescent="0.25">
      <c r="C29" s="75"/>
      <c r="D29" s="7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7"/>
      <c r="AX29" s="137"/>
      <c r="AY29" s="13"/>
      <c r="AZ29" s="13"/>
      <c r="BA29" s="13"/>
      <c r="BB29" s="13"/>
      <c r="BC29" s="13"/>
      <c r="BD29" s="13"/>
      <c r="BE29" s="13"/>
      <c r="BF29" s="13"/>
      <c r="BG29" s="13"/>
      <c r="BH29" s="13"/>
      <c r="BI29" s="13"/>
      <c r="BJ29" s="13"/>
      <c r="BK29" s="13"/>
      <c r="BL29" s="13"/>
      <c r="BM29" s="13"/>
      <c r="BN29" s="13"/>
      <c r="BO29" s="13"/>
      <c r="BQ29" s="1"/>
    </row>
    <row r="30" spans="2:69" s="1" customFormat="1" x14ac:dyDescent="0.25">
      <c r="B30" s="157" t="s">
        <v>62</v>
      </c>
      <c r="C30" s="158"/>
      <c r="D30" s="158"/>
      <c r="E30" s="157" t="s">
        <v>518</v>
      </c>
      <c r="F30" s="159">
        <f t="shared" ref="F30:BO30" si="2">F15+F24</f>
        <v>5882.204999999999</v>
      </c>
      <c r="G30" s="159">
        <f t="shared" si="2"/>
        <v>6309.5429999999997</v>
      </c>
      <c r="H30" s="159">
        <f t="shared" si="2"/>
        <v>7684.4090000000006</v>
      </c>
      <c r="I30" s="159">
        <f t="shared" si="2"/>
        <v>7494.9210000000003</v>
      </c>
      <c r="J30" s="159">
        <f t="shared" si="2"/>
        <v>6887.7619999999988</v>
      </c>
      <c r="K30" s="159">
        <f t="shared" si="2"/>
        <v>6619.6559999999999</v>
      </c>
      <c r="L30" s="159">
        <f t="shared" si="2"/>
        <v>7467.1109999999999</v>
      </c>
      <c r="M30" s="159">
        <f t="shared" si="2"/>
        <v>7377.2240000000011</v>
      </c>
      <c r="N30" s="159">
        <f t="shared" si="2"/>
        <v>8156.0829999999996</v>
      </c>
      <c r="O30" s="159">
        <f t="shared" si="2"/>
        <v>9699.1020000000008</v>
      </c>
      <c r="P30" s="159">
        <f t="shared" si="2"/>
        <v>9839.116</v>
      </c>
      <c r="Q30" s="159">
        <f t="shared" si="2"/>
        <v>9816.887999999999</v>
      </c>
      <c r="R30" s="159">
        <f t="shared" si="2"/>
        <v>9805.3100000000013</v>
      </c>
      <c r="S30" s="159">
        <f t="shared" si="2"/>
        <v>10251.778</v>
      </c>
      <c r="T30" s="159">
        <f t="shared" si="2"/>
        <v>11642.142</v>
      </c>
      <c r="U30" s="159">
        <f t="shared" si="2"/>
        <v>10510.814999999999</v>
      </c>
      <c r="V30" s="159">
        <f t="shared" si="2"/>
        <v>11628.742</v>
      </c>
      <c r="W30" s="159">
        <f t="shared" si="2"/>
        <v>12909.774000000001</v>
      </c>
      <c r="X30" s="159">
        <f t="shared" si="2"/>
        <v>13153.805</v>
      </c>
      <c r="Y30" s="159">
        <f t="shared" si="2"/>
        <v>13483.126</v>
      </c>
      <c r="Z30" s="159">
        <f t="shared" si="2"/>
        <v>13973.894</v>
      </c>
      <c r="AA30" s="159">
        <f t="shared" si="2"/>
        <v>16381.821000000002</v>
      </c>
      <c r="AB30" s="159">
        <f t="shared" si="2"/>
        <v>17195.204000000002</v>
      </c>
      <c r="AC30" s="159">
        <f t="shared" si="2"/>
        <v>17259.744999999999</v>
      </c>
      <c r="AD30" s="253">
        <f t="shared" si="2"/>
        <v>18393.710999999999</v>
      </c>
      <c r="AE30" s="159">
        <f t="shared" si="2"/>
        <v>18229.173000000003</v>
      </c>
      <c r="AF30" s="253">
        <f t="shared" si="2"/>
        <v>19211.969999999998</v>
      </c>
      <c r="AG30" s="253">
        <f t="shared" si="2"/>
        <v>20740.423999999999</v>
      </c>
      <c r="AH30" s="253">
        <f t="shared" si="2"/>
        <v>23115.883000000002</v>
      </c>
      <c r="AI30" s="253">
        <f t="shared" si="2"/>
        <v>23073.813000000002</v>
      </c>
      <c r="AJ30" s="253">
        <f t="shared" si="2"/>
        <v>26488.017</v>
      </c>
      <c r="AK30" s="253">
        <f t="shared" si="2"/>
        <v>24212.409999999996</v>
      </c>
      <c r="AL30" s="253">
        <f t="shared" si="2"/>
        <v>23445.019000000004</v>
      </c>
      <c r="AM30" s="253">
        <f t="shared" si="2"/>
        <v>22721.7</v>
      </c>
      <c r="AN30" s="253">
        <f t="shared" si="2"/>
        <v>23543.136999999999</v>
      </c>
      <c r="AO30" s="253">
        <f t="shared" si="2"/>
        <v>25678.161999999993</v>
      </c>
      <c r="AP30" s="253">
        <f t="shared" si="2"/>
        <v>26191.982</v>
      </c>
      <c r="AQ30" s="253">
        <f t="shared" si="2"/>
        <v>26549.171999999999</v>
      </c>
      <c r="AR30" s="159">
        <f t="shared" si="2"/>
        <v>26988.587999999996</v>
      </c>
      <c r="AS30" s="159">
        <f t="shared" si="2"/>
        <v>28767.785</v>
      </c>
      <c r="AT30" s="159">
        <f t="shared" si="2"/>
        <v>28362.555999999997</v>
      </c>
      <c r="AU30" s="159">
        <f t="shared" si="2"/>
        <v>30923.041000000001</v>
      </c>
      <c r="AV30" s="159">
        <f t="shared" si="2"/>
        <v>31329.946999999996</v>
      </c>
      <c r="AW30" s="159">
        <f t="shared" si="2"/>
        <v>32728.776000000002</v>
      </c>
      <c r="AX30" s="159">
        <f t="shared" si="2"/>
        <v>34406.305599999992</v>
      </c>
      <c r="AY30" s="159">
        <f t="shared" si="2"/>
        <v>35412.621136859998</v>
      </c>
      <c r="AZ30" s="159">
        <f t="shared" si="2"/>
        <v>37079.846006380001</v>
      </c>
      <c r="BA30" s="159">
        <f t="shared" si="2"/>
        <v>36257.229737139998</v>
      </c>
      <c r="BB30" s="159">
        <f t="shared" si="2"/>
        <v>49645.713869909996</v>
      </c>
      <c r="BC30" s="159">
        <f t="shared" si="2"/>
        <v>49868.571000000011</v>
      </c>
      <c r="BD30" s="159">
        <f t="shared" si="2"/>
        <v>46154.238000000005</v>
      </c>
      <c r="BE30" s="159">
        <f t="shared" si="2"/>
        <v>43328.840999999993</v>
      </c>
      <c r="BF30" s="159">
        <f t="shared" si="2"/>
        <v>48700.95900000001</v>
      </c>
      <c r="BG30" s="159">
        <f t="shared" si="2"/>
        <v>44456.063999999998</v>
      </c>
      <c r="BH30" s="159">
        <f t="shared" si="2"/>
        <v>50115.18499999999</v>
      </c>
      <c r="BI30" s="159">
        <f t="shared" si="2"/>
        <v>49565.970000000008</v>
      </c>
      <c r="BJ30" s="159">
        <f t="shared" si="2"/>
        <v>46285.495999999999</v>
      </c>
      <c r="BK30" s="159">
        <f t="shared" si="2"/>
        <v>50954.580999999998</v>
      </c>
      <c r="BL30" s="159">
        <f t="shared" si="2"/>
        <v>52616.156999999999</v>
      </c>
      <c r="BM30" s="159">
        <f t="shared" si="2"/>
        <v>57408.843999999997</v>
      </c>
      <c r="BN30" s="159">
        <f t="shared" si="2"/>
        <v>54154.88700000001</v>
      </c>
      <c r="BO30" s="159">
        <f t="shared" si="2"/>
        <v>54930.563000000009</v>
      </c>
    </row>
    <row r="31" spans="2:69" x14ac:dyDescent="0.25">
      <c r="B31" s="27"/>
      <c r="C31" s="27"/>
      <c r="D31" s="27"/>
      <c r="E31" s="27"/>
      <c r="BQ31" s="1"/>
    </row>
    <row r="32" spans="2:69" x14ac:dyDescent="0.25">
      <c r="B32" s="27"/>
      <c r="C32" s="27"/>
      <c r="D32" s="27"/>
      <c r="E32" s="27"/>
      <c r="BQ32" s="1"/>
    </row>
    <row r="33" spans="2:69" ht="15.75" x14ac:dyDescent="0.25">
      <c r="B33" s="74" t="s">
        <v>72</v>
      </c>
      <c r="C33" s="74"/>
      <c r="D33" s="74"/>
      <c r="E33" s="74" t="s">
        <v>519</v>
      </c>
      <c r="BQ33" s="1"/>
    </row>
    <row r="34" spans="2:69" ht="5.0999999999999996" customHeight="1" x14ac:dyDescent="0.25">
      <c r="B34" s="74"/>
      <c r="C34" s="74"/>
      <c r="D34" s="74"/>
      <c r="E34" s="74"/>
      <c r="BQ34" s="1"/>
    </row>
    <row r="35" spans="2:69" s="1" customFormat="1" x14ac:dyDescent="0.25">
      <c r="B35" s="178" t="s">
        <v>63</v>
      </c>
      <c r="C35" s="179"/>
      <c r="D35" s="179"/>
      <c r="E35" s="178" t="s">
        <v>520</v>
      </c>
      <c r="F35" s="180">
        <f>SUM(F36:F44)</f>
        <v>4768.3150000000005</v>
      </c>
      <c r="G35" s="180">
        <f t="shared" ref="G35:BO35" si="3">SUM(G36:G44)</f>
        <v>5170.621000000001</v>
      </c>
      <c r="H35" s="180">
        <f t="shared" si="3"/>
        <v>6518.799</v>
      </c>
      <c r="I35" s="180">
        <f t="shared" si="3"/>
        <v>6324.6090000000004</v>
      </c>
      <c r="J35" s="180">
        <f t="shared" si="3"/>
        <v>5702.6730000000007</v>
      </c>
      <c r="K35" s="180">
        <f t="shared" si="3"/>
        <v>5447.7110000000002</v>
      </c>
      <c r="L35" s="180">
        <f t="shared" si="3"/>
        <v>6268.7960000000012</v>
      </c>
      <c r="M35" s="180">
        <f t="shared" si="3"/>
        <v>6140.0919999999996</v>
      </c>
      <c r="N35" s="180">
        <f t="shared" si="3"/>
        <v>6890.9339999999993</v>
      </c>
      <c r="O35" s="180">
        <f t="shared" si="3"/>
        <v>8402.5439999999999</v>
      </c>
      <c r="P35" s="180">
        <f t="shared" si="3"/>
        <v>8509.4490000000005</v>
      </c>
      <c r="Q35" s="180">
        <f t="shared" si="3"/>
        <v>8449.33</v>
      </c>
      <c r="R35" s="180">
        <f t="shared" si="3"/>
        <v>8399.4010000000017</v>
      </c>
      <c r="S35" s="180">
        <f t="shared" si="3"/>
        <v>8808.8389999999999</v>
      </c>
      <c r="T35" s="180">
        <f t="shared" si="3"/>
        <v>10162.492999999999</v>
      </c>
      <c r="U35" s="180">
        <f t="shared" si="3"/>
        <v>8989.3630000000012</v>
      </c>
      <c r="V35" s="180">
        <f t="shared" si="3"/>
        <v>10070.315999999999</v>
      </c>
      <c r="W35" s="180">
        <f t="shared" si="3"/>
        <v>11324.144</v>
      </c>
      <c r="X35" s="180">
        <f t="shared" si="3"/>
        <v>11493.901000000002</v>
      </c>
      <c r="Y35" s="180">
        <f t="shared" si="3"/>
        <v>11778.347</v>
      </c>
      <c r="Z35" s="180">
        <f t="shared" si="3"/>
        <v>12191.321</v>
      </c>
      <c r="AA35" s="180">
        <f t="shared" si="3"/>
        <v>14562.834000000001</v>
      </c>
      <c r="AB35" s="180">
        <f t="shared" si="3"/>
        <v>15300.453999999998</v>
      </c>
      <c r="AC35" s="180">
        <f t="shared" si="3"/>
        <v>15312.214</v>
      </c>
      <c r="AD35" s="180">
        <f t="shared" si="3"/>
        <v>16377.112999999998</v>
      </c>
      <c r="AE35" s="180">
        <f t="shared" si="3"/>
        <v>16169.901999999998</v>
      </c>
      <c r="AF35" s="180">
        <f t="shared" si="3"/>
        <v>17059.651999999998</v>
      </c>
      <c r="AG35" s="180">
        <f t="shared" si="3"/>
        <v>18524.958000000002</v>
      </c>
      <c r="AH35" s="180">
        <f t="shared" si="3"/>
        <v>20817.962000000003</v>
      </c>
      <c r="AI35" s="180">
        <f t="shared" si="3"/>
        <v>20714.318000000003</v>
      </c>
      <c r="AJ35" s="180">
        <f t="shared" si="3"/>
        <v>24022.525000000001</v>
      </c>
      <c r="AK35" s="180">
        <f t="shared" si="3"/>
        <v>21673.177</v>
      </c>
      <c r="AL35" s="180">
        <f t="shared" si="3"/>
        <v>20789.256999999998</v>
      </c>
      <c r="AM35" s="180">
        <f t="shared" si="3"/>
        <v>20003.177</v>
      </c>
      <c r="AN35" s="180">
        <f t="shared" si="3"/>
        <v>20683.109</v>
      </c>
      <c r="AO35" s="180">
        <f t="shared" si="3"/>
        <v>22750.870000000003</v>
      </c>
      <c r="AP35" s="180">
        <f t="shared" si="3"/>
        <v>23129.978000000003</v>
      </c>
      <c r="AQ35" s="180">
        <f t="shared" si="3"/>
        <v>23431.085000000003</v>
      </c>
      <c r="AR35" s="180">
        <f t="shared" si="3"/>
        <v>23734.678</v>
      </c>
      <c r="AS35" s="180">
        <f t="shared" si="3"/>
        <v>25450.817999999999</v>
      </c>
      <c r="AT35" s="180">
        <f t="shared" si="3"/>
        <v>24911.423999999999</v>
      </c>
      <c r="AU35" s="180">
        <f t="shared" si="3"/>
        <v>27444.245999999999</v>
      </c>
      <c r="AV35" s="180">
        <f t="shared" si="3"/>
        <v>27680.021000000001</v>
      </c>
      <c r="AW35" s="180">
        <f t="shared" si="3"/>
        <v>29032.350999999995</v>
      </c>
      <c r="AX35" s="180">
        <f t="shared" si="3"/>
        <v>30554.757000000001</v>
      </c>
      <c r="AY35" s="180">
        <f t="shared" si="3"/>
        <v>31502.484136859999</v>
      </c>
      <c r="AZ35" s="180">
        <f t="shared" si="3"/>
        <v>33099.05600638</v>
      </c>
      <c r="BA35" s="180">
        <f t="shared" si="3"/>
        <v>32193.77273714</v>
      </c>
      <c r="BB35" s="180">
        <f t="shared" si="3"/>
        <v>45577.442869910003</v>
      </c>
      <c r="BC35" s="180">
        <f t="shared" si="3"/>
        <v>45749.424999999996</v>
      </c>
      <c r="BD35" s="180">
        <f t="shared" si="3"/>
        <v>41942.946000000004</v>
      </c>
      <c r="BE35" s="180">
        <f t="shared" si="3"/>
        <v>39018.233</v>
      </c>
      <c r="BF35" s="180">
        <f t="shared" si="3"/>
        <v>44291.967000000004</v>
      </c>
      <c r="BG35" s="180">
        <f t="shared" si="3"/>
        <v>39976.569000000003</v>
      </c>
      <c r="BH35" s="180">
        <f t="shared" si="3"/>
        <v>45539.315000000002</v>
      </c>
      <c r="BI35" s="180">
        <f t="shared" si="3"/>
        <v>44877.173999999999</v>
      </c>
      <c r="BJ35" s="180">
        <f t="shared" si="3"/>
        <v>41510.308999999994</v>
      </c>
      <c r="BK35" s="180">
        <f t="shared" si="3"/>
        <v>46042.565000000002</v>
      </c>
      <c r="BL35" s="180">
        <f t="shared" si="3"/>
        <v>47544.096000000005</v>
      </c>
      <c r="BM35" s="180">
        <f t="shared" si="3"/>
        <v>52201.440999999999</v>
      </c>
      <c r="BN35" s="180">
        <f t="shared" si="3"/>
        <v>48850.628999999994</v>
      </c>
      <c r="BO35" s="180">
        <f t="shared" si="3"/>
        <v>49507.841000000008</v>
      </c>
    </row>
    <row r="36" spans="2:69" x14ac:dyDescent="0.25">
      <c r="C36" s="75" t="s">
        <v>64</v>
      </c>
      <c r="D36" s="75"/>
      <c r="E36" s="75" t="s">
        <v>535</v>
      </c>
      <c r="F36" s="12">
        <v>2054.7339999999999</v>
      </c>
      <c r="G36" s="12">
        <v>2602.0450000000001</v>
      </c>
      <c r="H36" s="12">
        <v>2448.0700000000002</v>
      </c>
      <c r="I36" s="12">
        <v>2479.9839999999999</v>
      </c>
      <c r="J36" s="12">
        <v>2450.6120000000001</v>
      </c>
      <c r="K36" s="12">
        <v>2661.6529999999998</v>
      </c>
      <c r="L36" s="12">
        <v>2916.3090000000002</v>
      </c>
      <c r="M36" s="12">
        <v>3023.076</v>
      </c>
      <c r="N36" s="12">
        <v>3242.3290000000002</v>
      </c>
      <c r="O36" s="12">
        <v>3144.4459999999999</v>
      </c>
      <c r="P36" s="12">
        <v>2517.7150000000001</v>
      </c>
      <c r="Q36" s="12">
        <v>2936.4189999999999</v>
      </c>
      <c r="R36" s="12">
        <v>2970.6179999999999</v>
      </c>
      <c r="S36" s="12">
        <v>2891.5079999999998</v>
      </c>
      <c r="T36" s="12">
        <v>3044.6860000000001</v>
      </c>
      <c r="U36" s="12">
        <v>3315.759</v>
      </c>
      <c r="V36" s="12">
        <v>3652.3139999999999</v>
      </c>
      <c r="W36" s="12">
        <v>3677.9549999999999</v>
      </c>
      <c r="X36" s="12">
        <v>3937.3009999999999</v>
      </c>
      <c r="Y36" s="12">
        <v>3730.7370000000001</v>
      </c>
      <c r="Z36" s="12">
        <v>3361.5070000000001</v>
      </c>
      <c r="AA36" s="12">
        <v>3659.4319999999998</v>
      </c>
      <c r="AB36" s="12">
        <v>3445.7359999999999</v>
      </c>
      <c r="AC36" s="12">
        <v>3562.3829999999998</v>
      </c>
      <c r="AD36" s="12">
        <v>4648.68</v>
      </c>
      <c r="AE36" s="12">
        <v>4496.6030000000001</v>
      </c>
      <c r="AF36" s="12">
        <v>4543.9489999999996</v>
      </c>
      <c r="AG36" s="12">
        <v>4794.3950000000004</v>
      </c>
      <c r="AH36" s="12">
        <v>4667.6120000000001</v>
      </c>
      <c r="AI36" s="12">
        <v>5133.9089999999997</v>
      </c>
      <c r="AJ36" s="12">
        <v>5105.9480000000003</v>
      </c>
      <c r="AK36" s="12">
        <v>4594.1959999999999</v>
      </c>
      <c r="AL36" s="12">
        <v>3777.9659999999999</v>
      </c>
      <c r="AM36" s="12">
        <v>3755.857</v>
      </c>
      <c r="AN36" s="12">
        <v>4337.6350000000002</v>
      </c>
      <c r="AO36" s="12">
        <v>5340.0990000000002</v>
      </c>
      <c r="AP36" s="12">
        <v>5983.451</v>
      </c>
      <c r="AQ36" s="12">
        <v>6154.9219999999996</v>
      </c>
      <c r="AR36" s="12">
        <v>6339.0479999999998</v>
      </c>
      <c r="AS36" s="12">
        <v>6050.2439999999997</v>
      </c>
      <c r="AT36" s="12">
        <v>5723.5420000000004</v>
      </c>
      <c r="AU36" s="12">
        <v>5414.6009999999997</v>
      </c>
      <c r="AV36" s="12">
        <v>5348.5780000000004</v>
      </c>
      <c r="AW36" s="12">
        <v>6191.7820000000002</v>
      </c>
      <c r="AX36" s="12">
        <v>5521.5159999999996</v>
      </c>
      <c r="AY36" s="12">
        <v>4600.4030000000002</v>
      </c>
      <c r="AZ36" s="12">
        <v>4749.8310000000001</v>
      </c>
      <c r="BA36" s="12">
        <v>5693.67</v>
      </c>
      <c r="BB36" s="12">
        <v>5973.0450000000001</v>
      </c>
      <c r="BC36" s="12">
        <v>7325.6819999999998</v>
      </c>
      <c r="BD36" s="12">
        <v>9799.9110000000001</v>
      </c>
      <c r="BE36" s="12">
        <v>10155.328</v>
      </c>
      <c r="BF36" s="12">
        <v>10088.439</v>
      </c>
      <c r="BG36" s="12">
        <v>8587.0660000000007</v>
      </c>
      <c r="BH36" s="12">
        <v>8877.2240000000002</v>
      </c>
      <c r="BI36" s="12">
        <v>7955.799</v>
      </c>
      <c r="BJ36" s="12">
        <v>8568.0419999999995</v>
      </c>
      <c r="BK36" s="12">
        <v>8761.6579999999994</v>
      </c>
      <c r="BL36" s="12">
        <v>10007.044</v>
      </c>
      <c r="BM36" s="12">
        <v>10354.303</v>
      </c>
      <c r="BN36" s="12">
        <v>9315.7939999999999</v>
      </c>
      <c r="BO36" s="12">
        <v>8062.1180000000004</v>
      </c>
      <c r="BQ36" s="1"/>
    </row>
    <row r="37" spans="2:69" x14ac:dyDescent="0.25">
      <c r="C37" s="75" t="s">
        <v>271</v>
      </c>
      <c r="D37" s="75"/>
      <c r="E37" s="75" t="s">
        <v>536</v>
      </c>
      <c r="F37" s="12">
        <v>238.23599999999999</v>
      </c>
      <c r="G37" s="12">
        <v>49.107999999999997</v>
      </c>
      <c r="H37" s="12">
        <v>82.507999999999996</v>
      </c>
      <c r="I37" s="12">
        <v>0</v>
      </c>
      <c r="J37" s="12">
        <v>123.9</v>
      </c>
      <c r="K37" s="12">
        <v>19.998999999999999</v>
      </c>
      <c r="L37" s="12">
        <v>0</v>
      </c>
      <c r="M37" s="12">
        <v>0</v>
      </c>
      <c r="N37" s="12">
        <v>55.960999999999999</v>
      </c>
      <c r="O37" s="12">
        <v>140.196</v>
      </c>
      <c r="P37" s="12">
        <v>267.38600000000002</v>
      </c>
      <c r="Q37" s="12">
        <v>0</v>
      </c>
      <c r="R37" s="12">
        <v>0</v>
      </c>
      <c r="S37" s="12">
        <v>185.00299999999999</v>
      </c>
      <c r="T37" s="12">
        <v>114.999</v>
      </c>
      <c r="U37" s="12">
        <v>0</v>
      </c>
      <c r="V37" s="12">
        <v>120.01</v>
      </c>
      <c r="W37" s="12">
        <v>0</v>
      </c>
      <c r="X37" s="12">
        <v>21.004000000000001</v>
      </c>
      <c r="Y37" s="12">
        <v>0</v>
      </c>
      <c r="Z37" s="12">
        <v>52.305</v>
      </c>
      <c r="AA37" s="12">
        <v>124.59699999999999</v>
      </c>
      <c r="AB37" s="12">
        <v>111.258</v>
      </c>
      <c r="AC37" s="12">
        <v>112.496</v>
      </c>
      <c r="AD37" s="12">
        <v>280.572</v>
      </c>
      <c r="AE37" s="12">
        <v>126.491</v>
      </c>
      <c r="AF37" s="12">
        <v>25.225999999999999</v>
      </c>
      <c r="AG37" s="12">
        <v>25.07</v>
      </c>
      <c r="AH37" s="12">
        <v>25.942</v>
      </c>
      <c r="AI37" s="12">
        <v>13.616</v>
      </c>
      <c r="AJ37" s="12">
        <v>11.218999999999999</v>
      </c>
      <c r="AK37" s="12">
        <v>67.197999999999993</v>
      </c>
      <c r="AL37" s="12">
        <v>80.793000000000006</v>
      </c>
      <c r="AM37" s="12">
        <v>74.099000000000004</v>
      </c>
      <c r="AN37" s="12">
        <v>58.149000000000001</v>
      </c>
      <c r="AO37" s="12">
        <v>5.7990000000000004</v>
      </c>
      <c r="AP37" s="12">
        <v>22.791</v>
      </c>
      <c r="AQ37" s="12">
        <v>27.864000000000001</v>
      </c>
      <c r="AR37" s="12">
        <v>172.404</v>
      </c>
      <c r="AS37" s="12">
        <v>1432.1659999999999</v>
      </c>
      <c r="AT37" s="12">
        <v>722.572</v>
      </c>
      <c r="AU37" s="12">
        <v>793.4</v>
      </c>
      <c r="AV37" s="12">
        <v>400.065</v>
      </c>
      <c r="AW37" s="12">
        <v>717.52700000000004</v>
      </c>
      <c r="AX37" s="12">
        <v>619.85699999999997</v>
      </c>
      <c r="AY37" s="12">
        <v>777.73400000000004</v>
      </c>
      <c r="AZ37" s="12">
        <v>1055.107</v>
      </c>
      <c r="BA37" s="12">
        <v>1092.4829999999999</v>
      </c>
      <c r="BB37" s="12">
        <v>1102.6369999999999</v>
      </c>
      <c r="BC37" s="12">
        <v>1174.817</v>
      </c>
      <c r="BD37" s="12">
        <v>1156.201</v>
      </c>
      <c r="BE37" s="12">
        <v>1354.3130000000001</v>
      </c>
      <c r="BF37" s="12">
        <v>1282.5129999999999</v>
      </c>
      <c r="BG37" s="12">
        <v>970.18700000000001</v>
      </c>
      <c r="BH37" s="12">
        <v>1085.6690000000001</v>
      </c>
      <c r="BI37" s="12">
        <v>1328.942</v>
      </c>
      <c r="BJ37" s="12">
        <v>1257.923</v>
      </c>
      <c r="BK37" s="12">
        <v>1275.0429999999999</v>
      </c>
      <c r="BL37" s="12">
        <v>1525.1990000000001</v>
      </c>
      <c r="BM37" s="12">
        <v>1448.963</v>
      </c>
      <c r="BN37" s="12">
        <v>1746.1020000000001</v>
      </c>
      <c r="BO37" s="12">
        <v>1542.2270000000001</v>
      </c>
      <c r="BQ37" s="1"/>
    </row>
    <row r="38" spans="2:69" x14ac:dyDescent="0.25">
      <c r="C38" s="75" t="s">
        <v>272</v>
      </c>
      <c r="D38" s="75"/>
      <c r="E38" s="75" t="s">
        <v>537</v>
      </c>
      <c r="F38" s="12">
        <v>0</v>
      </c>
      <c r="G38" s="12">
        <v>0</v>
      </c>
      <c r="H38" s="12">
        <v>405.00700000000001</v>
      </c>
      <c r="I38" s="12">
        <v>331.99</v>
      </c>
      <c r="J38" s="12">
        <v>318.01799999999997</v>
      </c>
      <c r="K38" s="12">
        <v>440.96300000000002</v>
      </c>
      <c r="L38" s="12">
        <v>465.38200000000001</v>
      </c>
      <c r="M38" s="12">
        <v>501.79899999999998</v>
      </c>
      <c r="N38" s="12">
        <v>519.37900000000002</v>
      </c>
      <c r="O38" s="12">
        <v>665.61699999999996</v>
      </c>
      <c r="P38" s="12">
        <v>751.62900000000002</v>
      </c>
      <c r="Q38" s="12">
        <v>756.19</v>
      </c>
      <c r="R38" s="12">
        <v>625.71299999999997</v>
      </c>
      <c r="S38" s="12">
        <v>752.21100000000001</v>
      </c>
      <c r="T38" s="12">
        <v>861.40899999999999</v>
      </c>
      <c r="U38" s="12">
        <v>931.63</v>
      </c>
      <c r="V38" s="12">
        <v>1446.1769999999999</v>
      </c>
      <c r="W38" s="12">
        <v>1874.154</v>
      </c>
      <c r="X38" s="12">
        <v>2017.9010000000001</v>
      </c>
      <c r="Y38" s="12">
        <v>2298.4989999999998</v>
      </c>
      <c r="Z38" s="12">
        <v>2714.3249999999998</v>
      </c>
      <c r="AA38" s="12">
        <v>3185.1280000000002</v>
      </c>
      <c r="AB38" s="12">
        <v>3361.6480000000001</v>
      </c>
      <c r="AC38" s="12">
        <v>3754.72</v>
      </c>
      <c r="AD38" s="12">
        <v>4087.5140000000001</v>
      </c>
      <c r="AE38" s="12">
        <v>4274.9750000000004</v>
      </c>
      <c r="AF38" s="12">
        <v>5119.1030000000001</v>
      </c>
      <c r="AG38" s="12">
        <v>5291.5209999999997</v>
      </c>
      <c r="AH38" s="12">
        <v>5672.9139999999998</v>
      </c>
      <c r="AI38" s="12">
        <v>5173.1880000000001</v>
      </c>
      <c r="AJ38" s="12">
        <v>5129.857</v>
      </c>
      <c r="AK38" s="12">
        <v>5057.192</v>
      </c>
      <c r="AL38" s="12">
        <v>4893.9489999999996</v>
      </c>
      <c r="AM38" s="12">
        <v>5253.1540000000005</v>
      </c>
      <c r="AN38" s="12">
        <v>5430.152</v>
      </c>
      <c r="AO38" s="12">
        <v>6157.8419999999996</v>
      </c>
      <c r="AP38" s="12">
        <v>6695.4070000000002</v>
      </c>
      <c r="AQ38" s="12">
        <v>7251.6840000000002</v>
      </c>
      <c r="AR38" s="12">
        <v>7752.0420000000004</v>
      </c>
      <c r="AS38" s="12">
        <v>7996.7330000000002</v>
      </c>
      <c r="AT38" s="12">
        <v>8652.598</v>
      </c>
      <c r="AU38" s="12">
        <v>8642.0499999999993</v>
      </c>
      <c r="AV38" s="12">
        <v>8841.9959999999992</v>
      </c>
      <c r="AW38" s="12">
        <v>9030.1839999999993</v>
      </c>
      <c r="AX38" s="12">
        <v>9167.66</v>
      </c>
      <c r="AY38" s="12">
        <v>9600.6450000000004</v>
      </c>
      <c r="AZ38" s="12">
        <v>9680.0069999999996</v>
      </c>
      <c r="BA38" s="12">
        <v>9505.6440000000002</v>
      </c>
      <c r="BB38" s="12">
        <v>9271.4110000000001</v>
      </c>
      <c r="BC38" s="12">
        <v>10027.319</v>
      </c>
      <c r="BD38" s="12">
        <v>9236.7090000000007</v>
      </c>
      <c r="BE38" s="12">
        <v>10432.1</v>
      </c>
      <c r="BF38" s="12">
        <v>10993.683000000001</v>
      </c>
      <c r="BG38" s="12">
        <v>10654.499</v>
      </c>
      <c r="BH38" s="12">
        <v>12150.857</v>
      </c>
      <c r="BI38" s="12">
        <v>12345.023999999999</v>
      </c>
      <c r="BJ38" s="12">
        <v>14018.464</v>
      </c>
      <c r="BK38" s="12">
        <v>15374.138999999999</v>
      </c>
      <c r="BL38" s="12">
        <v>16595.147000000001</v>
      </c>
      <c r="BM38" s="12">
        <v>17351.698</v>
      </c>
      <c r="BN38" s="12">
        <v>17015.762999999999</v>
      </c>
      <c r="BO38" s="12">
        <v>18736.716</v>
      </c>
      <c r="BQ38" s="1"/>
    </row>
    <row r="39" spans="2:69" x14ac:dyDescent="0.25">
      <c r="C39" s="75" t="s">
        <v>269</v>
      </c>
      <c r="D39" s="75"/>
      <c r="E39" s="75" t="s">
        <v>527</v>
      </c>
      <c r="F39" s="12">
        <v>0.32200000000000001</v>
      </c>
      <c r="G39" s="12">
        <v>0.84899999999999998</v>
      </c>
      <c r="H39" s="12">
        <v>0.10199999999999999</v>
      </c>
      <c r="I39" s="12">
        <v>0</v>
      </c>
      <c r="J39" s="12">
        <v>0.13900000000000001</v>
      </c>
      <c r="K39" s="12">
        <v>3.5000000000000003E-2</v>
      </c>
      <c r="L39" s="12">
        <v>0.21199999999999999</v>
      </c>
      <c r="M39" s="12">
        <v>0</v>
      </c>
      <c r="N39" s="12">
        <v>1.1870000000000001</v>
      </c>
      <c r="O39" s="12">
        <v>1.2589999999999999</v>
      </c>
      <c r="P39" s="12">
        <v>1.2170000000000001</v>
      </c>
      <c r="Q39" s="12">
        <v>5.0000000000000001E-3</v>
      </c>
      <c r="R39" s="12">
        <v>2.988</v>
      </c>
      <c r="S39" s="12">
        <v>1.411</v>
      </c>
      <c r="T39" s="12">
        <v>1.95</v>
      </c>
      <c r="U39" s="12">
        <v>0</v>
      </c>
      <c r="V39" s="12">
        <v>0.23899999999999999</v>
      </c>
      <c r="W39" s="12">
        <v>0.63100000000000001</v>
      </c>
      <c r="X39" s="12">
        <v>0.40200000000000002</v>
      </c>
      <c r="Y39" s="12">
        <v>0</v>
      </c>
      <c r="Z39" s="12">
        <v>0.46100000000000002</v>
      </c>
      <c r="AA39" s="12">
        <v>0.40200000000000002</v>
      </c>
      <c r="AB39" s="12">
        <v>1.113</v>
      </c>
      <c r="AC39" s="12">
        <v>0</v>
      </c>
      <c r="AD39" s="12">
        <v>0.59699999999999998</v>
      </c>
      <c r="AE39" s="12">
        <v>2.1059999999999999</v>
      </c>
      <c r="AF39" s="12">
        <v>1.359</v>
      </c>
      <c r="AG39" s="12">
        <v>0</v>
      </c>
      <c r="AH39" s="12">
        <v>0.55000000000000004</v>
      </c>
      <c r="AI39" s="12">
        <v>1.5980000000000001</v>
      </c>
      <c r="AJ39" s="12">
        <v>0.56399999999999995</v>
      </c>
      <c r="AK39" s="12">
        <v>0</v>
      </c>
      <c r="AL39" s="12">
        <v>359.78800000000001</v>
      </c>
      <c r="AM39" s="12">
        <v>329.48700000000002</v>
      </c>
      <c r="AN39" s="12">
        <v>6.7839999999999998</v>
      </c>
      <c r="AO39" s="12">
        <v>0.127</v>
      </c>
      <c r="AP39" s="12">
        <v>6.1879999999999997</v>
      </c>
      <c r="AQ39" s="12">
        <v>6.1369999999999996</v>
      </c>
      <c r="AR39" s="12">
        <v>3.7</v>
      </c>
      <c r="AS39" s="12">
        <v>0</v>
      </c>
      <c r="AT39" s="12">
        <v>3.3090000000000002</v>
      </c>
      <c r="AU39" s="12">
        <v>11.672000000000001</v>
      </c>
      <c r="AV39" s="12">
        <v>3.573</v>
      </c>
      <c r="AW39" s="12">
        <v>0</v>
      </c>
      <c r="AX39" s="12">
        <v>4.1779999999999999</v>
      </c>
      <c r="AY39" s="12">
        <v>14.186999999999999</v>
      </c>
      <c r="AZ39" s="12">
        <v>32.470999999999997</v>
      </c>
      <c r="BA39" s="12">
        <v>0</v>
      </c>
      <c r="BB39" s="12">
        <v>10.699</v>
      </c>
      <c r="BC39" s="12">
        <v>16.154</v>
      </c>
      <c r="BD39" s="12">
        <v>26.148</v>
      </c>
      <c r="BE39" s="12">
        <v>0</v>
      </c>
      <c r="BF39" s="12">
        <v>22.22</v>
      </c>
      <c r="BG39" s="12">
        <v>44.756</v>
      </c>
      <c r="BH39" s="12">
        <v>31.686</v>
      </c>
      <c r="BI39" s="12">
        <v>2E-3</v>
      </c>
      <c r="BJ39" s="12">
        <v>27.207000000000001</v>
      </c>
      <c r="BK39" s="12">
        <v>38.22</v>
      </c>
      <c r="BL39" s="12">
        <v>40.286000000000001</v>
      </c>
      <c r="BM39" s="12">
        <v>2.9000000000000001E-2</v>
      </c>
      <c r="BN39" s="12">
        <v>31.602</v>
      </c>
      <c r="BO39" s="12">
        <v>46.86</v>
      </c>
      <c r="BQ39" s="1"/>
    </row>
    <row r="40" spans="2:69" x14ac:dyDescent="0.25">
      <c r="C40" s="75" t="s">
        <v>273</v>
      </c>
      <c r="D40" s="75"/>
      <c r="E40" s="75" t="s">
        <v>538</v>
      </c>
      <c r="F40" s="12">
        <v>86.799000000000007</v>
      </c>
      <c r="G40" s="12">
        <v>7.3609999999999998</v>
      </c>
      <c r="H40" s="12">
        <v>35.512</v>
      </c>
      <c r="I40" s="12">
        <v>63.558</v>
      </c>
      <c r="J40" s="12">
        <v>14.688000000000001</v>
      </c>
      <c r="K40" s="12">
        <v>9.5039999999999996</v>
      </c>
      <c r="L40" s="12">
        <v>20.103000000000002</v>
      </c>
      <c r="M40" s="12">
        <v>8.6329999999999991</v>
      </c>
      <c r="N40" s="12">
        <v>18.391999999999999</v>
      </c>
      <c r="O40" s="12">
        <v>33.79</v>
      </c>
      <c r="P40" s="12">
        <v>61.609000000000002</v>
      </c>
      <c r="Q40" s="12">
        <v>37.651000000000003</v>
      </c>
      <c r="R40" s="12">
        <v>22.898</v>
      </c>
      <c r="S40" s="12">
        <v>51.19</v>
      </c>
      <c r="T40" s="12">
        <v>101.569</v>
      </c>
      <c r="U40" s="12">
        <v>25.065999999999999</v>
      </c>
      <c r="V40" s="12">
        <v>13.487</v>
      </c>
      <c r="W40" s="12">
        <v>28.492000000000001</v>
      </c>
      <c r="X40" s="12">
        <v>61.851999999999997</v>
      </c>
      <c r="Y40" s="12">
        <v>31.581</v>
      </c>
      <c r="Z40" s="12">
        <v>12.129</v>
      </c>
      <c r="AA40" s="12">
        <v>27.036999999999999</v>
      </c>
      <c r="AB40" s="12">
        <v>85.018000000000001</v>
      </c>
      <c r="AC40" s="12">
        <v>27.544</v>
      </c>
      <c r="AD40" s="12">
        <v>10.63</v>
      </c>
      <c r="AE40" s="12">
        <v>18.643000000000001</v>
      </c>
      <c r="AF40" s="12">
        <v>70.796000000000006</v>
      </c>
      <c r="AG40" s="12">
        <v>13.644</v>
      </c>
      <c r="AH40" s="12">
        <v>25.315999999999999</v>
      </c>
      <c r="AI40" s="12">
        <v>18.757000000000001</v>
      </c>
      <c r="AJ40" s="12">
        <v>10.528</v>
      </c>
      <c r="AK40" s="12">
        <v>18.53</v>
      </c>
      <c r="AL40" s="12">
        <v>59.335999999999999</v>
      </c>
      <c r="AM40" s="12">
        <v>37.28</v>
      </c>
      <c r="AN40" s="12">
        <v>33.996000000000002</v>
      </c>
      <c r="AO40" s="12">
        <v>11.763</v>
      </c>
      <c r="AP40" s="12">
        <v>27.687999999999999</v>
      </c>
      <c r="AQ40" s="12">
        <v>50.716999999999999</v>
      </c>
      <c r="AR40" s="12">
        <v>58.601999999999997</v>
      </c>
      <c r="AS40" s="12">
        <v>28.446999999999999</v>
      </c>
      <c r="AT40" s="12">
        <v>69.805999999999997</v>
      </c>
      <c r="AU40" s="12">
        <v>83.120999999999995</v>
      </c>
      <c r="AV40" s="12">
        <v>77.027000000000001</v>
      </c>
      <c r="AW40" s="12">
        <v>28.234999999999999</v>
      </c>
      <c r="AX40" s="12">
        <v>142.99799999999999</v>
      </c>
      <c r="AY40" s="12">
        <v>140.964</v>
      </c>
      <c r="AZ40" s="12">
        <v>160.29499999999999</v>
      </c>
      <c r="BA40" s="12">
        <v>47.731999999999999</v>
      </c>
      <c r="BB40" s="12">
        <v>202.89099999999999</v>
      </c>
      <c r="BC40" s="12">
        <v>114.913</v>
      </c>
      <c r="BD40" s="12">
        <v>235.47499999999999</v>
      </c>
      <c r="BE40" s="12">
        <v>93.519000000000005</v>
      </c>
      <c r="BF40" s="12">
        <v>93.093999999999994</v>
      </c>
      <c r="BG40" s="12">
        <v>144.52199999999999</v>
      </c>
      <c r="BH40" s="12">
        <v>283.851</v>
      </c>
      <c r="BI40" s="12">
        <v>77.963999999999999</v>
      </c>
      <c r="BJ40" s="12">
        <v>138.81100000000001</v>
      </c>
      <c r="BK40" s="12">
        <v>145.607</v>
      </c>
      <c r="BL40" s="12">
        <v>173.78299999999999</v>
      </c>
      <c r="BM40" s="12">
        <v>100.2</v>
      </c>
      <c r="BN40" s="12">
        <v>150.345</v>
      </c>
      <c r="BO40" s="12">
        <v>166.55699999999999</v>
      </c>
      <c r="BQ40" s="1"/>
    </row>
    <row r="41" spans="2:69" x14ac:dyDescent="0.25">
      <c r="C41" s="75" t="s">
        <v>270</v>
      </c>
      <c r="D41" s="75"/>
      <c r="E41" s="75" t="s">
        <v>539</v>
      </c>
      <c r="F41" s="12">
        <v>1497.366</v>
      </c>
      <c r="G41" s="12">
        <v>1538.9069999999999</v>
      </c>
      <c r="H41" s="12">
        <v>2021.499</v>
      </c>
      <c r="I41" s="12">
        <v>2335.1410000000001</v>
      </c>
      <c r="J41" s="12">
        <v>1613.924</v>
      </c>
      <c r="K41" s="12">
        <v>1188.6590000000001</v>
      </c>
      <c r="L41" s="12">
        <v>1070.952</v>
      </c>
      <c r="M41" s="12">
        <v>1048.4829999999999</v>
      </c>
      <c r="N41" s="12">
        <v>1187.932</v>
      </c>
      <c r="O41" s="12">
        <v>1496.001</v>
      </c>
      <c r="P41" s="12">
        <v>1501.6479999999999</v>
      </c>
      <c r="Q41" s="12">
        <v>1345.39</v>
      </c>
      <c r="R41" s="12">
        <v>1463.69</v>
      </c>
      <c r="S41" s="12">
        <v>1635.778</v>
      </c>
      <c r="T41" s="12">
        <v>4318.2049999999999</v>
      </c>
      <c r="U41" s="12">
        <v>1420.8130000000001</v>
      </c>
      <c r="V41" s="12">
        <v>1516.8630000000001</v>
      </c>
      <c r="W41" s="12">
        <v>1915.136</v>
      </c>
      <c r="X41" s="12">
        <v>1798.203</v>
      </c>
      <c r="Y41" s="12">
        <v>1670.4749999999999</v>
      </c>
      <c r="Z41" s="12">
        <v>1857.2829999999999</v>
      </c>
      <c r="AA41" s="12">
        <v>2172.1219999999998</v>
      </c>
      <c r="AB41" s="12">
        <v>2382.681</v>
      </c>
      <c r="AC41" s="12">
        <v>2473.4229999999998</v>
      </c>
      <c r="AD41" s="12">
        <v>2042.828</v>
      </c>
      <c r="AE41" s="12">
        <v>1983.8889999999999</v>
      </c>
      <c r="AF41" s="12">
        <v>2083.2910000000002</v>
      </c>
      <c r="AG41" s="12">
        <v>2733.0650000000001</v>
      </c>
      <c r="AH41" s="12">
        <v>3738.4450000000002</v>
      </c>
      <c r="AI41" s="12">
        <v>3310.7539999999999</v>
      </c>
      <c r="AJ41" s="12">
        <v>4773.4960000000001</v>
      </c>
      <c r="AK41" s="12">
        <v>4371.5429999999997</v>
      </c>
      <c r="AL41" s="12">
        <v>3605.172</v>
      </c>
      <c r="AM41" s="12">
        <v>3922.5459999999998</v>
      </c>
      <c r="AN41" s="12">
        <v>4253.9610000000002</v>
      </c>
      <c r="AO41" s="12">
        <v>4036.84</v>
      </c>
      <c r="AP41" s="12">
        <v>3567.373</v>
      </c>
      <c r="AQ41" s="12">
        <v>3487.4589999999998</v>
      </c>
      <c r="AR41" s="12">
        <v>3463.451</v>
      </c>
      <c r="AS41" s="12">
        <v>3285.6280000000002</v>
      </c>
      <c r="AT41" s="12">
        <v>2802.9670000000001</v>
      </c>
      <c r="AU41" s="12">
        <v>3818.5540000000001</v>
      </c>
      <c r="AV41" s="12">
        <v>4148.3100000000004</v>
      </c>
      <c r="AW41" s="12">
        <v>4688.3509999999997</v>
      </c>
      <c r="AX41" s="12">
        <v>5084.0280000000002</v>
      </c>
      <c r="AY41" s="12">
        <v>5315.3829999999998</v>
      </c>
      <c r="AZ41" s="12">
        <v>6363.0720000000001</v>
      </c>
      <c r="BA41" s="12">
        <v>6128.4669999999996</v>
      </c>
      <c r="BB41" s="12">
        <v>9634.58</v>
      </c>
      <c r="BC41" s="12">
        <v>8730.6200000000008</v>
      </c>
      <c r="BD41" s="12">
        <v>7501.5659999999998</v>
      </c>
      <c r="BE41" s="12">
        <v>6612.1809999999996</v>
      </c>
      <c r="BF41" s="12">
        <v>7668.7730000000001</v>
      </c>
      <c r="BG41" s="12">
        <v>7798.1239999999998</v>
      </c>
      <c r="BH41" s="12">
        <v>8709.8029999999999</v>
      </c>
      <c r="BI41" s="12">
        <v>8478.8639999999996</v>
      </c>
      <c r="BJ41" s="12">
        <v>7727.0290000000005</v>
      </c>
      <c r="BK41" s="12">
        <v>8328.3880000000008</v>
      </c>
      <c r="BL41" s="12">
        <v>7425.6319999999996</v>
      </c>
      <c r="BM41" s="12">
        <v>6791.5280000000002</v>
      </c>
      <c r="BN41" s="12">
        <v>6569.98</v>
      </c>
      <c r="BO41" s="12">
        <v>8126.5020000000004</v>
      </c>
      <c r="BQ41" s="1"/>
    </row>
    <row r="42" spans="2:69" x14ac:dyDescent="0.25">
      <c r="C42" s="75" t="s">
        <v>274</v>
      </c>
      <c r="D42" s="75"/>
      <c r="E42" s="75" t="s">
        <v>540</v>
      </c>
      <c r="F42" s="12">
        <v>455.57900000000001</v>
      </c>
      <c r="G42" s="12">
        <v>498.44799999999998</v>
      </c>
      <c r="H42" s="12">
        <v>502.22199999999998</v>
      </c>
      <c r="I42" s="12">
        <v>543.90700000000004</v>
      </c>
      <c r="J42" s="12">
        <v>569.63199999999995</v>
      </c>
      <c r="K42" s="12">
        <v>688.11300000000006</v>
      </c>
      <c r="L42" s="12">
        <v>1079.413</v>
      </c>
      <c r="M42" s="12">
        <v>1268.2349999999999</v>
      </c>
      <c r="N42" s="12">
        <v>1440.7090000000001</v>
      </c>
      <c r="O42" s="12">
        <v>1796.0820000000001</v>
      </c>
      <c r="P42" s="12">
        <v>2140.4859999999999</v>
      </c>
      <c r="Q42" s="12">
        <v>2386.7339999999999</v>
      </c>
      <c r="R42" s="12">
        <v>2391.7220000000002</v>
      </c>
      <c r="S42" s="12">
        <v>2240.9290000000001</v>
      </c>
      <c r="T42" s="12">
        <v>0</v>
      </c>
      <c r="U42" s="12">
        <v>2181.4929999999999</v>
      </c>
      <c r="V42" s="12">
        <v>2060.1309999999999</v>
      </c>
      <c r="W42" s="12">
        <v>2279.098</v>
      </c>
      <c r="X42" s="12">
        <v>2164.663</v>
      </c>
      <c r="Y42" s="12">
        <v>1854.3030000000001</v>
      </c>
      <c r="Z42" s="12">
        <v>1855.9290000000001</v>
      </c>
      <c r="AA42" s="12">
        <v>1886.34</v>
      </c>
      <c r="AB42" s="12">
        <v>1941.7819999999999</v>
      </c>
      <c r="AC42" s="12">
        <v>2343.761</v>
      </c>
      <c r="AD42" s="12">
        <v>2252.9009999999998</v>
      </c>
      <c r="AE42" s="12">
        <v>2145.7719999999999</v>
      </c>
      <c r="AF42" s="12">
        <v>2146.0329999999999</v>
      </c>
      <c r="AG42" s="12">
        <v>2229.8670000000002</v>
      </c>
      <c r="AH42" s="12">
        <v>2154.2069999999999</v>
      </c>
      <c r="AI42" s="12">
        <v>2310.6889999999999</v>
      </c>
      <c r="AJ42" s="12">
        <v>2182.7289999999998</v>
      </c>
      <c r="AK42" s="12">
        <v>2199.9740000000002</v>
      </c>
      <c r="AL42" s="12">
        <v>2110.7420000000002</v>
      </c>
      <c r="AM42" s="12">
        <v>1926.7729999999999</v>
      </c>
      <c r="AN42" s="12">
        <v>2205.547</v>
      </c>
      <c r="AO42" s="12">
        <v>2104.8490000000002</v>
      </c>
      <c r="AP42" s="12">
        <v>1929.347</v>
      </c>
      <c r="AQ42" s="12">
        <v>1873.759</v>
      </c>
      <c r="AR42" s="12">
        <v>1842.174</v>
      </c>
      <c r="AS42" s="12">
        <v>1591.3340000000001</v>
      </c>
      <c r="AT42" s="12">
        <v>1451.653</v>
      </c>
      <c r="AU42" s="12">
        <v>1267.7</v>
      </c>
      <c r="AV42" s="12">
        <v>1312.896</v>
      </c>
      <c r="AW42" s="12">
        <v>1306.3330000000001</v>
      </c>
      <c r="AX42" s="12">
        <v>1263.248</v>
      </c>
      <c r="AY42" s="12">
        <v>1142.694</v>
      </c>
      <c r="AZ42" s="12">
        <v>1245.9690000000001</v>
      </c>
      <c r="BA42" s="12">
        <v>1167.432</v>
      </c>
      <c r="BB42" s="12">
        <v>1088.454</v>
      </c>
      <c r="BC42" s="12">
        <v>1135.9269999999999</v>
      </c>
      <c r="BD42" s="12">
        <v>1284.549</v>
      </c>
      <c r="BE42" s="12">
        <v>1216.874</v>
      </c>
      <c r="BF42" s="12">
        <v>1084.1669999999999</v>
      </c>
      <c r="BG42" s="12">
        <v>1069.44</v>
      </c>
      <c r="BH42" s="12">
        <v>1515.9770000000001</v>
      </c>
      <c r="BI42" s="12">
        <v>1567.89</v>
      </c>
      <c r="BJ42" s="12">
        <v>1569.3820000000001</v>
      </c>
      <c r="BK42" s="12">
        <v>1473.5609999999999</v>
      </c>
      <c r="BL42" s="12">
        <v>1876.6010000000001</v>
      </c>
      <c r="BM42" s="12">
        <v>2033.4649999999999</v>
      </c>
      <c r="BN42" s="12">
        <v>1887.4860000000001</v>
      </c>
      <c r="BO42" s="12">
        <v>1977.336</v>
      </c>
      <c r="BQ42" s="1"/>
    </row>
    <row r="43" spans="2:69" x14ac:dyDescent="0.25">
      <c r="C43" s="75" t="s">
        <v>275</v>
      </c>
      <c r="D43" s="75"/>
      <c r="E43" s="75" t="s">
        <v>541</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181.10499999999999</v>
      </c>
      <c r="AE43" s="12">
        <v>287.12200000000001</v>
      </c>
      <c r="AF43" s="12">
        <v>318.73899999999998</v>
      </c>
      <c r="AG43" s="12">
        <v>346.25</v>
      </c>
      <c r="AH43" s="12">
        <v>740.46900000000005</v>
      </c>
      <c r="AI43" s="12">
        <v>938.17499999999995</v>
      </c>
      <c r="AJ43" s="12">
        <v>1339.7840000000001</v>
      </c>
      <c r="AK43" s="12">
        <v>1372.69</v>
      </c>
      <c r="AL43" s="12">
        <v>1134.9459999999999</v>
      </c>
      <c r="AM43" s="12">
        <v>914.23400000000004</v>
      </c>
      <c r="AN43" s="12">
        <v>1095.182</v>
      </c>
      <c r="AO43" s="12">
        <v>1710.9670000000001</v>
      </c>
      <c r="AP43" s="12">
        <v>1663.856</v>
      </c>
      <c r="AQ43" s="12">
        <v>1607.539</v>
      </c>
      <c r="AR43" s="12">
        <v>1442.5029999999999</v>
      </c>
      <c r="AS43" s="12">
        <v>1515.4770000000001</v>
      </c>
      <c r="AT43" s="12">
        <v>1538.1289999999999</v>
      </c>
      <c r="AU43" s="12">
        <v>1676.69</v>
      </c>
      <c r="AV43" s="12">
        <v>1617.3779999999999</v>
      </c>
      <c r="AW43" s="12">
        <v>1124.835</v>
      </c>
      <c r="AX43" s="12">
        <v>1035.49</v>
      </c>
      <c r="AY43" s="12">
        <v>923.82500000000005</v>
      </c>
      <c r="AZ43" s="12">
        <v>1021.059</v>
      </c>
      <c r="BA43" s="12">
        <v>1150.769</v>
      </c>
      <c r="BB43" s="12">
        <v>1482.508</v>
      </c>
      <c r="BC43" s="12">
        <v>1596.944</v>
      </c>
      <c r="BD43" s="12">
        <v>1779.645</v>
      </c>
      <c r="BE43" s="12">
        <v>1296.9110000000001</v>
      </c>
      <c r="BF43" s="12">
        <v>1780.528</v>
      </c>
      <c r="BG43" s="12">
        <v>1314.9290000000001</v>
      </c>
      <c r="BH43" s="12">
        <v>1759.3019999999999</v>
      </c>
      <c r="BI43" s="12">
        <v>1803.2529999999999</v>
      </c>
      <c r="BJ43" s="12">
        <v>1179.0219999999999</v>
      </c>
      <c r="BK43" s="12">
        <v>1873.1210000000001</v>
      </c>
      <c r="BL43" s="12">
        <v>1796.43</v>
      </c>
      <c r="BM43" s="12">
        <v>1649.7470000000001</v>
      </c>
      <c r="BN43" s="12">
        <v>1632.8579999999999</v>
      </c>
      <c r="BO43" s="12">
        <v>1244.364</v>
      </c>
      <c r="BQ43" s="1"/>
    </row>
    <row r="44" spans="2:69" x14ac:dyDescent="0.25">
      <c r="C44" s="75" t="s">
        <v>276</v>
      </c>
      <c r="D44" s="75"/>
      <c r="E44" s="75" t="s">
        <v>542</v>
      </c>
      <c r="F44" s="12">
        <v>435.279</v>
      </c>
      <c r="G44" s="12">
        <v>473.90300000000002</v>
      </c>
      <c r="H44" s="12">
        <v>1023.879</v>
      </c>
      <c r="I44" s="12">
        <v>570.029</v>
      </c>
      <c r="J44" s="12">
        <v>611.76</v>
      </c>
      <c r="K44" s="12">
        <v>438.78500000000003</v>
      </c>
      <c r="L44" s="12">
        <v>716.42499999999995</v>
      </c>
      <c r="M44" s="12">
        <v>289.86599999999999</v>
      </c>
      <c r="N44" s="12">
        <v>425.04500000000002</v>
      </c>
      <c r="O44" s="12">
        <v>1125.153</v>
      </c>
      <c r="P44" s="12">
        <v>1267.759</v>
      </c>
      <c r="Q44" s="12">
        <v>986.94100000000003</v>
      </c>
      <c r="R44" s="12">
        <v>921.77200000000005</v>
      </c>
      <c r="S44" s="12">
        <v>1050.809</v>
      </c>
      <c r="T44" s="12">
        <v>1719.675</v>
      </c>
      <c r="U44" s="12">
        <v>1114.6020000000001</v>
      </c>
      <c r="V44" s="12">
        <v>1261.095</v>
      </c>
      <c r="W44" s="12">
        <v>1548.6780000000001</v>
      </c>
      <c r="X44" s="12">
        <v>1492.575</v>
      </c>
      <c r="Y44" s="12">
        <v>2192.752</v>
      </c>
      <c r="Z44" s="12">
        <v>2337.3820000000001</v>
      </c>
      <c r="AA44" s="12">
        <v>3507.7759999999998</v>
      </c>
      <c r="AB44" s="12">
        <v>3971.2179999999998</v>
      </c>
      <c r="AC44" s="12">
        <v>3037.8870000000002</v>
      </c>
      <c r="AD44" s="12">
        <v>2872.2860000000001</v>
      </c>
      <c r="AE44" s="12">
        <v>2834.3009999999999</v>
      </c>
      <c r="AF44" s="12">
        <v>2751.1559999999999</v>
      </c>
      <c r="AG44" s="12">
        <v>3091.1460000000002</v>
      </c>
      <c r="AH44" s="12">
        <v>3792.5070000000001</v>
      </c>
      <c r="AI44" s="12">
        <v>3813.6320000000001</v>
      </c>
      <c r="AJ44" s="12">
        <v>5468.4</v>
      </c>
      <c r="AK44" s="12">
        <v>3991.8539999999998</v>
      </c>
      <c r="AL44" s="12">
        <v>4766.5649999999996</v>
      </c>
      <c r="AM44" s="12">
        <v>3789.7469999999998</v>
      </c>
      <c r="AN44" s="12">
        <v>3261.703</v>
      </c>
      <c r="AO44" s="12">
        <v>3382.5839999999998</v>
      </c>
      <c r="AP44" s="12">
        <v>3233.877</v>
      </c>
      <c r="AQ44" s="12">
        <v>2971.0039999999999</v>
      </c>
      <c r="AR44" s="12">
        <v>2660.7539999999999</v>
      </c>
      <c r="AS44" s="12">
        <v>3550.7890000000002</v>
      </c>
      <c r="AT44" s="12">
        <v>3946.848</v>
      </c>
      <c r="AU44" s="12">
        <v>5736.4579999999996</v>
      </c>
      <c r="AV44" s="12">
        <v>5930.1980000000003</v>
      </c>
      <c r="AW44" s="12">
        <v>5945.1040000000003</v>
      </c>
      <c r="AX44" s="12">
        <v>7715.7820000000002</v>
      </c>
      <c r="AY44" s="12">
        <v>8986.64913686</v>
      </c>
      <c r="AZ44" s="12">
        <v>8791.2450063799988</v>
      </c>
      <c r="BA44" s="12">
        <v>7407.5757371399995</v>
      </c>
      <c r="BB44" s="12">
        <v>16811.21786991</v>
      </c>
      <c r="BC44" s="12">
        <v>15627.049000000001</v>
      </c>
      <c r="BD44" s="12">
        <v>10922.742</v>
      </c>
      <c r="BE44" s="12">
        <v>7857.0069999999996</v>
      </c>
      <c r="BF44" s="12">
        <v>11278.55</v>
      </c>
      <c r="BG44" s="12">
        <v>9393.0460000000003</v>
      </c>
      <c r="BH44" s="12">
        <v>11124.946</v>
      </c>
      <c r="BI44" s="12">
        <v>11319.436</v>
      </c>
      <c r="BJ44" s="12">
        <v>7024.4290000000001</v>
      </c>
      <c r="BK44" s="12">
        <v>8772.8279999999995</v>
      </c>
      <c r="BL44" s="12">
        <v>8103.9740000000002</v>
      </c>
      <c r="BM44" s="12">
        <v>12471.508</v>
      </c>
      <c r="BN44" s="12">
        <v>10500.699000000001</v>
      </c>
      <c r="BO44" s="12">
        <v>9605.1610000000001</v>
      </c>
      <c r="BQ44" s="1"/>
    </row>
    <row r="45" spans="2:69" x14ac:dyDescent="0.25">
      <c r="B45" s="27"/>
      <c r="C45" s="27"/>
      <c r="D45" s="27"/>
      <c r="E45" s="27"/>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33"/>
      <c r="BB45" s="33"/>
      <c r="BC45" s="33"/>
      <c r="BD45" s="33"/>
      <c r="BE45" s="33"/>
      <c r="BF45" s="33"/>
      <c r="BG45" s="33"/>
      <c r="BH45" s="33"/>
      <c r="BI45" s="33"/>
      <c r="BJ45" s="33"/>
      <c r="BK45" s="33"/>
      <c r="BL45" s="33"/>
      <c r="BM45" s="33"/>
      <c r="BN45" s="33"/>
      <c r="BO45" s="33"/>
      <c r="BQ45" s="1"/>
    </row>
    <row r="46" spans="2:69" s="1" customFormat="1" x14ac:dyDescent="0.25">
      <c r="B46" s="170" t="s">
        <v>65</v>
      </c>
      <c r="C46" s="171"/>
      <c r="D46" s="171"/>
      <c r="E46" s="170" t="s">
        <v>521</v>
      </c>
      <c r="F46" s="182">
        <v>6.88</v>
      </c>
      <c r="G46" s="182">
        <v>7.1340000000000003</v>
      </c>
      <c r="H46" s="182">
        <v>6.85</v>
      </c>
      <c r="I46" s="182">
        <v>8.5719999999999992</v>
      </c>
      <c r="J46" s="182">
        <v>9.7579999999999991</v>
      </c>
      <c r="K46" s="182">
        <v>12.473000000000001</v>
      </c>
      <c r="L46" s="182">
        <v>16.138999999999999</v>
      </c>
      <c r="M46" s="182">
        <v>18.690999999999999</v>
      </c>
      <c r="N46" s="182">
        <v>18</v>
      </c>
      <c r="O46" s="182">
        <v>17.492000000000001</v>
      </c>
      <c r="P46" s="182">
        <v>17.588999999999999</v>
      </c>
      <c r="Q46" s="182">
        <v>19.64</v>
      </c>
      <c r="R46" s="182">
        <v>21.568999999999999</v>
      </c>
      <c r="S46" s="182">
        <v>18.695</v>
      </c>
      <c r="T46" s="182">
        <v>19.495999999999999</v>
      </c>
      <c r="U46" s="182">
        <v>21.846</v>
      </c>
      <c r="V46" s="182">
        <v>22.808</v>
      </c>
      <c r="W46" s="182">
        <v>19.859000000000002</v>
      </c>
      <c r="X46" s="182">
        <v>21.294</v>
      </c>
      <c r="Y46" s="182">
        <v>25.306000000000001</v>
      </c>
      <c r="Z46" s="182">
        <v>26.038</v>
      </c>
      <c r="AA46" s="182">
        <v>24.788</v>
      </c>
      <c r="AB46" s="182">
        <v>30.024999999999999</v>
      </c>
      <c r="AC46" s="182">
        <v>30.009</v>
      </c>
      <c r="AD46" s="182">
        <v>30.248000000000001</v>
      </c>
      <c r="AE46" s="182">
        <v>27.870999999999999</v>
      </c>
      <c r="AF46" s="182">
        <v>24.576000000000001</v>
      </c>
      <c r="AG46" s="182">
        <v>26.920999999999999</v>
      </c>
      <c r="AH46" s="182">
        <v>22.024999999999999</v>
      </c>
      <c r="AI46" s="182">
        <v>24.292999999999999</v>
      </c>
      <c r="AJ46" s="182">
        <v>24.678000000000001</v>
      </c>
      <c r="AK46" s="182">
        <v>29.574000000000002</v>
      </c>
      <c r="AL46" s="182">
        <v>25.898</v>
      </c>
      <c r="AM46" s="182">
        <v>29.702999999999999</v>
      </c>
      <c r="AN46" s="182">
        <v>28.721</v>
      </c>
      <c r="AO46" s="182">
        <v>34.073999999999998</v>
      </c>
      <c r="AP46" s="182">
        <v>30.077000000000002</v>
      </c>
      <c r="AQ46" s="182">
        <v>28.163</v>
      </c>
      <c r="AR46" s="182">
        <v>25.472000000000001</v>
      </c>
      <c r="AS46" s="182">
        <v>32.634999999999998</v>
      </c>
      <c r="AT46" s="182">
        <v>31.268999999999998</v>
      </c>
      <c r="AU46" s="182">
        <v>32.834000000000003</v>
      </c>
      <c r="AV46" s="182">
        <v>31.074000000000002</v>
      </c>
      <c r="AW46" s="182">
        <v>30.914999999999999</v>
      </c>
      <c r="AX46" s="182">
        <v>27.187000000000001</v>
      </c>
      <c r="AY46" s="182">
        <v>27.917999999999999</v>
      </c>
      <c r="AZ46" s="182">
        <v>24.506</v>
      </c>
      <c r="BA46" s="182">
        <v>22.727</v>
      </c>
      <c r="BB46" s="182">
        <v>21.591999999999999</v>
      </c>
      <c r="BC46" s="182">
        <v>25.847000000000001</v>
      </c>
      <c r="BD46" s="182">
        <v>23.734999999999999</v>
      </c>
      <c r="BE46" s="182">
        <v>22.344999999999999</v>
      </c>
      <c r="BF46" s="182">
        <v>17.04</v>
      </c>
      <c r="BG46" s="182">
        <v>20.324999999999999</v>
      </c>
      <c r="BH46" s="182">
        <v>20.178999999999998</v>
      </c>
      <c r="BI46" s="182">
        <v>18.138000000000002</v>
      </c>
      <c r="BJ46" s="182">
        <v>0</v>
      </c>
      <c r="BK46" s="182">
        <v>0</v>
      </c>
      <c r="BL46" s="182">
        <v>0</v>
      </c>
      <c r="BM46" s="182">
        <v>0</v>
      </c>
      <c r="BN46" s="182">
        <v>0</v>
      </c>
      <c r="BO46" s="182">
        <v>0</v>
      </c>
    </row>
    <row r="47" spans="2:69" x14ac:dyDescent="0.25">
      <c r="B47" s="27"/>
      <c r="C47" s="27"/>
      <c r="D47" s="27"/>
      <c r="E47" s="27"/>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33"/>
      <c r="BB47" s="33"/>
      <c r="BC47" s="33"/>
      <c r="BD47" s="33"/>
      <c r="BE47" s="33"/>
      <c r="BF47" s="33"/>
      <c r="BG47" s="33"/>
      <c r="BH47" s="33"/>
      <c r="BI47" s="33"/>
      <c r="BJ47" s="33"/>
      <c r="BK47" s="33"/>
      <c r="BL47" s="33"/>
      <c r="BM47" s="33"/>
      <c r="BN47" s="33"/>
      <c r="BO47" s="33"/>
      <c r="BQ47" s="1"/>
    </row>
    <row r="48" spans="2:69" s="1" customFormat="1" ht="15.75" x14ac:dyDescent="0.25">
      <c r="B48" s="183" t="s">
        <v>66</v>
      </c>
      <c r="C48" s="183"/>
      <c r="D48" s="183"/>
      <c r="E48" s="183" t="s">
        <v>522</v>
      </c>
      <c r="F48" s="180">
        <f t="shared" ref="F48:BO48" si="4">SUM(F49:F54)</f>
        <v>1107.01</v>
      </c>
      <c r="G48" s="180">
        <f t="shared" si="4"/>
        <v>1131.788</v>
      </c>
      <c r="H48" s="180">
        <f t="shared" si="4"/>
        <v>1158.76</v>
      </c>
      <c r="I48" s="180">
        <f t="shared" si="4"/>
        <v>1161.74</v>
      </c>
      <c r="J48" s="180">
        <f t="shared" si="4"/>
        <v>1175.3310000000001</v>
      </c>
      <c r="K48" s="180">
        <f t="shared" si="4"/>
        <v>1159.472</v>
      </c>
      <c r="L48" s="180">
        <f t="shared" si="4"/>
        <v>1182.1759999999999</v>
      </c>
      <c r="M48" s="180">
        <f t="shared" si="4"/>
        <v>1218.441</v>
      </c>
      <c r="N48" s="180">
        <f t="shared" si="4"/>
        <v>1247.1489999999999</v>
      </c>
      <c r="O48" s="180">
        <f t="shared" si="4"/>
        <v>1279.066</v>
      </c>
      <c r="P48" s="180">
        <f t="shared" si="4"/>
        <v>1312.078</v>
      </c>
      <c r="Q48" s="180">
        <f t="shared" si="4"/>
        <v>1347.9180000000001</v>
      </c>
      <c r="R48" s="180">
        <f t="shared" si="4"/>
        <v>1384.34</v>
      </c>
      <c r="S48" s="180">
        <f t="shared" si="4"/>
        <v>1424.2439999999999</v>
      </c>
      <c r="T48" s="180">
        <f t="shared" si="4"/>
        <v>1460.1530000000002</v>
      </c>
      <c r="U48" s="180">
        <f t="shared" si="4"/>
        <v>1499.606</v>
      </c>
      <c r="V48" s="180">
        <f t="shared" si="4"/>
        <v>1535.6180000000002</v>
      </c>
      <c r="W48" s="180">
        <f t="shared" si="4"/>
        <v>1565.771</v>
      </c>
      <c r="X48" s="180">
        <f t="shared" si="4"/>
        <v>1638.61</v>
      </c>
      <c r="Y48" s="180">
        <f t="shared" si="4"/>
        <v>1679.4730000000002</v>
      </c>
      <c r="Z48" s="180">
        <f t="shared" si="4"/>
        <v>1756.5349999999999</v>
      </c>
      <c r="AA48" s="180">
        <f t="shared" si="4"/>
        <v>1794.1990000000001</v>
      </c>
      <c r="AB48" s="180">
        <f t="shared" si="4"/>
        <v>1864.7249999999999</v>
      </c>
      <c r="AC48" s="180">
        <f t="shared" si="4"/>
        <v>1917.5219999999999</v>
      </c>
      <c r="AD48" s="180">
        <f t="shared" si="4"/>
        <v>1986.35</v>
      </c>
      <c r="AE48" s="180">
        <f t="shared" si="4"/>
        <v>2031.3999999999999</v>
      </c>
      <c r="AF48" s="180">
        <f t="shared" si="4"/>
        <v>2127.7420000000002</v>
      </c>
      <c r="AG48" s="180">
        <f t="shared" si="4"/>
        <v>2188.5450000000001</v>
      </c>
      <c r="AH48" s="180">
        <f t="shared" si="4"/>
        <v>2275.8960000000002</v>
      </c>
      <c r="AI48" s="180">
        <f t="shared" si="4"/>
        <v>2335.2020000000002</v>
      </c>
      <c r="AJ48" s="180">
        <f t="shared" si="4"/>
        <v>2440.8139999999994</v>
      </c>
      <c r="AK48" s="180">
        <f t="shared" si="4"/>
        <v>2509.6589999999997</v>
      </c>
      <c r="AL48" s="180">
        <f t="shared" si="4"/>
        <v>2629.864</v>
      </c>
      <c r="AM48" s="180">
        <f t="shared" si="4"/>
        <v>2688.82</v>
      </c>
      <c r="AN48" s="180">
        <f t="shared" si="4"/>
        <v>2831.3069999999998</v>
      </c>
      <c r="AO48" s="180">
        <f t="shared" si="4"/>
        <v>2893.2179999999998</v>
      </c>
      <c r="AP48" s="180">
        <f t="shared" si="4"/>
        <v>3031.9270000000001</v>
      </c>
      <c r="AQ48" s="180">
        <f t="shared" si="4"/>
        <v>3089.924</v>
      </c>
      <c r="AR48" s="180">
        <f t="shared" si="4"/>
        <v>3228.4380000000001</v>
      </c>
      <c r="AS48" s="180">
        <f t="shared" si="4"/>
        <v>3284.3319999999999</v>
      </c>
      <c r="AT48" s="180">
        <f t="shared" si="4"/>
        <v>3419.8629999999998</v>
      </c>
      <c r="AU48" s="180">
        <f t="shared" si="4"/>
        <v>3445.9609999999993</v>
      </c>
      <c r="AV48" s="180">
        <f t="shared" si="4"/>
        <v>3618.8520000000003</v>
      </c>
      <c r="AW48" s="180">
        <f t="shared" si="4"/>
        <v>3665.51</v>
      </c>
      <c r="AX48" s="180">
        <f t="shared" si="4"/>
        <v>3824.3620000000001</v>
      </c>
      <c r="AY48" s="180">
        <f t="shared" si="4"/>
        <v>3882.2189999999991</v>
      </c>
      <c r="AZ48" s="180">
        <f t="shared" si="4"/>
        <v>3956.2840000000006</v>
      </c>
      <c r="BA48" s="180">
        <f t="shared" si="4"/>
        <v>4040.73</v>
      </c>
      <c r="BB48" s="180">
        <f t="shared" si="4"/>
        <v>4046.6790000000005</v>
      </c>
      <c r="BC48" s="180">
        <f t="shared" si="4"/>
        <v>4093.299</v>
      </c>
      <c r="BD48" s="180">
        <f t="shared" si="4"/>
        <v>4187.5569999999998</v>
      </c>
      <c r="BE48" s="180">
        <f t="shared" si="4"/>
        <v>4288.2629999999999</v>
      </c>
      <c r="BF48" s="180">
        <f t="shared" si="4"/>
        <v>4391.9520000000002</v>
      </c>
      <c r="BG48" s="180">
        <f t="shared" si="4"/>
        <v>4459.1699999999992</v>
      </c>
      <c r="BH48" s="180">
        <f t="shared" si="4"/>
        <v>4555.6909999999998</v>
      </c>
      <c r="BI48" s="180">
        <f t="shared" si="4"/>
        <v>4670.6579999999994</v>
      </c>
      <c r="BJ48" s="180">
        <f t="shared" si="4"/>
        <v>4775.186999999999</v>
      </c>
      <c r="BK48" s="180">
        <f t="shared" si="4"/>
        <v>4912.0160000000005</v>
      </c>
      <c r="BL48" s="180">
        <f t="shared" si="4"/>
        <v>5072.0609999999997</v>
      </c>
      <c r="BM48" s="180">
        <f t="shared" si="4"/>
        <v>5207.4029999999993</v>
      </c>
      <c r="BN48" s="180">
        <f t="shared" si="4"/>
        <v>5304.259</v>
      </c>
      <c r="BO48" s="180">
        <f t="shared" si="4"/>
        <v>5422.7220000000007</v>
      </c>
    </row>
    <row r="49" spans="2:69" x14ac:dyDescent="0.25">
      <c r="C49" s="75" t="s">
        <v>67</v>
      </c>
      <c r="D49" s="75"/>
      <c r="E49" s="75" t="s">
        <v>543</v>
      </c>
      <c r="F49" s="12">
        <v>1004.4</v>
      </c>
      <c r="G49" s="12">
        <v>1004.4</v>
      </c>
      <c r="H49" s="12">
        <v>1004.4</v>
      </c>
      <c r="I49" s="12">
        <v>1004.4</v>
      </c>
      <c r="J49" s="12">
        <v>1004.4</v>
      </c>
      <c r="K49" s="12">
        <v>1004.4</v>
      </c>
      <c r="L49" s="12">
        <v>1004.4</v>
      </c>
      <c r="M49" s="12">
        <v>1004.4</v>
      </c>
      <c r="N49" s="12">
        <v>1004.4</v>
      </c>
      <c r="O49" s="12">
        <v>1004.4</v>
      </c>
      <c r="P49" s="12">
        <v>1004.4</v>
      </c>
      <c r="Q49" s="12">
        <v>1004.4</v>
      </c>
      <c r="R49" s="12">
        <v>1004.4</v>
      </c>
      <c r="S49" s="12">
        <v>997.54200000000003</v>
      </c>
      <c r="T49" s="12">
        <v>1004.4</v>
      </c>
      <c r="U49" s="12">
        <v>1004.4</v>
      </c>
      <c r="V49" s="12">
        <v>1004.4</v>
      </c>
      <c r="W49" s="12">
        <v>1004.4</v>
      </c>
      <c r="X49" s="12">
        <v>1041.9000000000001</v>
      </c>
      <c r="Y49" s="12">
        <v>1041.9000000000001</v>
      </c>
      <c r="Z49" s="12">
        <v>1078.19</v>
      </c>
      <c r="AA49" s="12">
        <v>1078.19</v>
      </c>
      <c r="AB49" s="12">
        <v>1113.92</v>
      </c>
      <c r="AC49" s="12">
        <v>1113.92</v>
      </c>
      <c r="AD49" s="12">
        <v>1150.9849999999999</v>
      </c>
      <c r="AE49" s="12">
        <v>1150.9849999999999</v>
      </c>
      <c r="AF49" s="12">
        <v>1191.586</v>
      </c>
      <c r="AG49" s="12">
        <v>1191.586</v>
      </c>
      <c r="AH49" s="12">
        <v>1234.1890000000001</v>
      </c>
      <c r="AI49" s="12">
        <v>1927.1310000000001</v>
      </c>
      <c r="AJ49" s="12">
        <v>1980.1389999999999</v>
      </c>
      <c r="AK49" s="12">
        <v>1980.1389999999999</v>
      </c>
      <c r="AL49" s="12">
        <v>2043.0139999999999</v>
      </c>
      <c r="AM49" s="12">
        <v>2043.0139999999999</v>
      </c>
      <c r="AN49" s="12">
        <v>2121.7649999999999</v>
      </c>
      <c r="AO49" s="12">
        <v>2121.7649999999999</v>
      </c>
      <c r="AP49" s="12">
        <v>2203.2440000000001</v>
      </c>
      <c r="AQ49" s="12">
        <v>2203.2440000000001</v>
      </c>
      <c r="AR49" s="12">
        <v>2291.0650000000001</v>
      </c>
      <c r="AS49" s="12">
        <v>2291.0650000000001</v>
      </c>
      <c r="AT49" s="12">
        <v>2378.511</v>
      </c>
      <c r="AU49" s="12">
        <v>2378.511</v>
      </c>
      <c r="AV49" s="12">
        <v>2470.3130000000001</v>
      </c>
      <c r="AW49" s="12">
        <v>2470.3130000000001</v>
      </c>
      <c r="AX49" s="12">
        <v>2565.8919999999998</v>
      </c>
      <c r="AY49" s="12">
        <v>2565.8919999999998</v>
      </c>
      <c r="AZ49" s="12">
        <v>2565.8910000000001</v>
      </c>
      <c r="BA49" s="12">
        <v>2565.8910000000001</v>
      </c>
      <c r="BB49" s="12">
        <v>2565.8910000000001</v>
      </c>
      <c r="BC49" s="12">
        <v>2565.8919999999998</v>
      </c>
      <c r="BD49" s="12">
        <v>2565.8919999999998</v>
      </c>
      <c r="BE49" s="12">
        <v>2594.681</v>
      </c>
      <c r="BF49" s="12">
        <v>2657.1559999999999</v>
      </c>
      <c r="BG49" s="12">
        <v>2657.1559999999999</v>
      </c>
      <c r="BH49" s="12">
        <v>2657.1559999999999</v>
      </c>
      <c r="BI49" s="12">
        <v>4315.0169999999998</v>
      </c>
      <c r="BJ49" s="12">
        <v>4315.0169999999998</v>
      </c>
      <c r="BK49" s="12">
        <v>4315.0169999999998</v>
      </c>
      <c r="BL49" s="12">
        <v>4315.0169999999998</v>
      </c>
      <c r="BM49" s="12">
        <v>4315.0169999999998</v>
      </c>
      <c r="BN49" s="12">
        <v>4315.0169999999998</v>
      </c>
      <c r="BO49" s="13">
        <v>4315.0169999999998</v>
      </c>
      <c r="BQ49" s="1"/>
    </row>
    <row r="50" spans="2:69" x14ac:dyDescent="0.25">
      <c r="C50" s="75" t="s">
        <v>268</v>
      </c>
      <c r="D50" s="75"/>
      <c r="E50" s="75" t="s">
        <v>544</v>
      </c>
      <c r="F50" s="12">
        <v>0.438</v>
      </c>
      <c r="G50" s="12">
        <v>0.61499999999999999</v>
      </c>
      <c r="H50" s="12">
        <v>0.61499999999999999</v>
      </c>
      <c r="I50" s="12">
        <v>0.67100000000000004</v>
      </c>
      <c r="J50" s="12">
        <v>0.67100000000000004</v>
      </c>
      <c r="K50" s="12">
        <v>0.67100000000000004</v>
      </c>
      <c r="L50" s="12">
        <v>0.67100000000000004</v>
      </c>
      <c r="M50" s="12">
        <v>0.67100000000000004</v>
      </c>
      <c r="N50" s="12">
        <v>0.67100000000000004</v>
      </c>
      <c r="O50" s="12">
        <v>0.67100000000000004</v>
      </c>
      <c r="P50" s="12">
        <v>0.67100000000000004</v>
      </c>
      <c r="Q50" s="12">
        <v>0.67100000000000004</v>
      </c>
      <c r="R50" s="12">
        <v>0.67100000000000004</v>
      </c>
      <c r="S50" s="12">
        <v>0.67100000000000004</v>
      </c>
      <c r="T50" s="12">
        <v>0.67100000000000004</v>
      </c>
      <c r="U50" s="12">
        <v>0.67100000000000004</v>
      </c>
      <c r="V50" s="12">
        <v>0.67100000000000004</v>
      </c>
      <c r="W50" s="12">
        <v>0.67100000000000004</v>
      </c>
      <c r="X50" s="12">
        <v>1.1479999999999999</v>
      </c>
      <c r="Y50" s="12">
        <v>2.41</v>
      </c>
      <c r="Z50" s="12">
        <v>4.6840000000000002</v>
      </c>
      <c r="AA50" s="12">
        <v>7.4420000000000002</v>
      </c>
      <c r="AB50" s="12">
        <v>8.032</v>
      </c>
      <c r="AC50" s="12">
        <v>11.739000000000001</v>
      </c>
      <c r="AD50" s="12">
        <v>13.295999999999999</v>
      </c>
      <c r="AE50" s="12">
        <v>17.777000000000001</v>
      </c>
      <c r="AF50" s="12">
        <v>16.440000000000001</v>
      </c>
      <c r="AG50" s="12">
        <v>20.939</v>
      </c>
      <c r="AH50" s="12">
        <v>20.332000000000001</v>
      </c>
      <c r="AI50" s="12">
        <v>25.355</v>
      </c>
      <c r="AJ50" s="12">
        <v>21.946000000000002</v>
      </c>
      <c r="AK50" s="12">
        <v>27.013000000000002</v>
      </c>
      <c r="AL50" s="12">
        <v>24.74</v>
      </c>
      <c r="AM50" s="12">
        <v>30.021999999999998</v>
      </c>
      <c r="AN50" s="12">
        <v>26.975000000000001</v>
      </c>
      <c r="AO50" s="12">
        <v>32.421999999999997</v>
      </c>
      <c r="AP50" s="12">
        <v>26.928000000000001</v>
      </c>
      <c r="AQ50" s="12">
        <v>32.47</v>
      </c>
      <c r="AR50" s="12">
        <v>29.465</v>
      </c>
      <c r="AS50" s="12">
        <v>35.195999999999998</v>
      </c>
      <c r="AT50" s="12">
        <v>30.741</v>
      </c>
      <c r="AU50" s="12">
        <v>42.552999999999997</v>
      </c>
      <c r="AV50" s="12">
        <v>33.819000000000003</v>
      </c>
      <c r="AW50" s="12">
        <v>45.466999999999999</v>
      </c>
      <c r="AX50" s="12">
        <v>32.396000000000001</v>
      </c>
      <c r="AY50" s="12">
        <v>45.47</v>
      </c>
      <c r="AZ50" s="12">
        <v>32.311</v>
      </c>
      <c r="BA50" s="12">
        <v>45.651000000000003</v>
      </c>
      <c r="BB50" s="12">
        <v>29.446000000000002</v>
      </c>
      <c r="BC50" s="12">
        <v>43.259</v>
      </c>
      <c r="BD50" s="12">
        <v>32.433999999999997</v>
      </c>
      <c r="BE50" s="12">
        <v>38.595999999999997</v>
      </c>
      <c r="BF50" s="12">
        <v>27.202000000000002</v>
      </c>
      <c r="BG50" s="12">
        <v>31.268000000000001</v>
      </c>
      <c r="BH50" s="12">
        <v>27.788</v>
      </c>
      <c r="BI50" s="12">
        <v>32.246000000000002</v>
      </c>
      <c r="BJ50" s="12">
        <v>24.751999999999999</v>
      </c>
      <c r="BK50" s="12">
        <v>43.198</v>
      </c>
      <c r="BL50" s="12">
        <v>45.832000000000001</v>
      </c>
      <c r="BM50" s="12">
        <v>57.334000000000003</v>
      </c>
      <c r="BN50" s="12">
        <v>53.331000000000003</v>
      </c>
      <c r="BO50" s="13">
        <v>66.313999999999993</v>
      </c>
      <c r="BQ50" s="1"/>
    </row>
    <row r="51" spans="2:69" x14ac:dyDescent="0.25">
      <c r="C51" s="75" t="s">
        <v>183</v>
      </c>
      <c r="D51" s="75"/>
      <c r="E51" s="75" t="s">
        <v>545</v>
      </c>
      <c r="F51" s="12">
        <v>26.408000000000001</v>
      </c>
      <c r="G51" s="12">
        <v>90.527000000000001</v>
      </c>
      <c r="H51" s="12">
        <v>86.313999999999993</v>
      </c>
      <c r="I51" s="12">
        <v>162.26300000000001</v>
      </c>
      <c r="J51" s="12">
        <v>162.09399999999999</v>
      </c>
      <c r="K51" s="12">
        <v>165.06</v>
      </c>
      <c r="L51" s="12">
        <v>165.06</v>
      </c>
      <c r="M51" s="12">
        <v>213.249</v>
      </c>
      <c r="N51" s="12">
        <v>213.249</v>
      </c>
      <c r="O51" s="12">
        <v>218.10400000000001</v>
      </c>
      <c r="P51" s="12">
        <v>218.10400000000001</v>
      </c>
      <c r="Q51" s="12">
        <v>342.87</v>
      </c>
      <c r="R51" s="12">
        <v>379.38200000000001</v>
      </c>
      <c r="S51" s="12">
        <v>355.57299999999998</v>
      </c>
      <c r="T51" s="12">
        <v>345.76100000000002</v>
      </c>
      <c r="U51" s="12">
        <v>494.21300000000002</v>
      </c>
      <c r="V51" s="12">
        <v>494.21300000000002</v>
      </c>
      <c r="W51" s="12">
        <v>498.209</v>
      </c>
      <c r="X51" s="12">
        <v>498.209</v>
      </c>
      <c r="Y51" s="12">
        <v>632.36</v>
      </c>
      <c r="Z51" s="12">
        <v>632.36</v>
      </c>
      <c r="AA51" s="12">
        <v>633.803</v>
      </c>
      <c r="AB51" s="12">
        <v>622.65099999999995</v>
      </c>
      <c r="AC51" s="12">
        <v>794.49699999999996</v>
      </c>
      <c r="AD51" s="12">
        <v>780.26800000000003</v>
      </c>
      <c r="AE51" s="12">
        <v>772.29600000000005</v>
      </c>
      <c r="AF51" s="12">
        <v>774.32100000000003</v>
      </c>
      <c r="AG51" s="12">
        <v>979.66800000000001</v>
      </c>
      <c r="AH51" s="12">
        <v>980.42399999999998</v>
      </c>
      <c r="AI51" s="12">
        <v>290.91199999999998</v>
      </c>
      <c r="AJ51" s="12">
        <v>291.58499999999998</v>
      </c>
      <c r="AK51" s="12">
        <v>513.46500000000003</v>
      </c>
      <c r="AL51" s="12">
        <v>518.04200000000003</v>
      </c>
      <c r="AM51" s="12">
        <v>525.63599999999997</v>
      </c>
      <c r="AN51" s="12">
        <v>533.18499999999995</v>
      </c>
      <c r="AO51" s="12">
        <v>738.78899999999999</v>
      </c>
      <c r="AP51" s="12">
        <v>749.76</v>
      </c>
      <c r="AQ51" s="12">
        <v>757.44200000000001</v>
      </c>
      <c r="AR51" s="12">
        <v>765.51</v>
      </c>
      <c r="AS51" s="12">
        <v>960.58100000000002</v>
      </c>
      <c r="AT51" s="12">
        <v>972.79499999999996</v>
      </c>
      <c r="AU51" s="12">
        <v>958.47900000000004</v>
      </c>
      <c r="AV51" s="12">
        <v>973.51599999999996</v>
      </c>
      <c r="AW51" s="12">
        <v>972.81600000000003</v>
      </c>
      <c r="AX51" s="12">
        <v>1176.7660000000001</v>
      </c>
      <c r="AY51" s="12">
        <v>1147.3399999999999</v>
      </c>
      <c r="AZ51" s="12">
        <v>1150.7070000000001</v>
      </c>
      <c r="BA51" s="12">
        <v>1130.692</v>
      </c>
      <c r="BB51" s="12">
        <v>1419.374</v>
      </c>
      <c r="BC51" s="12">
        <v>1418.989</v>
      </c>
      <c r="BD51" s="12">
        <v>1448.4290000000001</v>
      </c>
      <c r="BE51" s="12">
        <v>1656.0029999999999</v>
      </c>
      <c r="BF51" s="12">
        <v>1645.174</v>
      </c>
      <c r="BG51" s="12">
        <v>1632.4749999999999</v>
      </c>
      <c r="BH51" s="12">
        <v>1631.8689999999999</v>
      </c>
      <c r="BI51" s="12">
        <v>332.41199999999998</v>
      </c>
      <c r="BJ51" s="12">
        <v>337.95299999999997</v>
      </c>
      <c r="BK51" s="12">
        <v>338.02800000000002</v>
      </c>
      <c r="BL51" s="12">
        <v>363.334</v>
      </c>
      <c r="BM51" s="12">
        <v>836.43200000000002</v>
      </c>
      <c r="BN51" s="12">
        <v>845.55499999999995</v>
      </c>
      <c r="BO51" s="13">
        <v>839.70699999999999</v>
      </c>
      <c r="BQ51" s="1"/>
    </row>
    <row r="52" spans="2:69" x14ac:dyDescent="0.25">
      <c r="C52" s="75" t="s">
        <v>68</v>
      </c>
      <c r="D52" s="75"/>
      <c r="E52" s="75" t="s">
        <v>546</v>
      </c>
      <c r="F52" s="246">
        <v>-6.0140000000000002</v>
      </c>
      <c r="G52" s="246">
        <v>-8.5139999999999993</v>
      </c>
      <c r="H52" s="246">
        <v>-8.1820000000000004</v>
      </c>
      <c r="I52" s="246">
        <v>-5.5940000000000003</v>
      </c>
      <c r="J52" s="246">
        <v>-0.66600000000000004</v>
      </c>
      <c r="K52" s="246">
        <v>-0.64400000000000002</v>
      </c>
      <c r="L52" s="246">
        <v>0.08</v>
      </c>
      <c r="M52" s="246">
        <v>0.121</v>
      </c>
      <c r="N52" s="246">
        <v>4.5999999999999999E-2</v>
      </c>
      <c r="O52" s="246">
        <v>-5.7000000000000002E-2</v>
      </c>
      <c r="P52" s="246">
        <v>-8.9999999999999993E-3</v>
      </c>
      <c r="Q52" s="246">
        <v>-2.3E-2</v>
      </c>
      <c r="R52" s="246">
        <v>-0.113</v>
      </c>
      <c r="S52" s="246">
        <v>-0.26700000000000002</v>
      </c>
      <c r="T52" s="246">
        <v>0.23599999999999999</v>
      </c>
      <c r="U52" s="246">
        <v>0.32200000000000001</v>
      </c>
      <c r="V52" s="246">
        <v>1.905</v>
      </c>
      <c r="W52" s="246">
        <v>0.64500000000000002</v>
      </c>
      <c r="X52" s="246">
        <v>1.4359999999999999</v>
      </c>
      <c r="Y52" s="246">
        <v>2.8029999999999999</v>
      </c>
      <c r="Z52" s="246">
        <v>2.6150000000000002</v>
      </c>
      <c r="AA52" s="246">
        <v>-1.0329999999999999</v>
      </c>
      <c r="AB52" s="246">
        <v>-1.546</v>
      </c>
      <c r="AC52" s="246">
        <v>-2.6339999999999999</v>
      </c>
      <c r="AD52" s="246">
        <v>-6.2690000000000001</v>
      </c>
      <c r="AE52" s="246">
        <v>-4.8419999999999996</v>
      </c>
      <c r="AF52" s="246">
        <v>-3.052</v>
      </c>
      <c r="AG52" s="246">
        <v>-3.6480000000000001</v>
      </c>
      <c r="AH52" s="246">
        <v>-9.7409999999999997</v>
      </c>
      <c r="AI52" s="246">
        <v>-7.9870000000000001</v>
      </c>
      <c r="AJ52" s="246">
        <v>-12.663</v>
      </c>
      <c r="AK52" s="246">
        <v>-10.958</v>
      </c>
      <c r="AL52" s="246">
        <v>-1.4390000000000001</v>
      </c>
      <c r="AM52" s="246">
        <v>-2.6869999999999998</v>
      </c>
      <c r="AN52" s="246">
        <v>1.3</v>
      </c>
      <c r="AO52" s="246">
        <v>0.24199999999999999</v>
      </c>
      <c r="AP52" s="246">
        <v>7.7329999999999997</v>
      </c>
      <c r="AQ52" s="246">
        <v>6.2930000000000001</v>
      </c>
      <c r="AR52" s="246">
        <v>-1.4279999999999999</v>
      </c>
      <c r="AS52" s="246">
        <v>-2.5099999999999998</v>
      </c>
      <c r="AT52" s="246">
        <v>-16.542999999999999</v>
      </c>
      <c r="AU52" s="246">
        <v>-34.771000000000001</v>
      </c>
      <c r="AV52" s="246">
        <v>-22.47</v>
      </c>
      <c r="AW52" s="246">
        <v>-9.7149999999999999</v>
      </c>
      <c r="AX52" s="246">
        <v>-7.2610000000000001</v>
      </c>
      <c r="AY52" s="246">
        <v>4.0129999999999999</v>
      </c>
      <c r="AZ52" s="246">
        <v>11.794</v>
      </c>
      <c r="BA52" s="246">
        <v>7.9690000000000003</v>
      </c>
      <c r="BB52" s="246">
        <v>1.1479999999999999</v>
      </c>
      <c r="BC52" s="246">
        <v>-11.874000000000001</v>
      </c>
      <c r="BD52" s="246">
        <v>-16.831</v>
      </c>
      <c r="BE52" s="246">
        <v>-1.0169999999999999</v>
      </c>
      <c r="BF52" s="246">
        <v>-14.05</v>
      </c>
      <c r="BG52" s="246">
        <v>-13.393000000000001</v>
      </c>
      <c r="BH52" s="246">
        <v>-13.935</v>
      </c>
      <c r="BI52" s="246">
        <v>-10.212</v>
      </c>
      <c r="BJ52" s="246">
        <v>-17.707000000000001</v>
      </c>
      <c r="BK52" s="246">
        <v>-23.981999999999999</v>
      </c>
      <c r="BL52" s="246">
        <v>-10.734</v>
      </c>
      <c r="BM52" s="246">
        <v>-3.3969999999999998</v>
      </c>
      <c r="BN52" s="246">
        <v>-7.649</v>
      </c>
      <c r="BO52" s="246">
        <v>-7.2889999999999997</v>
      </c>
      <c r="BQ52" s="1"/>
    </row>
    <row r="53" spans="2:69" x14ac:dyDescent="0.25">
      <c r="C53" s="75" t="s">
        <v>69</v>
      </c>
      <c r="D53" s="75"/>
      <c r="E53" s="75" t="s">
        <v>547</v>
      </c>
      <c r="F53" s="12">
        <v>81.778000000000006</v>
      </c>
      <c r="G53" s="12">
        <v>44.76</v>
      </c>
      <c r="H53" s="12">
        <v>75.613</v>
      </c>
      <c r="I53" s="12">
        <v>0</v>
      </c>
      <c r="J53" s="12">
        <v>8.8320000000000007</v>
      </c>
      <c r="K53" s="12">
        <v>-10.015000000000001</v>
      </c>
      <c r="L53" s="12">
        <v>11.965</v>
      </c>
      <c r="M53" s="12">
        <v>0</v>
      </c>
      <c r="N53" s="12">
        <v>28.783000000000001</v>
      </c>
      <c r="O53" s="12">
        <v>55.948</v>
      </c>
      <c r="P53" s="12">
        <v>88.912000000000006</v>
      </c>
      <c r="Q53" s="12">
        <v>0</v>
      </c>
      <c r="R53" s="12">
        <v>0</v>
      </c>
      <c r="S53" s="12">
        <v>70.724999999999994</v>
      </c>
      <c r="T53" s="12">
        <v>109.08499999999999</v>
      </c>
      <c r="U53" s="12">
        <v>0</v>
      </c>
      <c r="V53" s="12">
        <v>34.429000000000002</v>
      </c>
      <c r="W53" s="12">
        <v>61.845999999999997</v>
      </c>
      <c r="X53" s="12">
        <v>95.917000000000002</v>
      </c>
      <c r="Y53" s="12">
        <v>0</v>
      </c>
      <c r="Z53" s="12">
        <v>38.686</v>
      </c>
      <c r="AA53" s="12">
        <v>75.796999999999997</v>
      </c>
      <c r="AB53" s="12">
        <v>121.66800000000001</v>
      </c>
      <c r="AC53" s="12">
        <v>0</v>
      </c>
      <c r="AD53" s="12">
        <v>48.07</v>
      </c>
      <c r="AE53" s="12">
        <v>95.183999999999997</v>
      </c>
      <c r="AF53" s="12">
        <v>148.447</v>
      </c>
      <c r="AG53" s="12">
        <v>0</v>
      </c>
      <c r="AH53" s="12">
        <v>50.692</v>
      </c>
      <c r="AI53" s="12">
        <v>99.790999999999997</v>
      </c>
      <c r="AJ53" s="12">
        <v>159.80699999999999</v>
      </c>
      <c r="AK53" s="12">
        <v>0</v>
      </c>
      <c r="AL53" s="12">
        <v>45.506999999999998</v>
      </c>
      <c r="AM53" s="12">
        <v>92.834999999999994</v>
      </c>
      <c r="AN53" s="12">
        <v>148.08199999999999</v>
      </c>
      <c r="AO53" s="12">
        <v>0</v>
      </c>
      <c r="AP53" s="12">
        <v>44.262</v>
      </c>
      <c r="AQ53" s="12">
        <v>90.474999999999994</v>
      </c>
      <c r="AR53" s="12">
        <v>143.82599999999999</v>
      </c>
      <c r="AS53" s="12">
        <v>0</v>
      </c>
      <c r="AT53" s="12">
        <v>54.359000000000002</v>
      </c>
      <c r="AU53" s="12">
        <v>101.18899999999999</v>
      </c>
      <c r="AV53" s="12">
        <v>163.67400000000001</v>
      </c>
      <c r="AW53" s="12">
        <v>186.62899999999999</v>
      </c>
      <c r="AX53" s="12">
        <v>56.569000000000003</v>
      </c>
      <c r="AY53" s="12">
        <v>119.504</v>
      </c>
      <c r="AZ53" s="12">
        <v>195.58099999999999</v>
      </c>
      <c r="BA53" s="12">
        <v>290.52699999999999</v>
      </c>
      <c r="BB53" s="12">
        <v>30.82</v>
      </c>
      <c r="BC53" s="12">
        <v>77.033000000000001</v>
      </c>
      <c r="BD53" s="12">
        <v>157.63300000000001</v>
      </c>
      <c r="BE53" s="12">
        <v>0</v>
      </c>
      <c r="BF53" s="12">
        <v>76.47</v>
      </c>
      <c r="BG53" s="12">
        <v>151.66399999999999</v>
      </c>
      <c r="BH53" s="12">
        <v>252.08199999999999</v>
      </c>
      <c r="BI53" s="12">
        <v>0</v>
      </c>
      <c r="BJ53" s="12">
        <v>114.25700000000001</v>
      </c>
      <c r="BK53" s="12">
        <v>238.31100000000001</v>
      </c>
      <c r="BL53" s="12">
        <v>357.27499999999998</v>
      </c>
      <c r="BM53" s="12">
        <v>0</v>
      </c>
      <c r="BN53" s="12">
        <v>96.852000000000004</v>
      </c>
      <c r="BO53" s="33">
        <v>207.06200000000001</v>
      </c>
      <c r="BQ53" s="1"/>
    </row>
    <row r="54" spans="2:69" x14ac:dyDescent="0.25">
      <c r="C54" s="75" t="s">
        <v>333</v>
      </c>
      <c r="D54" s="75"/>
      <c r="E54" s="75" t="s">
        <v>548</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c r="AL54" s="12">
        <v>0</v>
      </c>
      <c r="AM54" s="12">
        <v>0</v>
      </c>
      <c r="AN54" s="12">
        <v>0</v>
      </c>
      <c r="AO54" s="12">
        <v>0</v>
      </c>
      <c r="AP54" s="12">
        <v>0</v>
      </c>
      <c r="AQ54" s="12">
        <v>0</v>
      </c>
      <c r="AR54" s="12">
        <v>0</v>
      </c>
      <c r="AS54" s="12">
        <v>0</v>
      </c>
      <c r="AT54" s="12">
        <v>0</v>
      </c>
      <c r="AU54" s="12">
        <v>0</v>
      </c>
      <c r="AV54" s="12">
        <v>0</v>
      </c>
      <c r="AW54" s="12">
        <v>0</v>
      </c>
      <c r="AX54" s="12">
        <v>0</v>
      </c>
      <c r="AY54" s="12">
        <v>0</v>
      </c>
      <c r="AZ54" s="12">
        <v>0</v>
      </c>
      <c r="BA54" s="12">
        <v>0</v>
      </c>
      <c r="BB54" s="12">
        <v>0</v>
      </c>
      <c r="BC54" s="12">
        <v>0</v>
      </c>
      <c r="BD54" s="12">
        <v>0</v>
      </c>
      <c r="BE54" s="12">
        <v>0</v>
      </c>
      <c r="BF54" s="12">
        <v>0</v>
      </c>
      <c r="BG54" s="12">
        <v>0</v>
      </c>
      <c r="BH54" s="12">
        <v>0.73099999999999998</v>
      </c>
      <c r="BI54" s="12">
        <v>1.1950000000000001</v>
      </c>
      <c r="BJ54" s="12">
        <v>0.91500000000000004</v>
      </c>
      <c r="BK54" s="12">
        <v>1.444</v>
      </c>
      <c r="BL54" s="12">
        <v>1.337</v>
      </c>
      <c r="BM54" s="12">
        <v>2.0169999999999999</v>
      </c>
      <c r="BN54" s="12">
        <v>1.153</v>
      </c>
      <c r="BO54" s="33">
        <v>1.911</v>
      </c>
      <c r="BQ54" s="1"/>
    </row>
    <row r="55" spans="2:69" x14ac:dyDescent="0.25">
      <c r="C55" s="75"/>
      <c r="D55" s="75"/>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Q55" s="1"/>
    </row>
    <row r="56" spans="2:69" s="1" customFormat="1" x14ac:dyDescent="0.25">
      <c r="B56" s="157" t="s">
        <v>70</v>
      </c>
      <c r="C56" s="158"/>
      <c r="D56" s="158"/>
      <c r="E56" s="157" t="s">
        <v>523</v>
      </c>
      <c r="F56" s="159">
        <f>F35+F46+F48</f>
        <v>5882.2050000000008</v>
      </c>
      <c r="G56" s="159">
        <f t="shared" ref="G56:BO56" si="5">G35+G46+G48</f>
        <v>6309.5430000000015</v>
      </c>
      <c r="H56" s="159">
        <f t="shared" si="5"/>
        <v>7684.4090000000006</v>
      </c>
      <c r="I56" s="159">
        <f t="shared" si="5"/>
        <v>7494.9210000000003</v>
      </c>
      <c r="J56" s="159">
        <f t="shared" si="5"/>
        <v>6887.7620000000006</v>
      </c>
      <c r="K56" s="159">
        <f t="shared" si="5"/>
        <v>6619.6559999999999</v>
      </c>
      <c r="L56" s="159">
        <f t="shared" si="5"/>
        <v>7467.1110000000008</v>
      </c>
      <c r="M56" s="159">
        <f t="shared" si="5"/>
        <v>7377.2239999999993</v>
      </c>
      <c r="N56" s="159">
        <f t="shared" si="5"/>
        <v>8156.0829999999987</v>
      </c>
      <c r="O56" s="159">
        <f t="shared" si="5"/>
        <v>9699.1020000000008</v>
      </c>
      <c r="P56" s="159">
        <f t="shared" si="5"/>
        <v>9839.116</v>
      </c>
      <c r="Q56" s="159">
        <f t="shared" si="5"/>
        <v>9816.887999999999</v>
      </c>
      <c r="R56" s="159">
        <f t="shared" si="5"/>
        <v>9805.3100000000013</v>
      </c>
      <c r="S56" s="159">
        <f t="shared" si="5"/>
        <v>10251.778</v>
      </c>
      <c r="T56" s="159">
        <f t="shared" si="5"/>
        <v>11642.141999999998</v>
      </c>
      <c r="U56" s="159">
        <f t="shared" si="5"/>
        <v>10510.815000000001</v>
      </c>
      <c r="V56" s="159">
        <f t="shared" si="5"/>
        <v>11628.742</v>
      </c>
      <c r="W56" s="159">
        <f t="shared" si="5"/>
        <v>12909.774000000001</v>
      </c>
      <c r="X56" s="159">
        <f t="shared" si="5"/>
        <v>13153.805000000002</v>
      </c>
      <c r="Y56" s="159">
        <f t="shared" si="5"/>
        <v>13483.126</v>
      </c>
      <c r="Z56" s="159">
        <f t="shared" si="5"/>
        <v>13973.894</v>
      </c>
      <c r="AA56" s="159">
        <f t="shared" si="5"/>
        <v>16381.821000000002</v>
      </c>
      <c r="AB56" s="159">
        <f t="shared" si="5"/>
        <v>17195.203999999998</v>
      </c>
      <c r="AC56" s="159">
        <f t="shared" si="5"/>
        <v>17259.744999999999</v>
      </c>
      <c r="AD56" s="159">
        <f t="shared" si="5"/>
        <v>18393.710999999996</v>
      </c>
      <c r="AE56" s="159">
        <f t="shared" si="5"/>
        <v>18229.172999999999</v>
      </c>
      <c r="AF56" s="159">
        <f t="shared" si="5"/>
        <v>19211.97</v>
      </c>
      <c r="AG56" s="159">
        <f t="shared" si="5"/>
        <v>20740.423999999999</v>
      </c>
      <c r="AH56" s="159">
        <f t="shared" si="5"/>
        <v>23115.883000000005</v>
      </c>
      <c r="AI56" s="159">
        <f t="shared" si="5"/>
        <v>23073.813000000006</v>
      </c>
      <c r="AJ56" s="159">
        <f t="shared" si="5"/>
        <v>26488.017</v>
      </c>
      <c r="AK56" s="159">
        <f t="shared" si="5"/>
        <v>24212.41</v>
      </c>
      <c r="AL56" s="159">
        <f t="shared" si="5"/>
        <v>23445.019</v>
      </c>
      <c r="AM56" s="159">
        <f t="shared" si="5"/>
        <v>22721.7</v>
      </c>
      <c r="AN56" s="159">
        <f t="shared" si="5"/>
        <v>23543.137000000002</v>
      </c>
      <c r="AO56" s="159">
        <f t="shared" si="5"/>
        <v>25678.162000000004</v>
      </c>
      <c r="AP56" s="159">
        <f t="shared" si="5"/>
        <v>26191.982000000004</v>
      </c>
      <c r="AQ56" s="159">
        <f t="shared" si="5"/>
        <v>26549.172000000002</v>
      </c>
      <c r="AR56" s="159">
        <f t="shared" si="5"/>
        <v>26988.588000000003</v>
      </c>
      <c r="AS56" s="159">
        <f t="shared" si="5"/>
        <v>28767.784999999996</v>
      </c>
      <c r="AT56" s="159">
        <f t="shared" si="5"/>
        <v>28362.556</v>
      </c>
      <c r="AU56" s="159">
        <f t="shared" si="5"/>
        <v>30923.040999999997</v>
      </c>
      <c r="AV56" s="159">
        <f t="shared" si="5"/>
        <v>31329.947</v>
      </c>
      <c r="AW56" s="159">
        <f t="shared" si="5"/>
        <v>32728.775999999998</v>
      </c>
      <c r="AX56" s="159">
        <f t="shared" si="5"/>
        <v>34406.306000000004</v>
      </c>
      <c r="AY56" s="159">
        <f t="shared" si="5"/>
        <v>35412.621136859998</v>
      </c>
      <c r="AZ56" s="159">
        <f t="shared" si="5"/>
        <v>37079.846006380001</v>
      </c>
      <c r="BA56" s="159">
        <f t="shared" si="5"/>
        <v>36257.229737139998</v>
      </c>
      <c r="BB56" s="159">
        <f t="shared" si="5"/>
        <v>49645.713869910003</v>
      </c>
      <c r="BC56" s="159">
        <f t="shared" si="5"/>
        <v>49868.570999999996</v>
      </c>
      <c r="BD56" s="159">
        <f t="shared" si="5"/>
        <v>46154.238000000005</v>
      </c>
      <c r="BE56" s="159">
        <f t="shared" si="5"/>
        <v>43328.841</v>
      </c>
      <c r="BF56" s="159">
        <f t="shared" si="5"/>
        <v>48700.959000000003</v>
      </c>
      <c r="BG56" s="159">
        <f t="shared" si="5"/>
        <v>44456.063999999998</v>
      </c>
      <c r="BH56" s="159">
        <f t="shared" si="5"/>
        <v>50115.184999999998</v>
      </c>
      <c r="BI56" s="159">
        <f t="shared" si="5"/>
        <v>49565.97</v>
      </c>
      <c r="BJ56" s="159">
        <f t="shared" si="5"/>
        <v>46285.495999999992</v>
      </c>
      <c r="BK56" s="159">
        <f t="shared" si="5"/>
        <v>50954.581000000006</v>
      </c>
      <c r="BL56" s="159">
        <f t="shared" si="5"/>
        <v>52616.157000000007</v>
      </c>
      <c r="BM56" s="159">
        <f t="shared" si="5"/>
        <v>57408.843999999997</v>
      </c>
      <c r="BN56" s="159">
        <f t="shared" si="5"/>
        <v>54154.887999999992</v>
      </c>
      <c r="BO56" s="159">
        <f t="shared" si="5"/>
        <v>54930.563000000009</v>
      </c>
    </row>
    <row r="57" spans="2:69" x14ac:dyDescent="0.25">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row>
    <row r="58" spans="2:69" x14ac:dyDescent="0.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row>
  </sheetData>
  <phoneticPr fontId="34" type="noConversion"/>
  <hyperlinks>
    <hyperlink ref="F6" location="'Índice - Index'!A1" display="Index" xr:uid="{4666BA92-31B5-4843-B447-F23C6317E055}"/>
    <hyperlink ref="BO6" location="'Índice - Index'!A1" display="Index" xr:uid="{97A6B357-5A75-4AD2-8CFA-CF719F52BB4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theme="3" tint="0.39997558519241921"/>
    <pageSetUpPr autoPageBreaks="0"/>
  </sheetPr>
  <dimension ref="B2:BP48"/>
  <sheetViews>
    <sheetView showGridLines="0" zoomScale="80" zoomScaleNormal="80" workbookViewId="0">
      <pane xSplit="5" ySplit="9" topLeftCell="BK10" activePane="bottomRight" state="frozen"/>
      <selection activeCell="D1" sqref="D1"/>
      <selection pane="topRight" activeCell="D1" sqref="D1"/>
      <selection pane="bottomLeft" activeCell="D1" sqref="D1"/>
      <selection pane="bottomRight" activeCell="BO9" sqref="BO9"/>
    </sheetView>
  </sheetViews>
  <sheetFormatPr defaultColWidth="12.5703125" defaultRowHeight="15" outlineLevelCol="1" x14ac:dyDescent="0.25"/>
  <cols>
    <col min="1" max="1" width="2.7109375" customWidth="1"/>
    <col min="2" max="2" width="1.7109375" customWidth="1" outlineLevel="1"/>
    <col min="3" max="3" width="61.140625" bestFit="1" customWidth="1" outlineLevel="1"/>
    <col min="4" max="4" width="1.7109375" customWidth="1"/>
    <col min="5" max="5" width="49.28515625" bestFit="1" customWidth="1" outlineLevel="1"/>
    <col min="6" max="53" width="12.85546875" customWidth="1"/>
    <col min="54" max="55" width="12.7109375" customWidth="1"/>
    <col min="68" max="68" width="13.140625" bestFit="1" customWidth="1"/>
  </cols>
  <sheetData>
    <row r="2" spans="2:68" x14ac:dyDescent="0.25">
      <c r="B2" t="s">
        <v>429</v>
      </c>
    </row>
    <row r="3" spans="2:68" ht="21" x14ac:dyDescent="0.35">
      <c r="C3" s="42"/>
      <c r="D3" s="42"/>
      <c r="E3" s="42"/>
    </row>
    <row r="4" spans="2:68" ht="15" customHeight="1" x14ac:dyDescent="0.25">
      <c r="C4" s="3"/>
      <c r="D4" s="3"/>
      <c r="E4" s="3"/>
    </row>
    <row r="5" spans="2:68" x14ac:dyDescent="0.25">
      <c r="C5" s="2"/>
      <c r="D5" s="2"/>
      <c r="E5" s="2"/>
    </row>
    <row r="6" spans="2:68" x14ac:dyDescent="0.25">
      <c r="F6" s="236" t="s">
        <v>486</v>
      </c>
      <c r="AC6" t="s">
        <v>429</v>
      </c>
      <c r="AT6" s="6"/>
      <c r="AU6" s="6"/>
      <c r="BO6" s="236" t="s">
        <v>486</v>
      </c>
    </row>
    <row r="7" spans="2:68" ht="17.25" customHeight="1" x14ac:dyDescent="0.3">
      <c r="B7" s="40" t="s">
        <v>403</v>
      </c>
      <c r="C7" s="40"/>
      <c r="D7" s="40"/>
      <c r="E7" s="40" t="s">
        <v>550</v>
      </c>
      <c r="F7" s="184">
        <v>2008</v>
      </c>
      <c r="G7" s="184">
        <v>2008</v>
      </c>
      <c r="H7" s="184">
        <v>2008</v>
      </c>
      <c r="I7" s="184">
        <v>2008</v>
      </c>
      <c r="J7" s="184">
        <v>2009</v>
      </c>
      <c r="K7" s="184">
        <v>2009</v>
      </c>
      <c r="L7" s="184">
        <v>2009</v>
      </c>
      <c r="M7" s="184">
        <v>2009</v>
      </c>
      <c r="N7" s="184">
        <v>2010</v>
      </c>
      <c r="O7" s="184">
        <v>2010</v>
      </c>
      <c r="P7" s="184">
        <v>2010</v>
      </c>
      <c r="Q7" s="184">
        <v>2010</v>
      </c>
      <c r="R7" s="184">
        <v>2011</v>
      </c>
      <c r="S7" s="184">
        <v>2011</v>
      </c>
      <c r="T7" s="184">
        <v>2011</v>
      </c>
      <c r="U7" s="184">
        <v>2011</v>
      </c>
      <c r="V7" s="184">
        <v>2012</v>
      </c>
      <c r="W7" s="184">
        <v>2012</v>
      </c>
      <c r="X7" s="184">
        <v>2012</v>
      </c>
      <c r="Y7" s="184">
        <v>2012</v>
      </c>
      <c r="Z7" s="184">
        <v>2013</v>
      </c>
      <c r="AA7" s="184">
        <v>2013</v>
      </c>
      <c r="AB7" s="184">
        <v>2013</v>
      </c>
      <c r="AC7" s="184">
        <v>2013</v>
      </c>
      <c r="AD7" s="184">
        <v>2014</v>
      </c>
      <c r="AE7" s="184">
        <v>2014</v>
      </c>
      <c r="AF7" s="184">
        <v>2014</v>
      </c>
      <c r="AG7" s="184">
        <v>2014</v>
      </c>
      <c r="AH7" s="184">
        <v>2015</v>
      </c>
      <c r="AI7" s="184">
        <v>2015</v>
      </c>
      <c r="AJ7" s="184">
        <v>2015</v>
      </c>
      <c r="AK7" s="184">
        <v>2015</v>
      </c>
      <c r="AL7" s="184">
        <v>2016</v>
      </c>
      <c r="AM7" s="184">
        <v>2016</v>
      </c>
      <c r="AN7" s="184">
        <v>2016</v>
      </c>
      <c r="AO7" s="184">
        <v>2016</v>
      </c>
      <c r="AP7" s="184">
        <v>2017</v>
      </c>
      <c r="AQ7" s="184">
        <v>2017</v>
      </c>
      <c r="AR7" s="184">
        <v>2017</v>
      </c>
      <c r="AS7" s="184">
        <v>2017</v>
      </c>
      <c r="AT7" s="184">
        <v>2018</v>
      </c>
      <c r="AU7" s="184">
        <v>2018</v>
      </c>
      <c r="AV7" s="184">
        <v>2018</v>
      </c>
      <c r="AW7" s="184">
        <v>2018</v>
      </c>
      <c r="AX7" s="184">
        <v>2019</v>
      </c>
      <c r="AY7" s="184">
        <v>2019</v>
      </c>
      <c r="AZ7" s="184">
        <v>2019</v>
      </c>
      <c r="BA7" s="184">
        <v>2019</v>
      </c>
      <c r="BB7" s="184">
        <v>2020</v>
      </c>
      <c r="BC7" s="184">
        <v>2020</v>
      </c>
      <c r="BD7" s="184">
        <v>2020</v>
      </c>
      <c r="BE7" s="184">
        <v>2020</v>
      </c>
      <c r="BF7" s="184">
        <v>2021</v>
      </c>
      <c r="BG7" s="184">
        <v>2021</v>
      </c>
      <c r="BH7" s="184">
        <v>2021</v>
      </c>
      <c r="BI7" s="184">
        <v>2021</v>
      </c>
      <c r="BJ7" s="184">
        <v>2022</v>
      </c>
      <c r="BK7" s="184">
        <v>2022</v>
      </c>
      <c r="BL7" s="184">
        <v>2022</v>
      </c>
      <c r="BM7" s="184">
        <v>2022</v>
      </c>
      <c r="BN7" s="184">
        <v>2023</v>
      </c>
    </row>
    <row r="8" spans="2:68" ht="17.25" customHeight="1" x14ac:dyDescent="0.25">
      <c r="B8" s="215" t="s">
        <v>434</v>
      </c>
      <c r="C8" s="216"/>
      <c r="D8" s="216"/>
      <c r="E8" s="215" t="s">
        <v>435</v>
      </c>
      <c r="F8" s="146" t="s">
        <v>551</v>
      </c>
      <c r="G8" s="146" t="s">
        <v>552</v>
      </c>
      <c r="H8" s="146" t="s">
        <v>553</v>
      </c>
      <c r="I8" s="146" t="s">
        <v>554</v>
      </c>
      <c r="J8" s="146" t="s">
        <v>555</v>
      </c>
      <c r="K8" s="146" t="s">
        <v>556</v>
      </c>
      <c r="L8" s="146" t="s">
        <v>557</v>
      </c>
      <c r="M8" s="146" t="s">
        <v>558</v>
      </c>
      <c r="N8" s="146" t="s">
        <v>559</v>
      </c>
      <c r="O8" s="146" t="s">
        <v>560</v>
      </c>
      <c r="P8" s="146" t="s">
        <v>561</v>
      </c>
      <c r="Q8" s="146" t="s">
        <v>562</v>
      </c>
      <c r="R8" s="146" t="s">
        <v>563</v>
      </c>
      <c r="S8" s="146" t="s">
        <v>564</v>
      </c>
      <c r="T8" s="146" t="s">
        <v>565</v>
      </c>
      <c r="U8" s="146" t="s">
        <v>566</v>
      </c>
      <c r="V8" s="146" t="s">
        <v>567</v>
      </c>
      <c r="W8" s="146" t="s">
        <v>568</v>
      </c>
      <c r="X8" s="146" t="s">
        <v>569</v>
      </c>
      <c r="Y8" s="146" t="s">
        <v>570</v>
      </c>
      <c r="Z8" s="146" t="s">
        <v>571</v>
      </c>
      <c r="AA8" s="146" t="s">
        <v>572</v>
      </c>
      <c r="AB8" s="146" t="s">
        <v>573</v>
      </c>
      <c r="AC8" s="146" t="s">
        <v>574</v>
      </c>
      <c r="AD8" s="146" t="s">
        <v>575</v>
      </c>
      <c r="AE8" s="146" t="s">
        <v>576</v>
      </c>
      <c r="AF8" s="146" t="s">
        <v>577</v>
      </c>
      <c r="AG8" s="146" t="s">
        <v>578</v>
      </c>
      <c r="AH8" s="146" t="s">
        <v>579</v>
      </c>
      <c r="AI8" s="146" t="s">
        <v>580</v>
      </c>
      <c r="AJ8" s="146" t="s">
        <v>581</v>
      </c>
      <c r="AK8" s="146" t="s">
        <v>582</v>
      </c>
      <c r="AL8" s="146" t="s">
        <v>583</v>
      </c>
      <c r="AM8" s="146" t="s">
        <v>584</v>
      </c>
      <c r="AN8" s="146" t="s">
        <v>585</v>
      </c>
      <c r="AO8" s="146" t="s">
        <v>586</v>
      </c>
      <c r="AP8" s="146" t="s">
        <v>587</v>
      </c>
      <c r="AQ8" s="146" t="s">
        <v>588</v>
      </c>
      <c r="AR8" s="146" t="s">
        <v>589</v>
      </c>
      <c r="AS8" s="146" t="s">
        <v>590</v>
      </c>
      <c r="AT8" s="146" t="s">
        <v>591</v>
      </c>
      <c r="AU8" s="146" t="s">
        <v>592</v>
      </c>
      <c r="AV8" s="146" t="s">
        <v>593</v>
      </c>
      <c r="AW8" s="146" t="s">
        <v>594</v>
      </c>
      <c r="AX8" s="146" t="s">
        <v>595</v>
      </c>
      <c r="AY8" s="146" t="s">
        <v>596</v>
      </c>
      <c r="AZ8" s="146" t="s">
        <v>597</v>
      </c>
      <c r="BA8" s="146" t="s">
        <v>598</v>
      </c>
      <c r="BB8" s="146" t="s">
        <v>599</v>
      </c>
      <c r="BC8" s="146" t="s">
        <v>600</v>
      </c>
      <c r="BD8" s="146" t="s">
        <v>601</v>
      </c>
      <c r="BE8" s="146" t="s">
        <v>602</v>
      </c>
      <c r="BF8" s="146" t="s">
        <v>603</v>
      </c>
      <c r="BG8" s="146" t="s">
        <v>604</v>
      </c>
      <c r="BH8" s="146" t="s">
        <v>605</v>
      </c>
      <c r="BI8" s="146" t="s">
        <v>606</v>
      </c>
      <c r="BJ8" s="146" t="s">
        <v>607</v>
      </c>
      <c r="BK8" s="146" t="s">
        <v>828</v>
      </c>
      <c r="BL8" s="146" t="s">
        <v>847</v>
      </c>
      <c r="BM8" s="146" t="s">
        <v>852</v>
      </c>
      <c r="BN8" s="146" t="s">
        <v>857</v>
      </c>
      <c r="BO8" s="146" t="s">
        <v>863</v>
      </c>
    </row>
    <row r="9" spans="2:68" s="3" customFormat="1" x14ac:dyDescent="0.25">
      <c r="B9" s="154" t="s">
        <v>338</v>
      </c>
      <c r="C9" s="146"/>
      <c r="D9" s="146"/>
      <c r="E9" s="154" t="s">
        <v>433</v>
      </c>
      <c r="F9" s="146" t="s">
        <v>73</v>
      </c>
      <c r="G9" s="146" t="s">
        <v>74</v>
      </c>
      <c r="H9" s="146" t="s">
        <v>75</v>
      </c>
      <c r="I9" s="146" t="s">
        <v>76</v>
      </c>
      <c r="J9" s="146" t="s">
        <v>78</v>
      </c>
      <c r="K9" s="146" t="s">
        <v>79</v>
      </c>
      <c r="L9" s="146" t="s">
        <v>80</v>
      </c>
      <c r="M9" s="146" t="s">
        <v>81</v>
      </c>
      <c r="N9" s="146" t="s">
        <v>83</v>
      </c>
      <c r="O9" s="146" t="s">
        <v>84</v>
      </c>
      <c r="P9" s="146" t="s">
        <v>85</v>
      </c>
      <c r="Q9" s="146" t="s">
        <v>86</v>
      </c>
      <c r="R9" s="146" t="s">
        <v>88</v>
      </c>
      <c r="S9" s="146" t="s">
        <v>89</v>
      </c>
      <c r="T9" s="146" t="s">
        <v>90</v>
      </c>
      <c r="U9" s="146" t="s">
        <v>91</v>
      </c>
      <c r="V9" s="146" t="s">
        <v>93</v>
      </c>
      <c r="W9" s="146" t="s">
        <v>94</v>
      </c>
      <c r="X9" s="146" t="s">
        <v>95</v>
      </c>
      <c r="Y9" s="146" t="s">
        <v>96</v>
      </c>
      <c r="Z9" s="146" t="s">
        <v>97</v>
      </c>
      <c r="AA9" s="146" t="s">
        <v>98</v>
      </c>
      <c r="AB9" s="146" t="s">
        <v>99</v>
      </c>
      <c r="AC9" s="146" t="s">
        <v>100</v>
      </c>
      <c r="AD9" s="146" t="s">
        <v>102</v>
      </c>
      <c r="AE9" s="146" t="s">
        <v>103</v>
      </c>
      <c r="AF9" s="146" t="s">
        <v>104</v>
      </c>
      <c r="AG9" s="146" t="s">
        <v>105</v>
      </c>
      <c r="AH9" s="146" t="s">
        <v>107</v>
      </c>
      <c r="AI9" s="146" t="s">
        <v>108</v>
      </c>
      <c r="AJ9" s="146" t="s">
        <v>109</v>
      </c>
      <c r="AK9" s="146" t="s">
        <v>110</v>
      </c>
      <c r="AL9" s="146" t="s">
        <v>112</v>
      </c>
      <c r="AM9" s="146" t="s">
        <v>113</v>
      </c>
      <c r="AN9" s="146" t="s">
        <v>114</v>
      </c>
      <c r="AO9" s="146" t="s">
        <v>115</v>
      </c>
      <c r="AP9" s="146" t="s">
        <v>117</v>
      </c>
      <c r="AQ9" s="146" t="s">
        <v>166</v>
      </c>
      <c r="AR9" s="146" t="s">
        <v>170</v>
      </c>
      <c r="AS9" s="146" t="s">
        <v>172</v>
      </c>
      <c r="AT9" s="146" t="s">
        <v>174</v>
      </c>
      <c r="AU9" s="146" t="s">
        <v>177</v>
      </c>
      <c r="AV9" s="146" t="s">
        <v>179</v>
      </c>
      <c r="AW9" s="146" t="s">
        <v>181</v>
      </c>
      <c r="AX9" s="146" t="s">
        <v>184</v>
      </c>
      <c r="AY9" s="146" t="s">
        <v>186</v>
      </c>
      <c r="AZ9" s="146" t="s">
        <v>199</v>
      </c>
      <c r="BA9" s="146" t="s">
        <v>286</v>
      </c>
      <c r="BB9" s="146" t="s">
        <v>291</v>
      </c>
      <c r="BC9" s="146" t="s">
        <v>293</v>
      </c>
      <c r="BD9" s="146" t="s">
        <v>299</v>
      </c>
      <c r="BE9" s="146" t="s">
        <v>310</v>
      </c>
      <c r="BF9" s="146" t="s">
        <v>323</v>
      </c>
      <c r="BG9" s="146" t="s">
        <v>330</v>
      </c>
      <c r="BH9" s="146" t="s">
        <v>332</v>
      </c>
      <c r="BI9" s="146" t="s">
        <v>336</v>
      </c>
      <c r="BJ9" s="146" t="s">
        <v>431</v>
      </c>
      <c r="BK9" s="146" t="s">
        <v>829</v>
      </c>
      <c r="BL9" s="146" t="s">
        <v>848</v>
      </c>
      <c r="BM9" s="146" t="s">
        <v>849</v>
      </c>
      <c r="BN9" s="146" t="s">
        <v>856</v>
      </c>
      <c r="BO9" s="146" t="s">
        <v>858</v>
      </c>
    </row>
    <row r="10" spans="2:68" s="3" customFormat="1" x14ac:dyDescent="0.25">
      <c r="B10" s="15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2:68" ht="15" customHeight="1" x14ac:dyDescent="0.25">
      <c r="B11" s="164" t="s">
        <v>125</v>
      </c>
      <c r="C11" s="164"/>
      <c r="D11" s="164"/>
      <c r="E11" s="164" t="s">
        <v>608</v>
      </c>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row>
    <row r="12" spans="2:68" ht="15" customHeight="1" x14ac:dyDescent="0.25">
      <c r="B12" s="39"/>
      <c r="C12" s="39"/>
      <c r="D12" s="39"/>
      <c r="E12" s="39"/>
    </row>
    <row r="13" spans="2:68" s="35" customFormat="1" x14ac:dyDescent="0.25">
      <c r="B13" s="139" t="s">
        <v>201</v>
      </c>
      <c r="C13" s="37"/>
      <c r="D13" s="37"/>
      <c r="E13" s="139" t="s">
        <v>609</v>
      </c>
      <c r="F13" s="269">
        <f t="shared" ref="F13:AX13" si="0">SUM(F14:F18)</f>
        <v>210.93799999999999</v>
      </c>
      <c r="G13" s="269">
        <f t="shared" si="0"/>
        <v>149.99199999999999</v>
      </c>
      <c r="H13" s="269">
        <f t="shared" si="0"/>
        <v>304.88300000000004</v>
      </c>
      <c r="I13" s="269">
        <f t="shared" si="0"/>
        <v>402.45299999999992</v>
      </c>
      <c r="J13" s="269">
        <f t="shared" si="0"/>
        <v>185.744</v>
      </c>
      <c r="K13" s="269">
        <f t="shared" si="0"/>
        <v>166.33600000000001</v>
      </c>
      <c r="L13" s="269">
        <f t="shared" si="0"/>
        <v>188.22800000000001</v>
      </c>
      <c r="M13" s="269">
        <f t="shared" si="0"/>
        <v>192.55600000000001</v>
      </c>
      <c r="N13" s="269">
        <f t="shared" si="0"/>
        <v>207.60700000000003</v>
      </c>
      <c r="O13" s="269">
        <f t="shared" si="0"/>
        <v>254.13</v>
      </c>
      <c r="P13" s="269">
        <f t="shared" si="0"/>
        <v>226.81900000000002</v>
      </c>
      <c r="Q13" s="269">
        <f t="shared" si="0"/>
        <v>245.35900000000001</v>
      </c>
      <c r="R13" s="269">
        <f t="shared" si="0"/>
        <v>254.64200000000002</v>
      </c>
      <c r="S13" s="269">
        <f t="shared" si="0"/>
        <v>274.06200000000001</v>
      </c>
      <c r="T13" s="269">
        <f t="shared" si="0"/>
        <v>420.04399999999993</v>
      </c>
      <c r="U13" s="269">
        <f t="shared" si="0"/>
        <v>281.75200000000001</v>
      </c>
      <c r="V13" s="269">
        <f t="shared" si="0"/>
        <v>319.94599999999997</v>
      </c>
      <c r="W13" s="269">
        <f t="shared" si="0"/>
        <v>339.31299999999999</v>
      </c>
      <c r="X13" s="269">
        <f t="shared" si="0"/>
        <v>356.67199999999997</v>
      </c>
      <c r="Y13" s="269">
        <f t="shared" si="0"/>
        <v>323.52999999999997</v>
      </c>
      <c r="Z13" s="269">
        <f t="shared" si="0"/>
        <v>259.75900000000001</v>
      </c>
      <c r="AA13" s="269">
        <f t="shared" si="0"/>
        <v>467.86199999999997</v>
      </c>
      <c r="AB13" s="269">
        <f t="shared" si="0"/>
        <v>352.22399999999993</v>
      </c>
      <c r="AC13" s="269">
        <f t="shared" si="0"/>
        <v>478.50900000000001</v>
      </c>
      <c r="AD13" s="269">
        <f t="shared" si="0"/>
        <v>328.858</v>
      </c>
      <c r="AE13" s="269">
        <f t="shared" si="0"/>
        <v>362.07899999999995</v>
      </c>
      <c r="AF13" s="269">
        <f t="shared" si="0"/>
        <v>664.29200000000003</v>
      </c>
      <c r="AG13" s="269">
        <f t="shared" si="0"/>
        <v>691.87600000000009</v>
      </c>
      <c r="AH13" s="269">
        <f t="shared" si="0"/>
        <v>1183.865</v>
      </c>
      <c r="AI13" s="269">
        <f t="shared" si="0"/>
        <v>405.25599999999997</v>
      </c>
      <c r="AJ13" s="269">
        <f t="shared" si="0"/>
        <v>1633.404</v>
      </c>
      <c r="AK13" s="269">
        <f t="shared" si="0"/>
        <v>531.96799999999985</v>
      </c>
      <c r="AL13" s="269">
        <f t="shared" si="0"/>
        <v>359.90299999999996</v>
      </c>
      <c r="AM13" s="269">
        <f t="shared" si="0"/>
        <v>292.04800000000006</v>
      </c>
      <c r="AN13" s="269">
        <f t="shared" si="0"/>
        <v>706.51900000000012</v>
      </c>
      <c r="AO13" s="269">
        <f t="shared" si="0"/>
        <v>671.03699999999992</v>
      </c>
      <c r="AP13" s="269">
        <f t="shared" si="0"/>
        <v>443.48400000000004</v>
      </c>
      <c r="AQ13" s="269">
        <f t="shared" si="0"/>
        <v>743.12899999999991</v>
      </c>
      <c r="AR13" s="269">
        <f t="shared" si="0"/>
        <v>377.87400000000002</v>
      </c>
      <c r="AS13" s="269">
        <f t="shared" si="0"/>
        <v>775.45799999999997</v>
      </c>
      <c r="AT13" s="269">
        <f t="shared" si="0"/>
        <v>525.94200000000001</v>
      </c>
      <c r="AU13" s="269">
        <f t="shared" si="0"/>
        <v>1491.0140000000001</v>
      </c>
      <c r="AV13" s="269">
        <f t="shared" si="0"/>
        <v>884.38800000000003</v>
      </c>
      <c r="AW13" s="269">
        <f t="shared" si="0"/>
        <v>350.721</v>
      </c>
      <c r="AX13" s="269">
        <f t="shared" si="0"/>
        <v>591.53199999999993</v>
      </c>
      <c r="AY13" s="269">
        <f t="shared" ref="AY13:BE13" si="1">SUM(AY14:AY18)</f>
        <v>476.06099999999998</v>
      </c>
      <c r="AZ13" s="269">
        <f t="shared" si="1"/>
        <v>1355.3179999999998</v>
      </c>
      <c r="BA13" s="269">
        <f t="shared" si="1"/>
        <v>246.125</v>
      </c>
      <c r="BB13" s="269">
        <f t="shared" si="1"/>
        <v>3616.5149999999999</v>
      </c>
      <c r="BC13" s="269">
        <f t="shared" si="1"/>
        <v>1548.385</v>
      </c>
      <c r="BD13" s="269">
        <f t="shared" si="1"/>
        <v>1216.579</v>
      </c>
      <c r="BE13" s="269">
        <f t="shared" si="1"/>
        <v>-458.70800000000003</v>
      </c>
      <c r="BF13" s="269">
        <f t="shared" ref="BF13:BG13" si="2">SUM(BF14:BF18)</f>
        <v>1960.499</v>
      </c>
      <c r="BG13" s="269">
        <f t="shared" si="2"/>
        <v>-1155.4840000000002</v>
      </c>
      <c r="BH13" s="269">
        <f t="shared" ref="BH13:BM13" si="3">SUM(BH14:BH18)</f>
        <v>1939.2170000000001</v>
      </c>
      <c r="BI13" s="269">
        <f t="shared" si="3"/>
        <v>1398.1459999999997</v>
      </c>
      <c r="BJ13" s="269">
        <f t="shared" si="3"/>
        <v>-1238.623</v>
      </c>
      <c r="BK13" s="269">
        <f t="shared" si="3"/>
        <v>2511.498</v>
      </c>
      <c r="BL13" s="269">
        <f t="shared" si="3"/>
        <v>1901.37</v>
      </c>
      <c r="BM13" s="269">
        <f t="shared" si="3"/>
        <v>1006.8210000000004</v>
      </c>
      <c r="BN13" s="269">
        <f t="shared" ref="BN13" si="4">SUM(BN14:BN18)</f>
        <v>1295.6340000000002</v>
      </c>
      <c r="BO13" s="269">
        <f t="shared" ref="BO13" si="5">SUM(BO14:BO18)</f>
        <v>925.12400000000025</v>
      </c>
    </row>
    <row r="14" spans="2:68" x14ac:dyDescent="0.25">
      <c r="C14" s="75" t="s">
        <v>118</v>
      </c>
      <c r="D14" s="75"/>
      <c r="E14" s="75" t="s">
        <v>528</v>
      </c>
      <c r="F14" s="270">
        <v>118.351</v>
      </c>
      <c r="G14" s="270">
        <v>94.504999999999995</v>
      </c>
      <c r="H14" s="270">
        <v>247.78899999999999</v>
      </c>
      <c r="I14" s="270">
        <v>282.113</v>
      </c>
      <c r="J14" s="270">
        <v>151.41800000000001</v>
      </c>
      <c r="K14" s="270">
        <v>114.125</v>
      </c>
      <c r="L14" s="270">
        <v>133.57300000000001</v>
      </c>
      <c r="M14" s="270">
        <v>148.55500000000001</v>
      </c>
      <c r="N14" s="270">
        <v>165.18600000000001</v>
      </c>
      <c r="O14" s="270">
        <v>187.40299999999999</v>
      </c>
      <c r="P14" s="270">
        <v>195.90100000000001</v>
      </c>
      <c r="Q14" s="270">
        <v>199.083</v>
      </c>
      <c r="R14" s="270">
        <v>203.28700000000001</v>
      </c>
      <c r="S14" s="270">
        <v>199.703</v>
      </c>
      <c r="T14" s="270">
        <v>277.29899999999998</v>
      </c>
      <c r="U14" s="270">
        <v>237.137</v>
      </c>
      <c r="V14" s="270">
        <v>208.29499999999999</v>
      </c>
      <c r="W14" s="270">
        <v>276.49599999999998</v>
      </c>
      <c r="X14" s="270">
        <v>227.869</v>
      </c>
      <c r="Y14" s="270">
        <v>219.5</v>
      </c>
      <c r="Z14" s="270">
        <v>203.733</v>
      </c>
      <c r="AA14" s="270">
        <v>263.959</v>
      </c>
      <c r="AB14" s="270">
        <v>229.69399999999999</v>
      </c>
      <c r="AC14" s="270">
        <v>280.411</v>
      </c>
      <c r="AD14" s="270">
        <v>229.62799999999999</v>
      </c>
      <c r="AE14" s="270">
        <v>247.077</v>
      </c>
      <c r="AF14" s="270">
        <v>330.04700000000003</v>
      </c>
      <c r="AG14" s="270">
        <v>325.29300000000001</v>
      </c>
      <c r="AH14" s="270">
        <v>419.62</v>
      </c>
      <c r="AI14" s="270">
        <v>278.846</v>
      </c>
      <c r="AJ14" s="271">
        <v>480.34899999999999</v>
      </c>
      <c r="AK14" s="271">
        <v>335.05700000000002</v>
      </c>
      <c r="AL14" s="271">
        <v>345.904</v>
      </c>
      <c r="AM14" s="271">
        <v>313.55500000000001</v>
      </c>
      <c r="AN14" s="271">
        <v>349.81099999999998</v>
      </c>
      <c r="AO14" s="271">
        <v>376.47899999999998</v>
      </c>
      <c r="AP14" s="271">
        <v>331.31200000000001</v>
      </c>
      <c r="AQ14" s="271">
        <v>308.28899999999999</v>
      </c>
      <c r="AR14" s="271">
        <v>257.64800000000002</v>
      </c>
      <c r="AS14" s="271">
        <v>373.06799999999998</v>
      </c>
      <c r="AT14" s="271">
        <v>259.75099999999998</v>
      </c>
      <c r="AU14" s="271">
        <v>681.89099999999996</v>
      </c>
      <c r="AV14" s="271">
        <v>375.33100000000002</v>
      </c>
      <c r="AW14" s="271">
        <v>194.51400000000001</v>
      </c>
      <c r="AX14" s="271">
        <v>355.42399999999998</v>
      </c>
      <c r="AY14" s="271">
        <v>204.64</v>
      </c>
      <c r="AZ14" s="271">
        <v>625.36900000000003</v>
      </c>
      <c r="BA14" s="271">
        <v>194.50299999999999</v>
      </c>
      <c r="BB14" s="271">
        <v>1902.8879999999999</v>
      </c>
      <c r="BC14" s="271">
        <v>859.70899999999995</v>
      </c>
      <c r="BD14" s="271">
        <v>700.75</v>
      </c>
      <c r="BE14" s="271">
        <v>-402.142</v>
      </c>
      <c r="BF14" s="271">
        <v>1164.2370000000001</v>
      </c>
      <c r="BG14" s="271">
        <v>-761.36400000000003</v>
      </c>
      <c r="BH14" s="271">
        <v>1099.4649999999999</v>
      </c>
      <c r="BI14" s="271">
        <v>743.02499999999998</v>
      </c>
      <c r="BJ14" s="271">
        <v>-310.48099999999999</v>
      </c>
      <c r="BK14" s="271">
        <v>1194.4269999999999</v>
      </c>
      <c r="BL14" s="271">
        <v>1089.2349999999999</v>
      </c>
      <c r="BM14" s="271">
        <v>478.39500000000021</v>
      </c>
      <c r="BN14" s="271">
        <v>657.71</v>
      </c>
      <c r="BO14" s="271">
        <v>479.66300000000001</v>
      </c>
      <c r="BP14" s="35"/>
    </row>
    <row r="15" spans="2:68" x14ac:dyDescent="0.25">
      <c r="C15" s="75" t="s">
        <v>119</v>
      </c>
      <c r="D15" s="75"/>
      <c r="E15" s="75" t="s">
        <v>616</v>
      </c>
      <c r="F15" s="270">
        <v>74.843999999999994</v>
      </c>
      <c r="G15" s="270">
        <v>21.419</v>
      </c>
      <c r="H15" s="270">
        <v>28.838000000000001</v>
      </c>
      <c r="I15" s="270">
        <v>88.531999999999996</v>
      </c>
      <c r="J15" s="270">
        <v>39.561</v>
      </c>
      <c r="K15" s="270">
        <v>45.296999999999997</v>
      </c>
      <c r="L15" s="270">
        <v>43.427999999999997</v>
      </c>
      <c r="M15" s="270">
        <v>33.445999999999998</v>
      </c>
      <c r="N15" s="270">
        <v>30.12</v>
      </c>
      <c r="O15" s="270">
        <v>42.21</v>
      </c>
      <c r="P15" s="270">
        <v>57.185000000000002</v>
      </c>
      <c r="Q15" s="270">
        <v>46.551000000000002</v>
      </c>
      <c r="R15" s="270">
        <v>49.518999999999998</v>
      </c>
      <c r="S15" s="270">
        <v>61.378</v>
      </c>
      <c r="T15" s="270">
        <v>69.343000000000004</v>
      </c>
      <c r="U15" s="270">
        <v>53.801000000000002</v>
      </c>
      <c r="V15" s="270">
        <v>72.587000000000003</v>
      </c>
      <c r="W15" s="270">
        <v>73.435000000000002</v>
      </c>
      <c r="X15" s="270">
        <v>71.198999999999998</v>
      </c>
      <c r="Y15" s="270">
        <v>66.683999999999997</v>
      </c>
      <c r="Z15" s="270">
        <v>57.703000000000003</v>
      </c>
      <c r="AA15" s="270">
        <v>56.591999999999999</v>
      </c>
      <c r="AB15" s="270">
        <v>106.54300000000001</v>
      </c>
      <c r="AC15" s="270">
        <v>109.08499999999999</v>
      </c>
      <c r="AD15" s="270">
        <v>152.30600000000001</v>
      </c>
      <c r="AE15" s="270">
        <v>145.94300000000001</v>
      </c>
      <c r="AF15" s="270">
        <v>145.75</v>
      </c>
      <c r="AG15" s="270">
        <v>168.83500000000001</v>
      </c>
      <c r="AH15" s="270">
        <v>242.19499999999999</v>
      </c>
      <c r="AI15" s="270">
        <v>266.17500000000001</v>
      </c>
      <c r="AJ15" s="271">
        <v>335.45699999999999</v>
      </c>
      <c r="AK15" s="271">
        <v>271.16699999999997</v>
      </c>
      <c r="AL15" s="271">
        <v>284.858</v>
      </c>
      <c r="AM15" s="271">
        <v>322.35500000000002</v>
      </c>
      <c r="AN15" s="271">
        <v>353.62700000000001</v>
      </c>
      <c r="AO15" s="271">
        <v>343.35399999999998</v>
      </c>
      <c r="AP15" s="271">
        <v>316.77300000000002</v>
      </c>
      <c r="AQ15" s="271">
        <v>337.77100000000002</v>
      </c>
      <c r="AR15" s="271">
        <v>238.52699999999999</v>
      </c>
      <c r="AS15" s="271">
        <v>260.279</v>
      </c>
      <c r="AT15" s="271">
        <v>326.41199999999998</v>
      </c>
      <c r="AU15" s="271">
        <v>541.76099999999997</v>
      </c>
      <c r="AV15" s="271">
        <v>451.35500000000002</v>
      </c>
      <c r="AW15" s="271">
        <v>216.96299999999999</v>
      </c>
      <c r="AX15" s="271">
        <v>233.09700000000001</v>
      </c>
      <c r="AY15" s="271">
        <v>288.55099999999999</v>
      </c>
      <c r="AZ15" s="271">
        <v>574.74199999999996</v>
      </c>
      <c r="BA15" s="271">
        <v>111.22799999999999</v>
      </c>
      <c r="BB15" s="271">
        <v>991.50699999999995</v>
      </c>
      <c r="BC15" s="271">
        <v>588.06799999999998</v>
      </c>
      <c r="BD15" s="271">
        <v>353.59</v>
      </c>
      <c r="BE15" s="271">
        <v>180.517</v>
      </c>
      <c r="BF15" s="271">
        <v>263.36099999999999</v>
      </c>
      <c r="BG15" s="271">
        <v>226.36199999999999</v>
      </c>
      <c r="BH15" s="271">
        <v>382.12400000000002</v>
      </c>
      <c r="BI15" s="271">
        <v>439.67099999999999</v>
      </c>
      <c r="BJ15" s="271">
        <v>-63.442</v>
      </c>
      <c r="BK15" s="271">
        <v>636.18399999999997</v>
      </c>
      <c r="BL15" s="271">
        <v>592.49900000000002</v>
      </c>
      <c r="BM15" s="271">
        <v>464.18000000000006</v>
      </c>
      <c r="BN15" s="271">
        <v>639.12099999999998</v>
      </c>
      <c r="BO15" s="271">
        <v>727.97400000000005</v>
      </c>
      <c r="BP15" s="35"/>
    </row>
    <row r="16" spans="2:68" x14ac:dyDescent="0.25">
      <c r="C16" s="75" t="s">
        <v>203</v>
      </c>
      <c r="D16" s="75"/>
      <c r="E16" s="75" t="s">
        <v>617</v>
      </c>
      <c r="F16" s="270">
        <v>9.6189999999999998</v>
      </c>
      <c r="G16" s="270">
        <v>21.677</v>
      </c>
      <c r="H16" s="270">
        <v>12.307</v>
      </c>
      <c r="I16" s="270">
        <v>62.262999999999998</v>
      </c>
      <c r="J16" s="270">
        <v>-22.378</v>
      </c>
      <c r="K16" s="270">
        <v>-33.488</v>
      </c>
      <c r="L16" s="270">
        <v>-12.529</v>
      </c>
      <c r="M16" s="270">
        <v>-5.2030000000000003</v>
      </c>
      <c r="N16" s="270">
        <v>1.9710000000000001</v>
      </c>
      <c r="O16" s="270">
        <v>15.933999999999999</v>
      </c>
      <c r="P16" s="270">
        <v>-39.122999999999998</v>
      </c>
      <c r="Q16" s="270">
        <v>-5.0999999999999996</v>
      </c>
      <c r="R16" s="270">
        <v>-2.4039999999999999</v>
      </c>
      <c r="S16" s="270">
        <v>-5.9349999999999996</v>
      </c>
      <c r="T16" s="270">
        <v>171.68799999999999</v>
      </c>
      <c r="U16" s="270">
        <v>-7.46</v>
      </c>
      <c r="V16" s="270">
        <v>25.01</v>
      </c>
      <c r="W16" s="270">
        <v>22.547000000000001</v>
      </c>
      <c r="X16" s="270">
        <v>45.853999999999999</v>
      </c>
      <c r="Y16" s="270">
        <v>32.274000000000001</v>
      </c>
      <c r="Z16" s="270">
        <v>-16.722000000000001</v>
      </c>
      <c r="AA16" s="270">
        <v>84.531000000000006</v>
      </c>
      <c r="AB16" s="270">
        <v>-56.07</v>
      </c>
      <c r="AC16" s="270">
        <v>89.998999999999995</v>
      </c>
      <c r="AD16" s="270">
        <v>-88.027000000000001</v>
      </c>
      <c r="AE16" s="270">
        <v>-66.245000000000005</v>
      </c>
      <c r="AF16" s="270">
        <v>164.87700000000001</v>
      </c>
      <c r="AG16" s="270">
        <v>182.066</v>
      </c>
      <c r="AH16" s="270">
        <v>523.84299999999996</v>
      </c>
      <c r="AI16" s="270">
        <v>-191.09100000000001</v>
      </c>
      <c r="AJ16" s="271">
        <v>926.745</v>
      </c>
      <c r="AK16" s="271">
        <v>-109.366</v>
      </c>
      <c r="AL16" s="271">
        <v>-310.88299999999998</v>
      </c>
      <c r="AM16" s="271">
        <v>-334.25200000000001</v>
      </c>
      <c r="AN16" s="271">
        <v>2.5649999999999999</v>
      </c>
      <c r="AO16" s="271">
        <v>-56.984999999999999</v>
      </c>
      <c r="AP16" s="271">
        <v>-175.89699999999999</v>
      </c>
      <c r="AQ16" s="271">
        <v>57.402000000000001</v>
      </c>
      <c r="AR16" s="271">
        <v>-85.2</v>
      </c>
      <c r="AS16" s="271">
        <v>63.448</v>
      </c>
      <c r="AT16" s="271">
        <v>-10.436</v>
      </c>
      <c r="AU16" s="271">
        <v>42.241</v>
      </c>
      <c r="AV16" s="271">
        <v>51.523000000000003</v>
      </c>
      <c r="AW16" s="271">
        <v>-21.202999999999999</v>
      </c>
      <c r="AX16" s="271">
        <v>21.221</v>
      </c>
      <c r="AY16" s="271">
        <v>-7.3470000000000004</v>
      </c>
      <c r="AZ16" s="271">
        <v>25.166</v>
      </c>
      <c r="BA16" s="271">
        <v>48.712000000000003</v>
      </c>
      <c r="BB16" s="271">
        <v>211.67099999999999</v>
      </c>
      <c r="BC16" s="271">
        <v>65.221000000000004</v>
      </c>
      <c r="BD16" s="271">
        <v>94.762</v>
      </c>
      <c r="BE16" s="271">
        <v>-106.146</v>
      </c>
      <c r="BF16" s="271">
        <v>408.18299999999999</v>
      </c>
      <c r="BG16" s="271">
        <v>-450.83100000000002</v>
      </c>
      <c r="BH16" s="271">
        <v>37.142000000000003</v>
      </c>
      <c r="BI16" s="271">
        <v>63.936999999999998</v>
      </c>
      <c r="BJ16" s="271">
        <v>-451.90800000000002</v>
      </c>
      <c r="BK16" s="271">
        <v>350.80399999999997</v>
      </c>
      <c r="BL16" s="271">
        <v>75.114999999999995</v>
      </c>
      <c r="BM16" s="271">
        <v>158.57499999999999</v>
      </c>
      <c r="BN16" s="271">
        <v>109.476</v>
      </c>
      <c r="BO16" s="271">
        <v>-187.477</v>
      </c>
      <c r="BP16" s="35"/>
    </row>
    <row r="17" spans="2:68" x14ac:dyDescent="0.25">
      <c r="C17" s="75" t="s">
        <v>204</v>
      </c>
      <c r="D17" s="75"/>
      <c r="E17" s="75" t="s">
        <v>618</v>
      </c>
      <c r="F17" s="270">
        <v>7.3559999999999999</v>
      </c>
      <c r="G17" s="270">
        <v>10.682</v>
      </c>
      <c r="H17" s="270">
        <v>13.38</v>
      </c>
      <c r="I17" s="270">
        <v>-30.497</v>
      </c>
      <c r="J17" s="270">
        <v>17.143000000000001</v>
      </c>
      <c r="K17" s="270">
        <v>40.402000000000001</v>
      </c>
      <c r="L17" s="270">
        <v>23.756</v>
      </c>
      <c r="M17" s="270">
        <v>15.757999999999999</v>
      </c>
      <c r="N17" s="270">
        <v>10.33</v>
      </c>
      <c r="O17" s="270">
        <v>8.5830000000000002</v>
      </c>
      <c r="P17" s="270">
        <v>12.856</v>
      </c>
      <c r="Q17" s="270">
        <v>4.8250000000000002</v>
      </c>
      <c r="R17" s="270">
        <v>4.24</v>
      </c>
      <c r="S17" s="270">
        <v>18.916</v>
      </c>
      <c r="T17" s="270">
        <v>-98.286000000000001</v>
      </c>
      <c r="U17" s="270">
        <v>-1.726</v>
      </c>
      <c r="V17" s="270">
        <v>12.936</v>
      </c>
      <c r="W17" s="270">
        <v>-35.43</v>
      </c>
      <c r="X17" s="270">
        <v>7.3849999999999998</v>
      </c>
      <c r="Y17" s="270">
        <v>-0.27300000000000002</v>
      </c>
      <c r="Z17" s="270">
        <v>8.7240000000000002</v>
      </c>
      <c r="AA17" s="270">
        <v>57.125999999999998</v>
      </c>
      <c r="AB17" s="270">
        <v>65.781999999999996</v>
      </c>
      <c r="AC17" s="270">
        <v>-8.7420000000000009</v>
      </c>
      <c r="AD17" s="270">
        <v>28.149000000000001</v>
      </c>
      <c r="AE17" s="270">
        <v>27.411000000000001</v>
      </c>
      <c r="AF17" s="270">
        <v>16.806000000000001</v>
      </c>
      <c r="AG17" s="270">
        <v>7.5339999999999998</v>
      </c>
      <c r="AH17" s="270">
        <v>-5.4649999999999999</v>
      </c>
      <c r="AI17" s="270">
        <v>49.076000000000001</v>
      </c>
      <c r="AJ17" s="271">
        <v>-111.021</v>
      </c>
      <c r="AK17" s="271">
        <v>33.06</v>
      </c>
      <c r="AL17" s="271">
        <v>35.331000000000003</v>
      </c>
      <c r="AM17" s="271">
        <v>-11.348000000000001</v>
      </c>
      <c r="AN17" s="271">
        <v>0.42099999999999999</v>
      </c>
      <c r="AO17" s="271">
        <v>8.1319999999999997</v>
      </c>
      <c r="AP17" s="271">
        <v>-28.725999999999999</v>
      </c>
      <c r="AQ17" s="271">
        <v>39.665999999999997</v>
      </c>
      <c r="AR17" s="271">
        <v>-33.100999999999999</v>
      </c>
      <c r="AS17" s="271">
        <v>78.662999999999997</v>
      </c>
      <c r="AT17" s="271">
        <v>-49.784999999999997</v>
      </c>
      <c r="AU17" s="271">
        <v>225.12100000000001</v>
      </c>
      <c r="AV17" s="271">
        <v>6.1790000000000003</v>
      </c>
      <c r="AW17" s="271">
        <v>-39.552999999999997</v>
      </c>
      <c r="AX17" s="271">
        <v>-18.21</v>
      </c>
      <c r="AY17" s="271">
        <v>-9.7829999999999995</v>
      </c>
      <c r="AZ17" s="271">
        <v>130.041</v>
      </c>
      <c r="BA17" s="271">
        <v>-108.318</v>
      </c>
      <c r="BB17" s="271">
        <v>510.44900000000001</v>
      </c>
      <c r="BC17" s="271">
        <v>35.387</v>
      </c>
      <c r="BD17" s="271">
        <v>67.477000000000004</v>
      </c>
      <c r="BE17" s="271">
        <v>-130.93700000000001</v>
      </c>
      <c r="BF17" s="271">
        <v>124.718</v>
      </c>
      <c r="BG17" s="271">
        <v>-169.65100000000001</v>
      </c>
      <c r="BH17" s="271">
        <v>420.48599999999999</v>
      </c>
      <c r="BI17" s="271">
        <v>151.51300000000001</v>
      </c>
      <c r="BJ17" s="271">
        <v>-413.43700000000001</v>
      </c>
      <c r="BK17" s="271">
        <v>330.08300000000003</v>
      </c>
      <c r="BL17" s="271">
        <v>144.52099999999999</v>
      </c>
      <c r="BM17" s="271">
        <v>-94.328999999999979</v>
      </c>
      <c r="BN17" s="271">
        <v>-110.673</v>
      </c>
      <c r="BO17" s="271">
        <v>-95.036000000000001</v>
      </c>
      <c r="BP17" s="35"/>
    </row>
    <row r="18" spans="2:68" x14ac:dyDescent="0.25">
      <c r="C18" s="75" t="s">
        <v>205</v>
      </c>
      <c r="D18" s="75"/>
      <c r="E18" s="75" t="s">
        <v>619</v>
      </c>
      <c r="F18" s="270">
        <v>0.76800000000000002</v>
      </c>
      <c r="G18" s="270">
        <v>1.7090000000000001</v>
      </c>
      <c r="H18" s="270">
        <v>2.569</v>
      </c>
      <c r="I18" s="270">
        <v>4.2000000000000003E-2</v>
      </c>
      <c r="J18" s="270" t="s">
        <v>60</v>
      </c>
      <c r="K18" s="270" t="s">
        <v>60</v>
      </c>
      <c r="L18" s="270" t="s">
        <v>60</v>
      </c>
      <c r="M18" s="270" t="s">
        <v>60</v>
      </c>
      <c r="N18" s="270" t="s">
        <v>60</v>
      </c>
      <c r="O18" s="270" t="s">
        <v>60</v>
      </c>
      <c r="P18" s="270" t="s">
        <v>60</v>
      </c>
      <c r="Q18" s="270" t="s">
        <v>60</v>
      </c>
      <c r="R18" s="270" t="s">
        <v>60</v>
      </c>
      <c r="S18" s="270" t="s">
        <v>60</v>
      </c>
      <c r="T18" s="270" t="s">
        <v>60</v>
      </c>
      <c r="U18" s="270" t="s">
        <v>60</v>
      </c>
      <c r="V18" s="270">
        <v>1.1180000000000001</v>
      </c>
      <c r="W18" s="270">
        <v>2.2650000000000001</v>
      </c>
      <c r="X18" s="270">
        <v>4.3650000000000002</v>
      </c>
      <c r="Y18" s="270">
        <v>5.3449999999999998</v>
      </c>
      <c r="Z18" s="270">
        <v>6.3209999999999997</v>
      </c>
      <c r="AA18" s="270">
        <v>5.6539999999999999</v>
      </c>
      <c r="AB18" s="270">
        <v>6.2750000000000004</v>
      </c>
      <c r="AC18" s="270">
        <v>7.7560000000000002</v>
      </c>
      <c r="AD18" s="270">
        <v>6.8019999999999996</v>
      </c>
      <c r="AE18" s="270">
        <v>7.8929999999999998</v>
      </c>
      <c r="AF18" s="270">
        <v>6.8120000000000003</v>
      </c>
      <c r="AG18" s="270">
        <v>8.1479999999999997</v>
      </c>
      <c r="AH18" s="270">
        <v>3.6720000000000002</v>
      </c>
      <c r="AI18" s="270">
        <v>2.25</v>
      </c>
      <c r="AJ18" s="271">
        <v>1.8740000000000001</v>
      </c>
      <c r="AK18" s="271">
        <v>2.0499999999999998</v>
      </c>
      <c r="AL18" s="271">
        <v>4.6929999999999996</v>
      </c>
      <c r="AM18" s="271">
        <v>1.738</v>
      </c>
      <c r="AN18" s="271">
        <v>9.5000000000000001E-2</v>
      </c>
      <c r="AO18" s="271">
        <v>5.7000000000000002E-2</v>
      </c>
      <c r="AP18" s="271">
        <v>2.1999999999999999E-2</v>
      </c>
      <c r="AQ18" s="271">
        <v>1E-3</v>
      </c>
      <c r="AR18" s="271">
        <v>0</v>
      </c>
      <c r="AS18" s="271">
        <v>0</v>
      </c>
      <c r="AT18" s="271">
        <v>0</v>
      </c>
      <c r="AU18" s="271">
        <v>0</v>
      </c>
      <c r="AV18" s="271">
        <v>0</v>
      </c>
      <c r="AW18" s="271" t="s">
        <v>60</v>
      </c>
      <c r="AX18" s="271">
        <v>0</v>
      </c>
      <c r="AY18" s="271">
        <v>0</v>
      </c>
      <c r="AZ18" s="271">
        <v>0</v>
      </c>
      <c r="BA18" s="271">
        <v>0</v>
      </c>
      <c r="BB18" s="271">
        <v>0</v>
      </c>
      <c r="BC18" s="271">
        <v>0</v>
      </c>
      <c r="BD18" s="271">
        <v>0</v>
      </c>
      <c r="BE18" s="271">
        <v>0</v>
      </c>
      <c r="BF18" s="271">
        <v>0</v>
      </c>
      <c r="BG18" s="271">
        <v>0</v>
      </c>
      <c r="BH18" s="271">
        <v>0</v>
      </c>
      <c r="BI18" s="271">
        <v>0</v>
      </c>
      <c r="BJ18" s="271">
        <v>0.64500000000000002</v>
      </c>
      <c r="BK18" s="271">
        <v>0</v>
      </c>
      <c r="BL18" s="271">
        <v>0</v>
      </c>
      <c r="BM18" s="271">
        <v>0</v>
      </c>
      <c r="BN18" s="271">
        <v>0</v>
      </c>
      <c r="BO18" s="271">
        <v>0</v>
      </c>
      <c r="BP18" s="35"/>
    </row>
    <row r="19" spans="2:68" s="35" customFormat="1" x14ac:dyDescent="0.25">
      <c r="B19" s="139" t="s">
        <v>200</v>
      </c>
      <c r="C19" s="37"/>
      <c r="D19" s="37"/>
      <c r="E19" s="139" t="s">
        <v>610</v>
      </c>
      <c r="F19" s="269">
        <f t="shared" ref="F19:BM19" si="6">SUM(F20:F23)</f>
        <v>-130.989</v>
      </c>
      <c r="G19" s="269">
        <f t="shared" si="6"/>
        <v>-53.31</v>
      </c>
      <c r="H19" s="269">
        <f t="shared" si="6"/>
        <v>-234.76299999999998</v>
      </c>
      <c r="I19" s="269">
        <f t="shared" si="6"/>
        <v>-377.18099999999998</v>
      </c>
      <c r="J19" s="269">
        <f t="shared" si="6"/>
        <v>-122.65600000000001</v>
      </c>
      <c r="K19" s="269">
        <f t="shared" si="6"/>
        <v>-62.649000000000008</v>
      </c>
      <c r="L19" s="269">
        <f t="shared" si="6"/>
        <v>-92.210000000000008</v>
      </c>
      <c r="M19" s="269">
        <f t="shared" si="6"/>
        <v>-98.164999999999992</v>
      </c>
      <c r="N19" s="269">
        <f t="shared" si="6"/>
        <v>-116.39400000000001</v>
      </c>
      <c r="O19" s="269">
        <f t="shared" si="6"/>
        <v>-152.101</v>
      </c>
      <c r="P19" s="269">
        <f t="shared" si="6"/>
        <v>-112.83500000000001</v>
      </c>
      <c r="Q19" s="269">
        <f t="shared" si="6"/>
        <v>-130.25</v>
      </c>
      <c r="R19" s="269">
        <f t="shared" si="6"/>
        <v>-127.49100000000001</v>
      </c>
      <c r="S19" s="269">
        <f t="shared" si="6"/>
        <v>-135.86799999999999</v>
      </c>
      <c r="T19" s="269">
        <f t="shared" si="6"/>
        <v>-331.69600000000003</v>
      </c>
      <c r="U19" s="269">
        <f t="shared" si="6"/>
        <v>-154.62700000000001</v>
      </c>
      <c r="V19" s="269">
        <f t="shared" si="6"/>
        <v>-195.82800000000003</v>
      </c>
      <c r="W19" s="269">
        <f t="shared" si="6"/>
        <v>-285.89100000000002</v>
      </c>
      <c r="X19" s="269">
        <f t="shared" si="6"/>
        <v>-244.536</v>
      </c>
      <c r="Y19" s="269">
        <f t="shared" si="6"/>
        <v>-207.39499999999998</v>
      </c>
      <c r="Z19" s="269">
        <f t="shared" si="6"/>
        <v>-120.131</v>
      </c>
      <c r="AA19" s="269">
        <f t="shared" si="6"/>
        <v>-425.38099999999997</v>
      </c>
      <c r="AB19" s="269">
        <f t="shared" si="6"/>
        <v>-222.03100000000001</v>
      </c>
      <c r="AC19" s="269">
        <f t="shared" si="6"/>
        <v>-364.57299999999998</v>
      </c>
      <c r="AD19" s="269">
        <f t="shared" si="6"/>
        <v>-163.85300000000001</v>
      </c>
      <c r="AE19" s="269">
        <f t="shared" si="6"/>
        <v>-186.79699999999997</v>
      </c>
      <c r="AF19" s="269">
        <f t="shared" si="6"/>
        <v>-607.01900000000001</v>
      </c>
      <c r="AG19" s="269">
        <f t="shared" si="6"/>
        <v>-625.49200000000008</v>
      </c>
      <c r="AH19" s="269">
        <f t="shared" si="6"/>
        <v>-1263.1799999999998</v>
      </c>
      <c r="AI19" s="269">
        <f t="shared" si="6"/>
        <v>-197.143</v>
      </c>
      <c r="AJ19" s="269">
        <f t="shared" si="6"/>
        <v>-1897.2340000000002</v>
      </c>
      <c r="AK19" s="269">
        <f t="shared" si="6"/>
        <v>-309.72800000000001</v>
      </c>
      <c r="AL19" s="269">
        <f t="shared" si="6"/>
        <v>-20.709000000000007</v>
      </c>
      <c r="AM19" s="269">
        <f t="shared" si="6"/>
        <v>67.59499999999997</v>
      </c>
      <c r="AN19" s="269">
        <f t="shared" si="6"/>
        <v>-550.96400000000006</v>
      </c>
      <c r="AO19" s="269">
        <f t="shared" si="6"/>
        <v>-496.19200000000001</v>
      </c>
      <c r="AP19" s="269">
        <f t="shared" si="6"/>
        <v>-265.26299999999998</v>
      </c>
      <c r="AQ19" s="269">
        <f t="shared" si="6"/>
        <v>-647.02800000000002</v>
      </c>
      <c r="AR19" s="269">
        <f t="shared" si="6"/>
        <v>-178.60500000000002</v>
      </c>
      <c r="AS19" s="269">
        <f t="shared" si="6"/>
        <v>-632.93100000000004</v>
      </c>
      <c r="AT19" s="269">
        <f t="shared" si="6"/>
        <v>-347.80700000000002</v>
      </c>
      <c r="AU19" s="269">
        <f t="shared" si="6"/>
        <v>-1486.703</v>
      </c>
      <c r="AV19" s="269">
        <f t="shared" si="6"/>
        <v>-774.73699999999997</v>
      </c>
      <c r="AW19" s="269">
        <f t="shared" si="6"/>
        <v>-129.94000000000003</v>
      </c>
      <c r="AX19" s="269">
        <f t="shared" si="6"/>
        <v>-407.36399999999998</v>
      </c>
      <c r="AY19" s="269">
        <f t="shared" si="6"/>
        <v>-248.43900000000002</v>
      </c>
      <c r="AZ19" s="269">
        <f t="shared" si="6"/>
        <v>-1254.4649999999999</v>
      </c>
      <c r="BA19" s="269">
        <f t="shared" si="6"/>
        <v>-24.743000000000023</v>
      </c>
      <c r="BB19" s="269">
        <f t="shared" si="6"/>
        <v>-3916.4259999999999</v>
      </c>
      <c r="BC19" s="269">
        <f t="shared" si="6"/>
        <v>-1564.739</v>
      </c>
      <c r="BD19" s="269">
        <f t="shared" si="6"/>
        <v>-1085.9279999999999</v>
      </c>
      <c r="BE19" s="269">
        <f t="shared" si="6"/>
        <v>779.89499999999998</v>
      </c>
      <c r="BF19" s="269">
        <f t="shared" si="6"/>
        <v>-1797.432</v>
      </c>
      <c r="BG19" s="269">
        <f t="shared" si="6"/>
        <v>1565.211</v>
      </c>
      <c r="BH19" s="269">
        <f t="shared" si="6"/>
        <v>-1732.384</v>
      </c>
      <c r="BI19" s="269">
        <f t="shared" si="6"/>
        <v>-1146.2629999999999</v>
      </c>
      <c r="BJ19" s="269">
        <f t="shared" si="6"/>
        <v>1643.5139999999999</v>
      </c>
      <c r="BK19" s="269">
        <f t="shared" si="6"/>
        <v>-2137.3389999999999</v>
      </c>
      <c r="BL19" s="269">
        <f t="shared" si="6"/>
        <v>-1482.854</v>
      </c>
      <c r="BM19" s="269">
        <f t="shared" si="6"/>
        <v>-630.97700000000009</v>
      </c>
      <c r="BN19" s="269">
        <f>SUM(BN20:BN23)</f>
        <v>-945.9620000000001</v>
      </c>
      <c r="BO19" s="269">
        <f>SUM(BO20:BO23)</f>
        <v>-521.31000000000006</v>
      </c>
    </row>
    <row r="20" spans="2:68" x14ac:dyDescent="0.25">
      <c r="C20" s="75" t="s">
        <v>206</v>
      </c>
      <c r="D20" s="75"/>
      <c r="E20" s="75" t="s">
        <v>620</v>
      </c>
      <c r="F20" s="270">
        <v>-52.862000000000002</v>
      </c>
      <c r="G20" s="270">
        <v>-65.744</v>
      </c>
      <c r="H20" s="270">
        <v>-86.635999999999996</v>
      </c>
      <c r="I20" s="270">
        <v>-83.924999999999997</v>
      </c>
      <c r="J20" s="270">
        <v>-74.924999999999997</v>
      </c>
      <c r="K20" s="270">
        <v>-67.033000000000001</v>
      </c>
      <c r="L20" s="270">
        <v>-72.525999999999996</v>
      </c>
      <c r="M20" s="270">
        <v>-69.692999999999998</v>
      </c>
      <c r="N20" s="270">
        <v>-71.093999999999994</v>
      </c>
      <c r="O20" s="270">
        <v>-108.224</v>
      </c>
      <c r="P20" s="270">
        <v>-73.784000000000006</v>
      </c>
      <c r="Q20" s="270">
        <v>-79.414000000000001</v>
      </c>
      <c r="R20" s="270">
        <v>-79.08</v>
      </c>
      <c r="S20" s="270">
        <v>-99.405000000000001</v>
      </c>
      <c r="T20" s="270">
        <v>-258.77100000000002</v>
      </c>
      <c r="U20" s="270">
        <v>-101.76900000000001</v>
      </c>
      <c r="V20" s="270">
        <v>-134.05000000000001</v>
      </c>
      <c r="W20" s="270">
        <v>-201.001</v>
      </c>
      <c r="X20" s="270">
        <v>-166.971</v>
      </c>
      <c r="Y20" s="270">
        <v>-149.577</v>
      </c>
      <c r="Z20" s="270">
        <v>-80.558999999999997</v>
      </c>
      <c r="AA20" s="270">
        <v>-218.49299999999999</v>
      </c>
      <c r="AB20" s="270">
        <v>-146.84</v>
      </c>
      <c r="AC20" s="270">
        <v>-211.73</v>
      </c>
      <c r="AD20" s="270">
        <v>-158.04900000000001</v>
      </c>
      <c r="AE20" s="270">
        <v>-191.81299999999999</v>
      </c>
      <c r="AF20" s="270">
        <v>-325.697</v>
      </c>
      <c r="AG20" s="270">
        <v>-336.553</v>
      </c>
      <c r="AH20" s="270">
        <v>-500.39499999999998</v>
      </c>
      <c r="AI20" s="270">
        <v>-242.97800000000001</v>
      </c>
      <c r="AJ20" s="271">
        <v>-558.87300000000005</v>
      </c>
      <c r="AK20" s="271">
        <v>-309.82100000000003</v>
      </c>
      <c r="AL20" s="271">
        <v>-191.21600000000001</v>
      </c>
      <c r="AM20" s="271">
        <v>-200.11600000000001</v>
      </c>
      <c r="AN20" s="271">
        <v>-386.44</v>
      </c>
      <c r="AO20" s="271">
        <v>-362.12799999999999</v>
      </c>
      <c r="AP20" s="271">
        <v>-335.45299999999997</v>
      </c>
      <c r="AQ20" s="271">
        <v>-378.15100000000001</v>
      </c>
      <c r="AR20" s="271">
        <v>-309.34100000000001</v>
      </c>
      <c r="AS20" s="271">
        <v>-295.166</v>
      </c>
      <c r="AT20" s="271">
        <v>-280.22800000000001</v>
      </c>
      <c r="AU20" s="271">
        <v>-369.923</v>
      </c>
      <c r="AV20" s="271">
        <v>-317.964</v>
      </c>
      <c r="AW20" s="271">
        <v>-277.87200000000001</v>
      </c>
      <c r="AX20" s="271">
        <v>-275.101</v>
      </c>
      <c r="AY20" s="271">
        <v>-273.18400000000003</v>
      </c>
      <c r="AZ20" s="271">
        <v>-323.27300000000002</v>
      </c>
      <c r="BA20" s="271">
        <v>-215.84200000000001</v>
      </c>
      <c r="BB20" s="271">
        <v>-390.07799999999997</v>
      </c>
      <c r="BC20" s="271">
        <v>-187.43</v>
      </c>
      <c r="BD20" s="271">
        <v>-128.15799999999999</v>
      </c>
      <c r="BE20" s="271">
        <v>-135.84299999999999</v>
      </c>
      <c r="BF20" s="271">
        <v>-189.31100000000001</v>
      </c>
      <c r="BG20" s="271">
        <v>-159.553</v>
      </c>
      <c r="BH20" s="271">
        <v>-329.202</v>
      </c>
      <c r="BI20" s="271">
        <v>-469.13</v>
      </c>
      <c r="BJ20" s="271">
        <v>-471.07400000000001</v>
      </c>
      <c r="BK20" s="271">
        <v>-781.03499999999997</v>
      </c>
      <c r="BL20" s="271">
        <v>-858.04499999999996</v>
      </c>
      <c r="BM20" s="271">
        <v>-869.66600000000005</v>
      </c>
      <c r="BN20" s="271">
        <v>-920.51900000000001</v>
      </c>
      <c r="BO20" s="271">
        <v>-852.99900000000002</v>
      </c>
      <c r="BP20" s="35"/>
    </row>
    <row r="21" spans="2:68" x14ac:dyDescent="0.25">
      <c r="C21" s="75" t="s">
        <v>207</v>
      </c>
      <c r="D21" s="75"/>
      <c r="E21" s="75" t="s">
        <v>621</v>
      </c>
      <c r="F21" s="270">
        <v>-70.224000000000004</v>
      </c>
      <c r="G21" s="270">
        <v>18.966999999999999</v>
      </c>
      <c r="H21" s="270">
        <v>-136.83199999999999</v>
      </c>
      <c r="I21" s="270">
        <v>-239.2</v>
      </c>
      <c r="J21" s="270">
        <v>-22.123000000000001</v>
      </c>
      <c r="K21" s="270">
        <v>19.236999999999998</v>
      </c>
      <c r="L21" s="270">
        <v>-11.102</v>
      </c>
      <c r="M21" s="270">
        <v>-24.388999999999999</v>
      </c>
      <c r="N21" s="270">
        <v>-31.504000000000001</v>
      </c>
      <c r="O21" s="270">
        <v>-34.890999999999998</v>
      </c>
      <c r="P21" s="270">
        <v>-30.117000000000001</v>
      </c>
      <c r="Q21" s="270">
        <v>-38.115000000000002</v>
      </c>
      <c r="R21" s="270">
        <v>-36.088000000000001</v>
      </c>
      <c r="S21" s="270">
        <v>-34.76</v>
      </c>
      <c r="T21" s="270">
        <v>-48.347999999999999</v>
      </c>
      <c r="U21" s="270">
        <v>-39.036999999999999</v>
      </c>
      <c r="V21" s="270">
        <v>-38.049999999999997</v>
      </c>
      <c r="W21" s="270">
        <v>-56.238</v>
      </c>
      <c r="X21" s="270">
        <v>-44.720999999999997</v>
      </c>
      <c r="Y21" s="270">
        <v>-32.223999999999997</v>
      </c>
      <c r="Z21" s="270">
        <v>-22.681999999999999</v>
      </c>
      <c r="AA21" s="270">
        <v>-175.55600000000001</v>
      </c>
      <c r="AB21" s="270">
        <v>-56.582999999999998</v>
      </c>
      <c r="AC21" s="270">
        <v>-126.84399999999999</v>
      </c>
      <c r="AD21" s="270">
        <v>19.707999999999998</v>
      </c>
      <c r="AE21" s="270">
        <v>19.937000000000001</v>
      </c>
      <c r="AF21" s="270">
        <v>-264.52600000000001</v>
      </c>
      <c r="AG21" s="270">
        <v>-244.494</v>
      </c>
      <c r="AH21" s="270">
        <v>-718.54399999999998</v>
      </c>
      <c r="AI21" s="270">
        <v>83.305000000000007</v>
      </c>
      <c r="AJ21" s="271">
        <v>-1246.8430000000001</v>
      </c>
      <c r="AK21" s="271">
        <v>48.868000000000002</v>
      </c>
      <c r="AL21" s="271">
        <v>219.506</v>
      </c>
      <c r="AM21" s="271">
        <v>321.83</v>
      </c>
      <c r="AN21" s="271">
        <v>-114.288</v>
      </c>
      <c r="AO21" s="271">
        <v>-78.590999999999994</v>
      </c>
      <c r="AP21" s="271">
        <v>128.47900000000001</v>
      </c>
      <c r="AQ21" s="271">
        <v>-212.26300000000001</v>
      </c>
      <c r="AR21" s="271">
        <v>188.93100000000001</v>
      </c>
      <c r="AS21" s="271">
        <v>-343.11700000000002</v>
      </c>
      <c r="AT21" s="271">
        <v>-45.116</v>
      </c>
      <c r="AU21" s="271">
        <v>-1083.6420000000001</v>
      </c>
      <c r="AV21" s="271">
        <v>-423.64400000000001</v>
      </c>
      <c r="AW21" s="271">
        <v>177.42400000000001</v>
      </c>
      <c r="AX21" s="271">
        <v>-114.886</v>
      </c>
      <c r="AY21" s="271">
        <v>31.584</v>
      </c>
      <c r="AZ21" s="271">
        <v>-909.59199999999998</v>
      </c>
      <c r="BA21" s="271">
        <v>225.98</v>
      </c>
      <c r="BB21" s="271">
        <v>-3465.5320000000002</v>
      </c>
      <c r="BC21" s="271">
        <v>-1284.104</v>
      </c>
      <c r="BD21" s="271">
        <v>-893.22199999999998</v>
      </c>
      <c r="BE21" s="271">
        <v>951.94299999999998</v>
      </c>
      <c r="BF21" s="271">
        <v>-1573.672</v>
      </c>
      <c r="BG21" s="271">
        <v>1771.299</v>
      </c>
      <c r="BH21" s="271">
        <v>-1367.46</v>
      </c>
      <c r="BI21" s="271">
        <v>-634.94799999999998</v>
      </c>
      <c r="BJ21" s="271">
        <v>2141.0740000000001</v>
      </c>
      <c r="BK21" s="271">
        <v>-1324.8440000000001</v>
      </c>
      <c r="BL21" s="271">
        <v>-571.9</v>
      </c>
      <c r="BM21" s="271">
        <v>357.86</v>
      </c>
      <c r="BN21" s="271">
        <v>79.262</v>
      </c>
      <c r="BO21" s="271">
        <v>400.56700000000001</v>
      </c>
      <c r="BP21" s="35"/>
    </row>
    <row r="22" spans="2:68" x14ac:dyDescent="0.25">
      <c r="C22" s="75" t="s">
        <v>208</v>
      </c>
      <c r="D22" s="75"/>
      <c r="E22" s="75" t="s">
        <v>622</v>
      </c>
      <c r="F22" s="270">
        <v>-7.9029999999999996</v>
      </c>
      <c r="G22" s="270">
        <v>-6.5330000000000004</v>
      </c>
      <c r="H22" s="270">
        <v>-11.295</v>
      </c>
      <c r="I22" s="270">
        <v>-54.055999999999997</v>
      </c>
      <c r="J22" s="270">
        <v>-25.608000000000001</v>
      </c>
      <c r="K22" s="270">
        <v>-14.853</v>
      </c>
      <c r="L22" s="270">
        <v>-8.5820000000000007</v>
      </c>
      <c r="M22" s="270">
        <v>-4.0830000000000002</v>
      </c>
      <c r="N22" s="270">
        <v>-13.795999999999999</v>
      </c>
      <c r="O22" s="270">
        <v>-8.9860000000000007</v>
      </c>
      <c r="P22" s="270">
        <v>-8.9339999999999993</v>
      </c>
      <c r="Q22" s="270">
        <v>-12.721</v>
      </c>
      <c r="R22" s="270">
        <v>-12.323</v>
      </c>
      <c r="S22" s="270">
        <v>-1.7030000000000001</v>
      </c>
      <c r="T22" s="270">
        <v>-24.577000000000002</v>
      </c>
      <c r="U22" s="270">
        <v>-13.821</v>
      </c>
      <c r="V22" s="270">
        <v>-23.728000000000002</v>
      </c>
      <c r="W22" s="270">
        <v>-28.652000000000001</v>
      </c>
      <c r="X22" s="270">
        <v>-32.844000000000001</v>
      </c>
      <c r="Y22" s="270">
        <v>-25.594000000000001</v>
      </c>
      <c r="Z22" s="270">
        <v>-16.89</v>
      </c>
      <c r="AA22" s="270">
        <v>-31.332000000000001</v>
      </c>
      <c r="AB22" s="270">
        <v>-18.608000000000001</v>
      </c>
      <c r="AC22" s="270">
        <f>-26.119+0.12</f>
        <v>-25.998999999999999</v>
      </c>
      <c r="AD22" s="270">
        <v>-25.512</v>
      </c>
      <c r="AE22" s="270">
        <v>-14.920999999999999</v>
      </c>
      <c r="AF22" s="270">
        <v>-16.795999999999999</v>
      </c>
      <c r="AG22" s="270">
        <v>-43.619</v>
      </c>
      <c r="AH22" s="270">
        <v>-42.220999999999997</v>
      </c>
      <c r="AI22" s="270">
        <v>-36.411999999999999</v>
      </c>
      <c r="AJ22" s="271">
        <v>-90.414000000000001</v>
      </c>
      <c r="AK22" s="271">
        <v>-48.594000000000001</v>
      </c>
      <c r="AL22" s="271">
        <v>-48.930999999999997</v>
      </c>
      <c r="AM22" s="271">
        <v>-54.119</v>
      </c>
      <c r="AN22" s="271">
        <v>-50.235999999999997</v>
      </c>
      <c r="AO22" s="271">
        <v>-55.332999999999998</v>
      </c>
      <c r="AP22" s="271">
        <v>-57.948</v>
      </c>
      <c r="AQ22" s="271">
        <v>-56.613999999999997</v>
      </c>
      <c r="AR22" s="271">
        <v>-54.866</v>
      </c>
      <c r="AS22" s="271">
        <v>5.3520000000000003</v>
      </c>
      <c r="AT22" s="271">
        <v>-22.463000000000001</v>
      </c>
      <c r="AU22" s="271">
        <v>-33.128</v>
      </c>
      <c r="AV22" s="271">
        <v>-31.898</v>
      </c>
      <c r="AW22" s="271">
        <v>-29.491</v>
      </c>
      <c r="AX22" s="271">
        <v>-17.376999999999999</v>
      </c>
      <c r="AY22" s="271">
        <v>-6.8390000000000004</v>
      </c>
      <c r="AZ22" s="271">
        <v>-21.6</v>
      </c>
      <c r="BA22" s="271">
        <v>-34.881</v>
      </c>
      <c r="BB22" s="271">
        <v>-60.816000000000003</v>
      </c>
      <c r="BC22" s="271">
        <v>-93.204999999999998</v>
      </c>
      <c r="BD22" s="271">
        <v>-64.548000000000002</v>
      </c>
      <c r="BE22" s="271">
        <v>-36.204999999999998</v>
      </c>
      <c r="BF22" s="271">
        <v>-34.448999999999998</v>
      </c>
      <c r="BG22" s="271">
        <v>-46.534999999999997</v>
      </c>
      <c r="BH22" s="271">
        <v>-35.722000000000001</v>
      </c>
      <c r="BI22" s="271">
        <v>-42.184999999999995</v>
      </c>
      <c r="BJ22" s="271">
        <v>-26.486000000000001</v>
      </c>
      <c r="BK22" s="271">
        <v>-31.459999999999997</v>
      </c>
      <c r="BL22" s="271">
        <v>-52.908999999999999</v>
      </c>
      <c r="BM22" s="271">
        <v>-119.17100000000002</v>
      </c>
      <c r="BN22" s="271">
        <v>-104.705</v>
      </c>
      <c r="BO22" s="271">
        <v>-68.878</v>
      </c>
      <c r="BP22" s="35"/>
    </row>
    <row r="23" spans="2:68" x14ac:dyDescent="0.25">
      <c r="C23" s="75" t="s">
        <v>120</v>
      </c>
      <c r="D23" s="75"/>
      <c r="E23" s="75" t="s">
        <v>623</v>
      </c>
      <c r="F23" s="270">
        <v>0</v>
      </c>
      <c r="G23" s="270">
        <v>0</v>
      </c>
      <c r="H23" s="270">
        <v>0</v>
      </c>
      <c r="I23" s="270">
        <v>0</v>
      </c>
      <c r="J23" s="270">
        <v>0</v>
      </c>
      <c r="K23" s="270">
        <v>0</v>
      </c>
      <c r="L23" s="270">
        <v>0</v>
      </c>
      <c r="M23" s="270">
        <v>0</v>
      </c>
      <c r="N23" s="270">
        <v>0</v>
      </c>
      <c r="O23" s="270">
        <v>0</v>
      </c>
      <c r="P23" s="270">
        <v>0</v>
      </c>
      <c r="Q23" s="270">
        <v>0</v>
      </c>
      <c r="R23" s="270">
        <v>0</v>
      </c>
      <c r="S23" s="270">
        <v>0</v>
      </c>
      <c r="T23" s="270">
        <v>0</v>
      </c>
      <c r="U23" s="270">
        <v>0</v>
      </c>
      <c r="V23" s="270">
        <v>0</v>
      </c>
      <c r="W23" s="270">
        <v>0</v>
      </c>
      <c r="X23" s="270">
        <v>0</v>
      </c>
      <c r="Y23" s="270">
        <v>0</v>
      </c>
      <c r="Z23" s="270">
        <v>0</v>
      </c>
      <c r="AA23" s="270">
        <v>0</v>
      </c>
      <c r="AB23" s="270">
        <v>0</v>
      </c>
      <c r="AC23" s="270">
        <v>0</v>
      </c>
      <c r="AD23" s="270">
        <v>0</v>
      </c>
      <c r="AE23" s="270">
        <v>0</v>
      </c>
      <c r="AF23" s="270">
        <v>0</v>
      </c>
      <c r="AG23" s="270">
        <v>-0.82599999999999996</v>
      </c>
      <c r="AH23" s="270">
        <v>-2.02</v>
      </c>
      <c r="AI23" s="270">
        <v>-1.0580000000000001</v>
      </c>
      <c r="AJ23" s="271">
        <v>-1.1040000000000001</v>
      </c>
      <c r="AK23" s="271">
        <v>-0.18099999999999999</v>
      </c>
      <c r="AL23" s="271">
        <v>-6.8000000000000005E-2</v>
      </c>
      <c r="AM23" s="271">
        <v>0</v>
      </c>
      <c r="AN23" s="271">
        <v>0</v>
      </c>
      <c r="AO23" s="271">
        <v>-0.14000000000000001</v>
      </c>
      <c r="AP23" s="271">
        <v>-0.34100000000000003</v>
      </c>
      <c r="AQ23" s="271">
        <v>0</v>
      </c>
      <c r="AR23" s="271">
        <v>-3.3290000000000002</v>
      </c>
      <c r="AS23" s="271">
        <v>0</v>
      </c>
      <c r="AT23" s="271">
        <v>0</v>
      </c>
      <c r="AU23" s="271">
        <v>-0.01</v>
      </c>
      <c r="AV23" s="271">
        <v>-1.2310000000000001</v>
      </c>
      <c r="AW23" s="271">
        <v>-1E-3</v>
      </c>
      <c r="AX23" s="271">
        <v>0</v>
      </c>
      <c r="AY23" s="271">
        <v>0</v>
      </c>
      <c r="AZ23" s="271">
        <v>0</v>
      </c>
      <c r="BA23" s="271">
        <v>0</v>
      </c>
      <c r="BB23" s="271">
        <v>0</v>
      </c>
      <c r="BC23" s="271">
        <v>0</v>
      </c>
      <c r="BD23" s="271">
        <v>0</v>
      </c>
      <c r="BE23" s="271">
        <v>0</v>
      </c>
      <c r="BF23" s="271">
        <v>0</v>
      </c>
      <c r="BG23" s="271">
        <v>0</v>
      </c>
      <c r="BH23" s="271">
        <v>0</v>
      </c>
      <c r="BI23" s="271">
        <v>0</v>
      </c>
      <c r="BJ23" s="271">
        <v>0</v>
      </c>
      <c r="BK23" s="271">
        <v>0</v>
      </c>
      <c r="BL23" s="271">
        <v>0</v>
      </c>
      <c r="BM23" s="271">
        <v>0</v>
      </c>
      <c r="BN23" s="271">
        <v>0</v>
      </c>
      <c r="BO23" s="271">
        <v>0</v>
      </c>
      <c r="BP23" s="35"/>
    </row>
    <row r="24" spans="2:68" s="35" customFormat="1" x14ac:dyDescent="0.25">
      <c r="B24" s="139" t="s">
        <v>121</v>
      </c>
      <c r="C24" s="37"/>
      <c r="D24" s="37"/>
      <c r="E24" s="139" t="s">
        <v>611</v>
      </c>
      <c r="F24" s="269">
        <f t="shared" ref="F24:BL24" si="7">F19+F13</f>
        <v>79.948999999999984</v>
      </c>
      <c r="G24" s="269">
        <f t="shared" si="7"/>
        <v>96.681999999999988</v>
      </c>
      <c r="H24" s="269">
        <f t="shared" si="7"/>
        <v>70.120000000000061</v>
      </c>
      <c r="I24" s="269">
        <f t="shared" si="7"/>
        <v>25.271999999999935</v>
      </c>
      <c r="J24" s="269">
        <f t="shared" si="7"/>
        <v>63.087999999999994</v>
      </c>
      <c r="K24" s="269">
        <f t="shared" si="7"/>
        <v>103.68700000000001</v>
      </c>
      <c r="L24" s="269">
        <f t="shared" si="7"/>
        <v>96.018000000000001</v>
      </c>
      <c r="M24" s="269">
        <f t="shared" si="7"/>
        <v>94.39100000000002</v>
      </c>
      <c r="N24" s="269">
        <f t="shared" si="7"/>
        <v>91.213000000000022</v>
      </c>
      <c r="O24" s="269">
        <f t="shared" si="7"/>
        <v>102.029</v>
      </c>
      <c r="P24" s="269">
        <f t="shared" si="7"/>
        <v>113.98400000000001</v>
      </c>
      <c r="Q24" s="269">
        <f t="shared" si="7"/>
        <v>115.10900000000001</v>
      </c>
      <c r="R24" s="269">
        <f t="shared" si="7"/>
        <v>127.15100000000001</v>
      </c>
      <c r="S24" s="269">
        <f t="shared" si="7"/>
        <v>138.19400000000002</v>
      </c>
      <c r="T24" s="269">
        <f t="shared" si="7"/>
        <v>88.3479999999999</v>
      </c>
      <c r="U24" s="269">
        <f t="shared" si="7"/>
        <v>127.125</v>
      </c>
      <c r="V24" s="269">
        <f t="shared" si="7"/>
        <v>124.11799999999994</v>
      </c>
      <c r="W24" s="269">
        <f t="shared" si="7"/>
        <v>53.421999999999969</v>
      </c>
      <c r="X24" s="269">
        <f t="shared" si="7"/>
        <v>112.13599999999997</v>
      </c>
      <c r="Y24" s="269">
        <f t="shared" si="7"/>
        <v>116.13499999999999</v>
      </c>
      <c r="Z24" s="269">
        <f t="shared" si="7"/>
        <v>139.62800000000001</v>
      </c>
      <c r="AA24" s="269">
        <f t="shared" si="7"/>
        <v>42.480999999999995</v>
      </c>
      <c r="AB24" s="269">
        <f t="shared" si="7"/>
        <v>130.19299999999993</v>
      </c>
      <c r="AC24" s="269">
        <f t="shared" si="7"/>
        <v>113.93600000000004</v>
      </c>
      <c r="AD24" s="269">
        <f t="shared" si="7"/>
        <v>165.005</v>
      </c>
      <c r="AE24" s="269">
        <f t="shared" si="7"/>
        <v>175.28199999999998</v>
      </c>
      <c r="AF24" s="269">
        <f t="shared" si="7"/>
        <v>57.273000000000025</v>
      </c>
      <c r="AG24" s="269">
        <f t="shared" si="7"/>
        <v>66.384000000000015</v>
      </c>
      <c r="AH24" s="269">
        <f t="shared" si="7"/>
        <v>-79.314999999999827</v>
      </c>
      <c r="AI24" s="269">
        <f t="shared" si="7"/>
        <v>208.11299999999997</v>
      </c>
      <c r="AJ24" s="269">
        <f t="shared" si="7"/>
        <v>-263.83000000000015</v>
      </c>
      <c r="AK24" s="269">
        <f t="shared" si="7"/>
        <v>222.23999999999984</v>
      </c>
      <c r="AL24" s="269">
        <f t="shared" si="7"/>
        <v>339.19399999999996</v>
      </c>
      <c r="AM24" s="269">
        <f t="shared" si="7"/>
        <v>359.64300000000003</v>
      </c>
      <c r="AN24" s="269">
        <f t="shared" si="7"/>
        <v>155.55500000000006</v>
      </c>
      <c r="AO24" s="269">
        <f t="shared" si="7"/>
        <v>174.84499999999991</v>
      </c>
      <c r="AP24" s="269">
        <f t="shared" si="7"/>
        <v>178.22100000000006</v>
      </c>
      <c r="AQ24" s="269">
        <f t="shared" si="7"/>
        <v>96.100999999999885</v>
      </c>
      <c r="AR24" s="269">
        <f t="shared" si="7"/>
        <v>199.26900000000001</v>
      </c>
      <c r="AS24" s="269">
        <f t="shared" si="7"/>
        <v>142.52699999999993</v>
      </c>
      <c r="AT24" s="269">
        <f t="shared" si="7"/>
        <v>178.13499999999999</v>
      </c>
      <c r="AU24" s="269">
        <f t="shared" si="7"/>
        <v>4.3110000000001492</v>
      </c>
      <c r="AV24" s="269">
        <f t="shared" si="7"/>
        <v>109.65100000000007</v>
      </c>
      <c r="AW24" s="269">
        <f t="shared" si="7"/>
        <v>220.78099999999998</v>
      </c>
      <c r="AX24" s="269">
        <f t="shared" si="7"/>
        <v>184.16799999999995</v>
      </c>
      <c r="AY24" s="269">
        <f t="shared" si="7"/>
        <v>227.62199999999996</v>
      </c>
      <c r="AZ24" s="269">
        <f t="shared" si="7"/>
        <v>100.85299999999984</v>
      </c>
      <c r="BA24" s="269">
        <f t="shared" si="7"/>
        <v>221.38199999999998</v>
      </c>
      <c r="BB24" s="269">
        <f t="shared" si="7"/>
        <v>-299.91100000000006</v>
      </c>
      <c r="BC24" s="269">
        <f t="shared" si="7"/>
        <v>-16.354000000000042</v>
      </c>
      <c r="BD24" s="269">
        <f t="shared" si="7"/>
        <v>130.65100000000007</v>
      </c>
      <c r="BE24" s="269">
        <f t="shared" si="7"/>
        <v>321.18699999999995</v>
      </c>
      <c r="BF24" s="269">
        <f t="shared" si="7"/>
        <v>163.06700000000001</v>
      </c>
      <c r="BG24" s="269">
        <f t="shared" si="7"/>
        <v>409.72699999999986</v>
      </c>
      <c r="BH24" s="269">
        <f t="shared" si="7"/>
        <v>206.83300000000008</v>
      </c>
      <c r="BI24" s="269">
        <f t="shared" si="7"/>
        <v>251.88299999999981</v>
      </c>
      <c r="BJ24" s="269">
        <f t="shared" si="7"/>
        <v>404.89099999999985</v>
      </c>
      <c r="BK24" s="269">
        <f t="shared" si="7"/>
        <v>374.15900000000011</v>
      </c>
      <c r="BL24" s="269">
        <f t="shared" si="7"/>
        <v>418.51599999999985</v>
      </c>
      <c r="BM24" s="269">
        <f>BM19+BM13</f>
        <v>375.84400000000028</v>
      </c>
      <c r="BN24" s="269">
        <f>BN19+BN13</f>
        <v>349.67200000000014</v>
      </c>
      <c r="BO24" s="269">
        <f>BO19+BO13</f>
        <v>403.81400000000019</v>
      </c>
    </row>
    <row r="25" spans="2:68" s="35" customFormat="1" x14ac:dyDescent="0.25">
      <c r="B25" s="139" t="s">
        <v>202</v>
      </c>
      <c r="C25" s="37"/>
      <c r="D25" s="37"/>
      <c r="E25" s="139" t="s">
        <v>612</v>
      </c>
      <c r="F25" s="269">
        <f t="shared" ref="F25:BA25" si="8">SUM(F26:F30)</f>
        <v>-20.7</v>
      </c>
      <c r="G25" s="269">
        <f t="shared" si="8"/>
        <v>-28.430999999999997</v>
      </c>
      <c r="H25" s="269">
        <f t="shared" si="8"/>
        <v>-6.9240000000000013</v>
      </c>
      <c r="I25" s="269">
        <f t="shared" si="8"/>
        <v>-20.843999999999994</v>
      </c>
      <c r="J25" s="269">
        <f t="shared" si="8"/>
        <v>-27.576000000000001</v>
      </c>
      <c r="K25" s="269">
        <f t="shared" si="8"/>
        <v>-40.091000000000001</v>
      </c>
      <c r="L25" s="269">
        <f t="shared" si="8"/>
        <v>-30.158999999999999</v>
      </c>
      <c r="M25" s="269">
        <f t="shared" si="8"/>
        <v>-41.675000000000004</v>
      </c>
      <c r="N25" s="269">
        <f t="shared" si="8"/>
        <v>-12.520000000000001</v>
      </c>
      <c r="O25" s="269">
        <f t="shared" si="8"/>
        <v>-16.196000000000002</v>
      </c>
      <c r="P25" s="269">
        <f t="shared" si="8"/>
        <v>-26.673999999999999</v>
      </c>
      <c r="Q25" s="269">
        <f t="shared" si="8"/>
        <v>-18.483000000000001</v>
      </c>
      <c r="R25" s="269">
        <f t="shared" si="8"/>
        <v>-26.695</v>
      </c>
      <c r="S25" s="269">
        <f t="shared" si="8"/>
        <v>-28.307000000000002</v>
      </c>
      <c r="T25" s="269">
        <f t="shared" si="8"/>
        <v>-1.3719999999999999</v>
      </c>
      <c r="U25" s="269">
        <f t="shared" si="8"/>
        <v>-19.124999999999993</v>
      </c>
      <c r="V25" s="269">
        <f t="shared" si="8"/>
        <v>-29.963999999999999</v>
      </c>
      <c r="W25" s="269">
        <f t="shared" si="8"/>
        <v>14.626000000000001</v>
      </c>
      <c r="X25" s="269">
        <f t="shared" si="8"/>
        <v>-21.512</v>
      </c>
      <c r="Y25" s="269">
        <f t="shared" si="8"/>
        <v>-22.026000000000003</v>
      </c>
      <c r="Z25" s="269">
        <f t="shared" si="8"/>
        <v>-35.466000000000001</v>
      </c>
      <c r="AA25" s="269">
        <f t="shared" si="8"/>
        <v>39.159000000000006</v>
      </c>
      <c r="AB25" s="269">
        <f t="shared" si="8"/>
        <v>-24.736000000000004</v>
      </c>
      <c r="AC25" s="269">
        <f t="shared" si="8"/>
        <v>-16.564999999999998</v>
      </c>
      <c r="AD25" s="269">
        <f t="shared" si="8"/>
        <v>-41.827999999999989</v>
      </c>
      <c r="AE25" s="269">
        <f t="shared" si="8"/>
        <v>-39.435999999999993</v>
      </c>
      <c r="AF25" s="269">
        <f t="shared" si="8"/>
        <v>30.105000000000004</v>
      </c>
      <c r="AG25" s="269">
        <f t="shared" si="8"/>
        <v>21.013999999999996</v>
      </c>
      <c r="AH25" s="269">
        <f t="shared" si="8"/>
        <v>111.554</v>
      </c>
      <c r="AI25" s="269">
        <f t="shared" si="8"/>
        <v>-61.030999999999999</v>
      </c>
      <c r="AJ25" s="269">
        <f t="shared" si="8"/>
        <v>201.17000000000002</v>
      </c>
      <c r="AK25" s="269">
        <f t="shared" si="8"/>
        <v>-59.693000000000005</v>
      </c>
      <c r="AL25" s="269">
        <f t="shared" si="8"/>
        <v>-122.964</v>
      </c>
      <c r="AM25" s="269">
        <f t="shared" si="8"/>
        <v>-129.40700000000001</v>
      </c>
      <c r="AN25" s="269">
        <f t="shared" si="8"/>
        <v>-17.301000000000009</v>
      </c>
      <c r="AO25" s="269">
        <f t="shared" si="8"/>
        <v>-33.313999999999993</v>
      </c>
      <c r="AP25" s="269">
        <f t="shared" si="8"/>
        <v>-11.426000000000004</v>
      </c>
      <c r="AQ25" s="269">
        <f t="shared" si="8"/>
        <v>27.783999999999988</v>
      </c>
      <c r="AR25" s="269">
        <f t="shared" si="8"/>
        <v>-15.286000000000003</v>
      </c>
      <c r="AS25" s="269">
        <f t="shared" si="8"/>
        <v>-18.692</v>
      </c>
      <c r="AT25" s="269">
        <f t="shared" si="8"/>
        <v>-18.077999999999999</v>
      </c>
      <c r="AU25" s="269">
        <f t="shared" si="8"/>
        <v>0.43399999999999783</v>
      </c>
      <c r="AV25" s="269">
        <f t="shared" si="8"/>
        <v>-0.71699999999999497</v>
      </c>
      <c r="AW25" s="269">
        <f t="shared" si="8"/>
        <v>-10.094000000000001</v>
      </c>
      <c r="AX25" s="269">
        <f t="shared" si="8"/>
        <v>-33.786999999999992</v>
      </c>
      <c r="AY25" s="269">
        <f t="shared" si="8"/>
        <v>-25.667999999999999</v>
      </c>
      <c r="AZ25" s="269">
        <f t="shared" si="8"/>
        <v>-15.612000000000007</v>
      </c>
      <c r="BA25" s="269">
        <f t="shared" si="8"/>
        <v>-20.448999999999998</v>
      </c>
      <c r="BB25" s="269">
        <f t="shared" ref="BB25:BE25" si="9">SUM(BB26:BB30)</f>
        <v>-58.105999999999995</v>
      </c>
      <c r="BC25" s="269">
        <f t="shared" si="9"/>
        <v>-58.734000000000002</v>
      </c>
      <c r="BD25" s="269">
        <f t="shared" si="9"/>
        <v>-50.913000000000004</v>
      </c>
      <c r="BE25" s="269">
        <f t="shared" si="9"/>
        <v>-57.516000000000005</v>
      </c>
      <c r="BF25" s="269">
        <f t="shared" ref="BF25:BG25" si="10">SUM(BF26:BF30)</f>
        <v>-33.580999999999996</v>
      </c>
      <c r="BG25" s="269">
        <f t="shared" si="10"/>
        <v>-70.528999999999996</v>
      </c>
      <c r="BH25" s="269">
        <f t="shared" ref="BH25:BI25" si="11">SUM(BH26:BH30)</f>
        <v>-48.263999999999996</v>
      </c>
      <c r="BI25" s="269">
        <f t="shared" si="11"/>
        <v>-82.454999999999984</v>
      </c>
      <c r="BJ25" s="269">
        <f t="shared" ref="BJ25" si="12">SUM(BJ26:BJ30)</f>
        <v>-110.96200000000002</v>
      </c>
      <c r="BK25" s="269">
        <f>SUM(BK26:BK30)</f>
        <v>-91.441000000000003</v>
      </c>
      <c r="BL25" s="269">
        <f>SUM(BL26:BL30)</f>
        <v>-99.930999999999997</v>
      </c>
      <c r="BM25" s="269">
        <f>SUM(BM26:BM30)</f>
        <v>-102.755</v>
      </c>
      <c r="BN25" s="269">
        <f>SUM(BN26:BN30)</f>
        <v>-117.72699999999998</v>
      </c>
      <c r="BO25" s="269">
        <f>SUM(BO26:BO30)</f>
        <v>-156.79200000000003</v>
      </c>
    </row>
    <row r="26" spans="2:68" x14ac:dyDescent="0.25">
      <c r="C26" s="75" t="s">
        <v>129</v>
      </c>
      <c r="D26" s="75"/>
      <c r="E26" s="75" t="s">
        <v>624</v>
      </c>
      <c r="F26" s="270">
        <v>9.1240000000000006</v>
      </c>
      <c r="G26" s="270">
        <v>10.77</v>
      </c>
      <c r="H26" s="270">
        <v>12.068</v>
      </c>
      <c r="I26" s="270">
        <v>11.178000000000001</v>
      </c>
      <c r="J26" s="270">
        <v>10.302</v>
      </c>
      <c r="K26" s="270">
        <v>13.44</v>
      </c>
      <c r="L26" s="270">
        <v>16.113</v>
      </c>
      <c r="M26" s="270">
        <v>19.797000000000001</v>
      </c>
      <c r="N26" s="270">
        <v>24.431000000000001</v>
      </c>
      <c r="O26" s="270">
        <v>26.216999999999999</v>
      </c>
      <c r="P26" s="270">
        <v>22.841999999999999</v>
      </c>
      <c r="Q26" s="270">
        <v>34.658000000000001</v>
      </c>
      <c r="R26" s="270">
        <v>29.643000000000001</v>
      </c>
      <c r="S26" s="270">
        <v>30.856999999999999</v>
      </c>
      <c r="T26" s="270">
        <v>30.039000000000001</v>
      </c>
      <c r="U26" s="270">
        <v>34.826000000000001</v>
      </c>
      <c r="V26" s="270">
        <v>29.332999999999998</v>
      </c>
      <c r="W26" s="270">
        <v>32.107999999999997</v>
      </c>
      <c r="X26" s="270">
        <v>35.158999999999999</v>
      </c>
      <c r="Y26" s="270">
        <v>40.802999999999997</v>
      </c>
      <c r="Z26" s="270">
        <v>32.954000000000001</v>
      </c>
      <c r="AA26" s="270">
        <v>44.49</v>
      </c>
      <c r="AB26" s="270">
        <v>37.177</v>
      </c>
      <c r="AC26" s="270">
        <v>42.305999999999997</v>
      </c>
      <c r="AD26" s="270">
        <v>40.956000000000003</v>
      </c>
      <c r="AE26" s="270">
        <v>41.874000000000002</v>
      </c>
      <c r="AF26" s="270">
        <v>44.658000000000001</v>
      </c>
      <c r="AG26" s="270">
        <v>49.55</v>
      </c>
      <c r="AH26" s="270">
        <v>45.323999999999998</v>
      </c>
      <c r="AI26" s="270">
        <v>50.454000000000001</v>
      </c>
      <c r="AJ26" s="271">
        <v>45.081000000000003</v>
      </c>
      <c r="AK26" s="271">
        <v>58.226999999999997</v>
      </c>
      <c r="AL26" s="271">
        <v>56.106999999999999</v>
      </c>
      <c r="AM26" s="271">
        <v>64.914000000000001</v>
      </c>
      <c r="AN26" s="271">
        <v>66.004999999999995</v>
      </c>
      <c r="AO26" s="271">
        <v>69.537000000000006</v>
      </c>
      <c r="AP26" s="271">
        <v>76.332999999999998</v>
      </c>
      <c r="AQ26" s="271">
        <v>75.694999999999993</v>
      </c>
      <c r="AR26" s="271">
        <v>71.180999999999997</v>
      </c>
      <c r="AS26" s="271">
        <v>83.697000000000003</v>
      </c>
      <c r="AT26" s="271">
        <v>77.62</v>
      </c>
      <c r="AU26" s="271">
        <v>91.466999999999999</v>
      </c>
      <c r="AV26" s="271">
        <v>95.998000000000005</v>
      </c>
      <c r="AW26" s="271">
        <v>94.370999999999995</v>
      </c>
      <c r="AX26" s="271">
        <v>77.721000000000004</v>
      </c>
      <c r="AY26" s="271">
        <v>91.432000000000002</v>
      </c>
      <c r="AZ26" s="271">
        <v>81.572999999999993</v>
      </c>
      <c r="BA26" s="272">
        <v>99.171999999999997</v>
      </c>
      <c r="BB26" s="272">
        <v>52.652000000000001</v>
      </c>
      <c r="BC26" s="272">
        <v>60.771999999999998</v>
      </c>
      <c r="BD26" s="271">
        <v>77.968999999999994</v>
      </c>
      <c r="BE26" s="271">
        <v>92.582999999999998</v>
      </c>
      <c r="BF26" s="271">
        <v>75.637</v>
      </c>
      <c r="BG26" s="271">
        <v>75.813000000000002</v>
      </c>
      <c r="BH26" s="271">
        <v>101.75</v>
      </c>
      <c r="BI26" s="271">
        <v>92.239000000000004</v>
      </c>
      <c r="BJ26" s="271">
        <v>63.497999999999998</v>
      </c>
      <c r="BK26" s="271">
        <v>109.58499999999999</v>
      </c>
      <c r="BL26" s="271">
        <v>128.49</v>
      </c>
      <c r="BM26" s="271">
        <v>100.291</v>
      </c>
      <c r="BN26" s="271">
        <v>83.546000000000006</v>
      </c>
      <c r="BO26" s="271">
        <v>81.60599999999998</v>
      </c>
      <c r="BP26" s="35"/>
    </row>
    <row r="27" spans="2:68" x14ac:dyDescent="0.25">
      <c r="C27" s="75" t="s">
        <v>193</v>
      </c>
      <c r="D27" s="75"/>
      <c r="E27" s="75" t="s">
        <v>625</v>
      </c>
      <c r="F27" s="271">
        <v>-14.180999999999999</v>
      </c>
      <c r="G27" s="271">
        <v>-16.030999999999999</v>
      </c>
      <c r="H27" s="271">
        <v>-17.594000000000001</v>
      </c>
      <c r="I27" s="271">
        <v>-20.74</v>
      </c>
      <c r="J27" s="271">
        <v>-20.638999999999999</v>
      </c>
      <c r="K27" s="271">
        <v>-17.48</v>
      </c>
      <c r="L27" s="271">
        <v>-19.533000000000001</v>
      </c>
      <c r="M27" s="271">
        <v>-20.260000000000002</v>
      </c>
      <c r="N27" s="271">
        <v>-20.943000000000001</v>
      </c>
      <c r="O27" s="271">
        <v>-22.37</v>
      </c>
      <c r="P27" s="271">
        <v>-23.094999999999999</v>
      </c>
      <c r="Q27" s="271">
        <v>-25.661999999999999</v>
      </c>
      <c r="R27" s="271">
        <v>-26.155000000000001</v>
      </c>
      <c r="S27" s="271">
        <v>-27.36</v>
      </c>
      <c r="T27" s="271">
        <v>-28.172000000000001</v>
      </c>
      <c r="U27" s="271">
        <v>-32.274999999999999</v>
      </c>
      <c r="V27" s="271">
        <v>-31.09</v>
      </c>
      <c r="W27" s="271">
        <v>-32.222999999999999</v>
      </c>
      <c r="X27" s="271">
        <v>-30.998999999999999</v>
      </c>
      <c r="Y27" s="271">
        <v>-36.271999999999998</v>
      </c>
      <c r="Z27" s="271">
        <v>-32.704000000000001</v>
      </c>
      <c r="AA27" s="271">
        <v>-34.652999999999999</v>
      </c>
      <c r="AB27" s="271">
        <v>-34.691000000000003</v>
      </c>
      <c r="AC27" s="271">
        <v>-38.851999999999997</v>
      </c>
      <c r="AD27" s="271">
        <v>-35.802999999999997</v>
      </c>
      <c r="AE27" s="271">
        <v>-37.4</v>
      </c>
      <c r="AF27" s="271">
        <v>-37.442</v>
      </c>
      <c r="AG27" s="271">
        <v>-41.354999999999997</v>
      </c>
      <c r="AH27" s="271">
        <v>-40.296999999999997</v>
      </c>
      <c r="AI27" s="271">
        <v>-42.418999999999997</v>
      </c>
      <c r="AJ27" s="271">
        <v>-46.662999999999997</v>
      </c>
      <c r="AK27" s="271">
        <v>-45.45</v>
      </c>
      <c r="AL27" s="271">
        <v>-53.258000000000003</v>
      </c>
      <c r="AM27" s="271">
        <v>-44.05</v>
      </c>
      <c r="AN27" s="271">
        <v>-45.341000000000001</v>
      </c>
      <c r="AO27" s="271">
        <v>-49.231000000000002</v>
      </c>
      <c r="AP27" s="271">
        <v>-48.377000000000002</v>
      </c>
      <c r="AQ27" s="271">
        <v>-51.21</v>
      </c>
      <c r="AR27" s="271">
        <v>-48.82</v>
      </c>
      <c r="AS27" s="271">
        <v>-53.488</v>
      </c>
      <c r="AT27" s="271">
        <v>-53.459000000000003</v>
      </c>
      <c r="AU27" s="271">
        <v>-50.350999999999999</v>
      </c>
      <c r="AV27" s="271">
        <v>-51.228999999999999</v>
      </c>
      <c r="AW27" s="271">
        <v>-55.677</v>
      </c>
      <c r="AX27" s="271">
        <v>-68.234999999999999</v>
      </c>
      <c r="AY27" s="271">
        <v>-53.948999999999998</v>
      </c>
      <c r="AZ27" s="271">
        <v>-53.456000000000003</v>
      </c>
      <c r="BA27" s="271">
        <v>-56.021999999999998</v>
      </c>
      <c r="BB27" s="271">
        <v>-60.497999999999998</v>
      </c>
      <c r="BC27" s="271">
        <v>-60.411999999999999</v>
      </c>
      <c r="BD27" s="271">
        <v>-60.564999999999998</v>
      </c>
      <c r="BE27" s="271">
        <v>-63.798000000000002</v>
      </c>
      <c r="BF27" s="271">
        <v>-65.427999999999997</v>
      </c>
      <c r="BG27" s="271">
        <v>-68.210999999999999</v>
      </c>
      <c r="BH27" s="271">
        <v>-73.064999999999998</v>
      </c>
      <c r="BI27" s="271">
        <v>-78.460999999999999</v>
      </c>
      <c r="BJ27" s="271">
        <v>-91.81</v>
      </c>
      <c r="BK27" s="271">
        <v>-99.421999999999997</v>
      </c>
      <c r="BL27" s="271">
        <v>-103.90900000000001</v>
      </c>
      <c r="BM27" s="271">
        <v>-109.51299999999999</v>
      </c>
      <c r="BN27" s="271">
        <v>-110.70399999999999</v>
      </c>
      <c r="BO27" s="271">
        <v>-117.14</v>
      </c>
      <c r="BP27" s="35"/>
    </row>
    <row r="28" spans="2:68" x14ac:dyDescent="0.25">
      <c r="C28" s="75" t="s">
        <v>135</v>
      </c>
      <c r="D28" s="75"/>
      <c r="E28" s="75" t="s">
        <v>626</v>
      </c>
      <c r="F28" s="271">
        <v>-9.6850000000000005</v>
      </c>
      <c r="G28" s="271">
        <v>-10.872</v>
      </c>
      <c r="H28" s="271">
        <v>-12.311999999999999</v>
      </c>
      <c r="I28" s="271">
        <v>-26.425000000000001</v>
      </c>
      <c r="J28" s="271">
        <v>-12.327999999999999</v>
      </c>
      <c r="K28" s="271">
        <v>-13.180999999999999</v>
      </c>
      <c r="L28" s="271">
        <v>-14.067</v>
      </c>
      <c r="M28" s="271">
        <v>-15.657999999999999</v>
      </c>
      <c r="N28" s="271">
        <v>-14.348000000000001</v>
      </c>
      <c r="O28" s="271">
        <v>-13.545</v>
      </c>
      <c r="P28" s="271">
        <v>-13.744</v>
      </c>
      <c r="Q28" s="271">
        <v>-16.079000000000001</v>
      </c>
      <c r="R28" s="271">
        <v>-15.356999999999999</v>
      </c>
      <c r="S28" s="271">
        <v>-16.936</v>
      </c>
      <c r="T28" s="271">
        <v>-16.626000000000001</v>
      </c>
      <c r="U28" s="271">
        <v>-16.015999999999998</v>
      </c>
      <c r="V28" s="271">
        <v>-15.676</v>
      </c>
      <c r="W28" s="271">
        <v>-19.623999999999999</v>
      </c>
      <c r="X28" s="271">
        <v>-17.728999999999999</v>
      </c>
      <c r="Y28" s="271">
        <v>-18.459</v>
      </c>
      <c r="Z28" s="271">
        <v>-17.559000000000001</v>
      </c>
      <c r="AA28" s="271">
        <v>-18.457999999999998</v>
      </c>
      <c r="AB28" s="271">
        <v>-18.734999999999999</v>
      </c>
      <c r="AC28" s="271">
        <v>-23.61</v>
      </c>
      <c r="AD28" s="271">
        <v>-20.550999999999998</v>
      </c>
      <c r="AE28" s="271">
        <v>-19.63</v>
      </c>
      <c r="AF28" s="271">
        <v>-22.247</v>
      </c>
      <c r="AG28" s="271">
        <v>-24.241</v>
      </c>
      <c r="AH28" s="271">
        <v>-23.192</v>
      </c>
      <c r="AI28" s="271">
        <v>-22.638000000000002</v>
      </c>
      <c r="AJ28" s="271">
        <v>-23.245000000000001</v>
      </c>
      <c r="AK28" s="271">
        <v>-24.625</v>
      </c>
      <c r="AL28" s="271">
        <v>-24.087</v>
      </c>
      <c r="AM28" s="271">
        <v>-25.513999999999999</v>
      </c>
      <c r="AN28" s="271">
        <v>-25.914999999999999</v>
      </c>
      <c r="AO28" s="271">
        <v>-29.071000000000002</v>
      </c>
      <c r="AP28" s="271">
        <v>-25.876999999999999</v>
      </c>
      <c r="AQ28" s="271">
        <v>-26.727</v>
      </c>
      <c r="AR28" s="271">
        <v>-25.690999999999999</v>
      </c>
      <c r="AS28" s="271">
        <v>-28.5</v>
      </c>
      <c r="AT28" s="271">
        <v>-26.065000000000001</v>
      </c>
      <c r="AU28" s="271">
        <v>-29.28</v>
      </c>
      <c r="AV28" s="271">
        <v>-29.73</v>
      </c>
      <c r="AW28" s="271">
        <v>-30.841999999999999</v>
      </c>
      <c r="AX28" s="271">
        <v>-36.994</v>
      </c>
      <c r="AY28" s="271">
        <v>-37.904000000000003</v>
      </c>
      <c r="AZ28" s="271">
        <v>-36.622999999999998</v>
      </c>
      <c r="BA28" s="271">
        <v>-41.475999999999999</v>
      </c>
      <c r="BB28" s="271">
        <v>-40.064999999999998</v>
      </c>
      <c r="BC28" s="271">
        <v>-36.804000000000002</v>
      </c>
      <c r="BD28" s="271">
        <v>-37.381999999999998</v>
      </c>
      <c r="BE28" s="271">
        <v>-46.465000000000003</v>
      </c>
      <c r="BF28" s="271">
        <v>-37.439</v>
      </c>
      <c r="BG28" s="271">
        <v>-46.161999999999999</v>
      </c>
      <c r="BH28" s="271">
        <v>-47.23</v>
      </c>
      <c r="BI28" s="271">
        <v>-50.686999999999998</v>
      </c>
      <c r="BJ28" s="271">
        <v>-52.673000000000002</v>
      </c>
      <c r="BK28" s="271">
        <v>-64.817999999999998</v>
      </c>
      <c r="BL28" s="271">
        <v>-68.453000000000003</v>
      </c>
      <c r="BM28" s="271">
        <v>-77.201999999999998</v>
      </c>
      <c r="BN28" s="271">
        <v>-70.242999999999995</v>
      </c>
      <c r="BO28" s="271">
        <v>-74.884999999999991</v>
      </c>
      <c r="BP28" s="35"/>
    </row>
    <row r="29" spans="2:68" x14ac:dyDescent="0.25">
      <c r="C29" s="75" t="s">
        <v>130</v>
      </c>
      <c r="D29" s="75"/>
      <c r="E29" s="75" t="s">
        <v>627</v>
      </c>
      <c r="F29" s="270">
        <v>-0.78</v>
      </c>
      <c r="G29" s="270">
        <v>-0.70499999999999996</v>
      </c>
      <c r="H29" s="270">
        <v>-0.78600000000000003</v>
      </c>
      <c r="I29" s="270">
        <v>-0.63400000000000001</v>
      </c>
      <c r="J29" s="270">
        <v>-0.54900000000000004</v>
      </c>
      <c r="K29" s="270">
        <v>-0.53900000000000003</v>
      </c>
      <c r="L29" s="270">
        <v>-0.57499999999999996</v>
      </c>
      <c r="M29" s="270">
        <v>-3.548</v>
      </c>
      <c r="N29" s="270">
        <v>-8.2810000000000006</v>
      </c>
      <c r="O29" s="270">
        <v>-8.2780000000000005</v>
      </c>
      <c r="P29" s="270">
        <v>-8.6660000000000004</v>
      </c>
      <c r="Q29" s="270">
        <v>-8.9350000000000005</v>
      </c>
      <c r="R29" s="270">
        <v>-10.019</v>
      </c>
      <c r="S29" s="270">
        <v>-10.5</v>
      </c>
      <c r="T29" s="270">
        <v>-8.8789999999999996</v>
      </c>
      <c r="U29" s="270">
        <v>-10.885</v>
      </c>
      <c r="V29" s="270">
        <v>-10.101000000000001</v>
      </c>
      <c r="W29" s="270">
        <v>-8.3320000000000007</v>
      </c>
      <c r="X29" s="270">
        <v>-9.9710000000000001</v>
      </c>
      <c r="Y29" s="270">
        <v>-10.083</v>
      </c>
      <c r="Z29" s="270">
        <v>-10.071999999999999</v>
      </c>
      <c r="AA29" s="270">
        <v>-8.4979999999999993</v>
      </c>
      <c r="AB29" s="270">
        <v>-10.536</v>
      </c>
      <c r="AC29" s="270">
        <v>-12.265000000000001</v>
      </c>
      <c r="AD29" s="270">
        <v>-11.301</v>
      </c>
      <c r="AE29" s="270">
        <v>-11.090999999999999</v>
      </c>
      <c r="AF29" s="270">
        <v>-8.6289999999999996</v>
      </c>
      <c r="AG29" s="270">
        <v>-9.048</v>
      </c>
      <c r="AH29" s="270">
        <v>-5.2389999999999999</v>
      </c>
      <c r="AI29" s="270">
        <v>-13.867000000000001</v>
      </c>
      <c r="AJ29" s="271">
        <v>-5.8390000000000004</v>
      </c>
      <c r="AK29" s="271">
        <v>-13.021000000000001</v>
      </c>
      <c r="AL29" s="271">
        <v>-8.4169999999999998</v>
      </c>
      <c r="AM29" s="271">
        <v>-14.708</v>
      </c>
      <c r="AN29" s="271">
        <v>-13.194000000000001</v>
      </c>
      <c r="AO29" s="271">
        <v>-22.966999999999999</v>
      </c>
      <c r="AP29" s="271">
        <v>-19.134</v>
      </c>
      <c r="AQ29" s="271">
        <v>-14.195</v>
      </c>
      <c r="AR29" s="271">
        <v>-21.771000000000001</v>
      </c>
      <c r="AS29" s="271">
        <v>-16.452000000000002</v>
      </c>
      <c r="AT29" s="271">
        <v>-15.606999999999999</v>
      </c>
      <c r="AU29" s="271">
        <v>-10.627000000000001</v>
      </c>
      <c r="AV29" s="271">
        <v>-16.218</v>
      </c>
      <c r="AW29" s="271">
        <v>-22.306999999999999</v>
      </c>
      <c r="AX29" s="271">
        <v>-12.747999999999999</v>
      </c>
      <c r="AY29" s="271">
        <v>-17.815000000000001</v>
      </c>
      <c r="AZ29" s="271">
        <v>-11.904</v>
      </c>
      <c r="BA29" s="271">
        <v>-25.667999999999999</v>
      </c>
      <c r="BB29" s="271">
        <v>-11.848000000000001</v>
      </c>
      <c r="BC29" s="271">
        <v>-14.522</v>
      </c>
      <c r="BD29" s="271">
        <v>-12.688000000000001</v>
      </c>
      <c r="BE29" s="271">
        <v>-19.972999999999999</v>
      </c>
      <c r="BF29" s="271">
        <v>-10.147</v>
      </c>
      <c r="BG29" s="271">
        <v>-15.303000000000001</v>
      </c>
      <c r="BH29" s="271">
        <v>-18.913</v>
      </c>
      <c r="BI29" s="271">
        <v>-25.026</v>
      </c>
      <c r="BJ29" s="271">
        <v>-14.78</v>
      </c>
      <c r="BK29" s="271">
        <v>-31.632000000000001</v>
      </c>
      <c r="BL29" s="271">
        <v>-27.669</v>
      </c>
      <c r="BM29" s="271">
        <v>-38.251000000000005</v>
      </c>
      <c r="BN29" s="271">
        <v>-27.774000000000001</v>
      </c>
      <c r="BO29" s="271">
        <v>-23.551000000000002</v>
      </c>
      <c r="BP29" s="35"/>
    </row>
    <row r="30" spans="2:68" x14ac:dyDescent="0.25">
      <c r="C30" s="75" t="s">
        <v>209</v>
      </c>
      <c r="D30" s="75"/>
      <c r="E30" s="75" t="s">
        <v>628</v>
      </c>
      <c r="F30" s="270">
        <v>-5.1779999999999999</v>
      </c>
      <c r="G30" s="270">
        <v>-11.593</v>
      </c>
      <c r="H30" s="270">
        <v>11.700000000000001</v>
      </c>
      <c r="I30" s="270">
        <v>15.777000000000001</v>
      </c>
      <c r="J30" s="270">
        <v>-4.3620000000000001</v>
      </c>
      <c r="K30" s="270">
        <v>-22.331</v>
      </c>
      <c r="L30" s="270">
        <v>-12.097</v>
      </c>
      <c r="M30" s="270">
        <v>-22.006</v>
      </c>
      <c r="N30" s="270">
        <v>6.6210000000000004</v>
      </c>
      <c r="O30" s="270">
        <v>1.78</v>
      </c>
      <c r="P30" s="270">
        <v>-4.0110000000000001</v>
      </c>
      <c r="Q30" s="270">
        <v>-2.4649999999999999</v>
      </c>
      <c r="R30" s="270">
        <v>-4.8070000000000004</v>
      </c>
      <c r="S30" s="270">
        <v>-4.3680000000000003</v>
      </c>
      <c r="T30" s="270">
        <v>22.265999999999998</v>
      </c>
      <c r="U30" s="270">
        <v>5.2249999999999996</v>
      </c>
      <c r="V30" s="270">
        <v>-2.4300000000000002</v>
      </c>
      <c r="W30" s="270">
        <v>42.697000000000003</v>
      </c>
      <c r="X30" s="270">
        <v>2.028</v>
      </c>
      <c r="Y30" s="270">
        <v>1.9850000000000001</v>
      </c>
      <c r="Z30" s="270">
        <v>-8.0850000000000009</v>
      </c>
      <c r="AA30" s="270">
        <v>56.277999999999999</v>
      </c>
      <c r="AB30" s="270">
        <v>2.0489999999999999</v>
      </c>
      <c r="AC30" s="270">
        <v>15.856</v>
      </c>
      <c r="AD30" s="270">
        <v>-15.129</v>
      </c>
      <c r="AE30" s="270">
        <v>-13.189</v>
      </c>
      <c r="AF30" s="270">
        <v>53.765000000000001</v>
      </c>
      <c r="AG30" s="270">
        <v>46.107999999999997</v>
      </c>
      <c r="AH30" s="270">
        <v>134.958</v>
      </c>
      <c r="AI30" s="270">
        <v>-32.561</v>
      </c>
      <c r="AJ30" s="271">
        <v>231.83600000000001</v>
      </c>
      <c r="AK30" s="271">
        <v>-34.823999999999998</v>
      </c>
      <c r="AL30" s="271">
        <v>-93.308999999999997</v>
      </c>
      <c r="AM30" s="271">
        <v>-110.04900000000001</v>
      </c>
      <c r="AN30" s="271">
        <v>1.1439999999999999</v>
      </c>
      <c r="AO30" s="271">
        <v>-1.5820000000000001</v>
      </c>
      <c r="AP30" s="271">
        <v>5.6289999999999996</v>
      </c>
      <c r="AQ30" s="271">
        <v>44.220999999999997</v>
      </c>
      <c r="AR30" s="271">
        <v>9.8149999999999995</v>
      </c>
      <c r="AS30" s="271">
        <v>-3.9489999999999998</v>
      </c>
      <c r="AT30" s="271">
        <v>-0.56699999999999995</v>
      </c>
      <c r="AU30" s="271">
        <v>-0.77500000000000002</v>
      </c>
      <c r="AV30" s="271">
        <v>0.46200000000000002</v>
      </c>
      <c r="AW30" s="271">
        <v>4.3609999999999998</v>
      </c>
      <c r="AX30" s="271">
        <v>6.4690000000000003</v>
      </c>
      <c r="AY30" s="271">
        <v>-7.4320000000000004</v>
      </c>
      <c r="AZ30" s="271">
        <v>4.798</v>
      </c>
      <c r="BA30" s="271">
        <v>3.5449999999999999</v>
      </c>
      <c r="BB30" s="271">
        <v>1.653</v>
      </c>
      <c r="BC30" s="271">
        <v>-7.7679999999999998</v>
      </c>
      <c r="BD30" s="271">
        <v>-18.247</v>
      </c>
      <c r="BE30" s="271">
        <v>-19.863</v>
      </c>
      <c r="BF30" s="271">
        <v>3.7959999999999998</v>
      </c>
      <c r="BG30" s="271">
        <v>-16.666</v>
      </c>
      <c r="BH30" s="271">
        <v>-10.805999999999999</v>
      </c>
      <c r="BI30" s="271">
        <v>-20.52</v>
      </c>
      <c r="BJ30" s="271">
        <v>-15.197000000000001</v>
      </c>
      <c r="BK30" s="271">
        <v>-5.1539999999999999</v>
      </c>
      <c r="BL30" s="271">
        <v>-28.39</v>
      </c>
      <c r="BM30" s="271">
        <v>21.92</v>
      </c>
      <c r="BN30" s="271">
        <v>7.4480000000000004</v>
      </c>
      <c r="BO30" s="271">
        <v>-22.822000000000003</v>
      </c>
      <c r="BP30" s="35"/>
    </row>
    <row r="31" spans="2:68" s="35" customFormat="1" x14ac:dyDescent="0.25">
      <c r="B31" s="139" t="s">
        <v>122</v>
      </c>
      <c r="C31" s="37"/>
      <c r="D31" s="37"/>
      <c r="E31" s="139" t="s">
        <v>613</v>
      </c>
      <c r="F31" s="269">
        <f t="shared" ref="F31:BM31" si="13">F25+F24</f>
        <v>59.248999999999981</v>
      </c>
      <c r="G31" s="269">
        <f t="shared" si="13"/>
        <v>68.250999999999991</v>
      </c>
      <c r="H31" s="269">
        <f t="shared" si="13"/>
        <v>63.196000000000062</v>
      </c>
      <c r="I31" s="269">
        <f t="shared" si="13"/>
        <v>4.4279999999999404</v>
      </c>
      <c r="J31" s="269">
        <f t="shared" si="13"/>
        <v>35.511999999999993</v>
      </c>
      <c r="K31" s="269">
        <f t="shared" si="13"/>
        <v>63.596000000000011</v>
      </c>
      <c r="L31" s="269">
        <f t="shared" si="13"/>
        <v>65.859000000000009</v>
      </c>
      <c r="M31" s="269">
        <f t="shared" si="13"/>
        <v>52.716000000000015</v>
      </c>
      <c r="N31" s="269">
        <f t="shared" si="13"/>
        <v>78.693000000000026</v>
      </c>
      <c r="O31" s="269">
        <f t="shared" si="13"/>
        <v>85.832999999999998</v>
      </c>
      <c r="P31" s="269">
        <f t="shared" si="13"/>
        <v>87.31</v>
      </c>
      <c r="Q31" s="269">
        <f t="shared" si="13"/>
        <v>96.626000000000005</v>
      </c>
      <c r="R31" s="269">
        <f t="shared" si="13"/>
        <v>100.45600000000002</v>
      </c>
      <c r="S31" s="269">
        <f t="shared" si="13"/>
        <v>109.88700000000001</v>
      </c>
      <c r="T31" s="269">
        <f t="shared" si="13"/>
        <v>86.9759999999999</v>
      </c>
      <c r="U31" s="269">
        <f t="shared" si="13"/>
        <v>108</v>
      </c>
      <c r="V31" s="269">
        <f t="shared" si="13"/>
        <v>94.15399999999994</v>
      </c>
      <c r="W31" s="269">
        <f t="shared" si="13"/>
        <v>68.047999999999973</v>
      </c>
      <c r="X31" s="269">
        <f t="shared" si="13"/>
        <v>90.623999999999967</v>
      </c>
      <c r="Y31" s="269">
        <f t="shared" si="13"/>
        <v>94.10899999999998</v>
      </c>
      <c r="Z31" s="269">
        <f t="shared" si="13"/>
        <v>104.16200000000001</v>
      </c>
      <c r="AA31" s="269">
        <f t="shared" si="13"/>
        <v>81.64</v>
      </c>
      <c r="AB31" s="269">
        <f t="shared" si="13"/>
        <v>105.45699999999992</v>
      </c>
      <c r="AC31" s="269">
        <f t="shared" si="13"/>
        <v>97.371000000000038</v>
      </c>
      <c r="AD31" s="269">
        <f t="shared" si="13"/>
        <v>123.17700000000001</v>
      </c>
      <c r="AE31" s="269">
        <f t="shared" si="13"/>
        <v>135.846</v>
      </c>
      <c r="AF31" s="269">
        <f t="shared" si="13"/>
        <v>87.378000000000029</v>
      </c>
      <c r="AG31" s="269">
        <f t="shared" si="13"/>
        <v>87.39800000000001</v>
      </c>
      <c r="AH31" s="269">
        <f t="shared" si="13"/>
        <v>32.239000000000175</v>
      </c>
      <c r="AI31" s="269">
        <f t="shared" si="13"/>
        <v>147.08199999999997</v>
      </c>
      <c r="AJ31" s="269">
        <f t="shared" si="13"/>
        <v>-62.660000000000139</v>
      </c>
      <c r="AK31" s="269">
        <f t="shared" si="13"/>
        <v>162.54699999999983</v>
      </c>
      <c r="AL31" s="269">
        <f t="shared" si="13"/>
        <v>216.22999999999996</v>
      </c>
      <c r="AM31" s="269">
        <f t="shared" si="13"/>
        <v>230.23600000000002</v>
      </c>
      <c r="AN31" s="269">
        <f t="shared" si="13"/>
        <v>138.25400000000005</v>
      </c>
      <c r="AO31" s="269">
        <f t="shared" si="13"/>
        <v>141.53099999999992</v>
      </c>
      <c r="AP31" s="269">
        <f t="shared" si="13"/>
        <v>166.79500000000004</v>
      </c>
      <c r="AQ31" s="269">
        <f t="shared" si="13"/>
        <v>123.88499999999988</v>
      </c>
      <c r="AR31" s="269">
        <f t="shared" si="13"/>
        <v>183.983</v>
      </c>
      <c r="AS31" s="269">
        <f t="shared" si="13"/>
        <v>123.83499999999992</v>
      </c>
      <c r="AT31" s="269">
        <f t="shared" si="13"/>
        <v>160.05699999999999</v>
      </c>
      <c r="AU31" s="269">
        <f t="shared" si="13"/>
        <v>4.7450000000001467</v>
      </c>
      <c r="AV31" s="269">
        <f t="shared" si="13"/>
        <v>108.93400000000007</v>
      </c>
      <c r="AW31" s="269">
        <f t="shared" si="13"/>
        <v>210.68699999999998</v>
      </c>
      <c r="AX31" s="269">
        <f t="shared" si="13"/>
        <v>150.38099999999997</v>
      </c>
      <c r="AY31" s="269">
        <f t="shared" si="13"/>
        <v>201.95399999999995</v>
      </c>
      <c r="AZ31" s="269">
        <f t="shared" si="13"/>
        <v>85.240999999999829</v>
      </c>
      <c r="BA31" s="269">
        <f t="shared" si="13"/>
        <v>200.93299999999999</v>
      </c>
      <c r="BB31" s="269">
        <f t="shared" si="13"/>
        <v>-358.01700000000005</v>
      </c>
      <c r="BC31" s="269">
        <f t="shared" si="13"/>
        <v>-75.088000000000051</v>
      </c>
      <c r="BD31" s="269">
        <f t="shared" si="13"/>
        <v>79.738000000000056</v>
      </c>
      <c r="BE31" s="269">
        <f t="shared" si="13"/>
        <v>263.67099999999994</v>
      </c>
      <c r="BF31" s="269">
        <f t="shared" si="13"/>
        <v>129.48600000000002</v>
      </c>
      <c r="BG31" s="269">
        <f t="shared" si="13"/>
        <v>339.19799999999987</v>
      </c>
      <c r="BH31" s="269">
        <f t="shared" si="13"/>
        <v>158.56900000000007</v>
      </c>
      <c r="BI31" s="269">
        <f t="shared" si="13"/>
        <v>169.42799999999983</v>
      </c>
      <c r="BJ31" s="269">
        <f t="shared" si="13"/>
        <v>293.92899999999986</v>
      </c>
      <c r="BK31" s="269">
        <f t="shared" si="13"/>
        <v>282.71800000000007</v>
      </c>
      <c r="BL31" s="269">
        <f t="shared" si="13"/>
        <v>318.58499999999987</v>
      </c>
      <c r="BM31" s="269">
        <f t="shared" si="13"/>
        <v>273.08900000000028</v>
      </c>
      <c r="BN31" s="269">
        <f>BN25+BN24</f>
        <v>231.94500000000016</v>
      </c>
      <c r="BO31" s="269">
        <f>BO25+BO24</f>
        <v>247.02200000000016</v>
      </c>
    </row>
    <row r="32" spans="2:68" x14ac:dyDescent="0.25">
      <c r="C32" s="75" t="s">
        <v>197</v>
      </c>
      <c r="D32" s="75"/>
      <c r="E32" s="75" t="s">
        <v>629</v>
      </c>
      <c r="F32" s="270">
        <v>0</v>
      </c>
      <c r="G32" s="270">
        <v>-2E-3</v>
      </c>
      <c r="H32" s="270">
        <v>1.2050000000000001</v>
      </c>
      <c r="I32" s="270">
        <v>1E-3</v>
      </c>
      <c r="J32" s="270">
        <v>-1.708</v>
      </c>
      <c r="K32" s="270">
        <v>-1.0489999999999999</v>
      </c>
      <c r="L32" s="270">
        <v>-0.24099999999999999</v>
      </c>
      <c r="M32" s="270">
        <v>-0.311</v>
      </c>
      <c r="N32" s="270">
        <v>-0.26500000000000001</v>
      </c>
      <c r="O32" s="270">
        <v>-1.9079999999999999</v>
      </c>
      <c r="P32" s="270">
        <v>0.26500000000000001</v>
      </c>
      <c r="Q32" s="270">
        <v>-0.51800000000000002</v>
      </c>
      <c r="R32" s="270">
        <v>-0.38400000000000001</v>
      </c>
      <c r="S32" s="270">
        <v>-3.996</v>
      </c>
      <c r="T32" s="270">
        <v>2.6629999999999998</v>
      </c>
      <c r="U32" s="270">
        <v>-4.1589999999999998</v>
      </c>
      <c r="V32" s="270">
        <v>-0.92200000000000004</v>
      </c>
      <c r="W32" s="270">
        <v>-3.8180000000000001</v>
      </c>
      <c r="X32" s="270">
        <v>-1.4379999999999999</v>
      </c>
      <c r="Y32" s="270">
        <v>-0.433</v>
      </c>
      <c r="Z32" s="270">
        <v>8.6999999999999994E-2</v>
      </c>
      <c r="AA32" s="270">
        <v>-0.63300000000000001</v>
      </c>
      <c r="AB32" s="270">
        <v>-1.139</v>
      </c>
      <c r="AC32" s="270">
        <v>-0.13400000000000001</v>
      </c>
      <c r="AD32" s="270">
        <v>-0.34100000000000003</v>
      </c>
      <c r="AE32" s="270">
        <v>-1.95</v>
      </c>
      <c r="AF32" s="270">
        <v>0.48899999999999999</v>
      </c>
      <c r="AG32" s="270">
        <v>-0.45700000000000002</v>
      </c>
      <c r="AH32" s="270">
        <v>-0.77100000000000002</v>
      </c>
      <c r="AI32" s="270">
        <v>-2.83</v>
      </c>
      <c r="AJ32" s="271">
        <v>-2.8740000000000001</v>
      </c>
      <c r="AK32" s="271">
        <v>0.245</v>
      </c>
      <c r="AL32" s="271">
        <v>-7.88</v>
      </c>
      <c r="AM32" s="271">
        <v>-0.30599999999999999</v>
      </c>
      <c r="AN32" s="271">
        <v>-1.51</v>
      </c>
      <c r="AO32" s="271">
        <v>-2.5390000000000001</v>
      </c>
      <c r="AP32" s="271">
        <v>-7.694</v>
      </c>
      <c r="AQ32" s="271">
        <v>-10.493</v>
      </c>
      <c r="AR32" s="271">
        <v>-10.582000000000001</v>
      </c>
      <c r="AS32" s="271">
        <v>-8.1270000000000007</v>
      </c>
      <c r="AT32" s="271">
        <v>-9.9350000000000005</v>
      </c>
      <c r="AU32" s="271">
        <v>-10.349</v>
      </c>
      <c r="AV32" s="271">
        <v>-5.7000000000000002E-2</v>
      </c>
      <c r="AW32" s="271">
        <v>-1.07</v>
      </c>
      <c r="AX32" s="271">
        <v>-0.71499999999999997</v>
      </c>
      <c r="AY32" s="271">
        <v>-0.127</v>
      </c>
      <c r="AZ32" s="271">
        <v>-1.4019999999999999</v>
      </c>
      <c r="BA32" s="271">
        <v>-0.11</v>
      </c>
      <c r="BB32" s="271">
        <v>-0.97299999999999998</v>
      </c>
      <c r="BC32" s="271">
        <v>-0.04</v>
      </c>
      <c r="BD32" s="271">
        <v>-2.3E-2</v>
      </c>
      <c r="BE32" s="271">
        <v>-9.9109999999999996</v>
      </c>
      <c r="BF32" s="271">
        <v>-0.309</v>
      </c>
      <c r="BG32" s="271">
        <v>-18.027999999999999</v>
      </c>
      <c r="BH32" s="271">
        <v>0.55600000000000005</v>
      </c>
      <c r="BI32" s="271">
        <v>-5.7160000000000002</v>
      </c>
      <c r="BJ32" s="271">
        <v>-9.76</v>
      </c>
      <c r="BK32" s="271">
        <v>6.0149999999999997</v>
      </c>
      <c r="BL32" s="271">
        <v>3.1230000000000002</v>
      </c>
      <c r="BM32" s="271">
        <v>1.3099999999999996</v>
      </c>
      <c r="BN32" s="271">
        <v>0.433</v>
      </c>
      <c r="BO32" s="271">
        <v>7.8000000000000014E-2</v>
      </c>
      <c r="BP32" s="35"/>
    </row>
    <row r="33" spans="2:68" s="35" customFormat="1" x14ac:dyDescent="0.25">
      <c r="B33" s="139" t="s">
        <v>123</v>
      </c>
      <c r="C33" s="37"/>
      <c r="D33" s="37"/>
      <c r="E33" s="139" t="s">
        <v>614</v>
      </c>
      <c r="F33" s="269">
        <f t="shared" ref="F33:BM33" si="14">F32+F31</f>
        <v>59.248999999999981</v>
      </c>
      <c r="G33" s="269">
        <f t="shared" si="14"/>
        <v>68.248999999999995</v>
      </c>
      <c r="H33" s="269">
        <f t="shared" si="14"/>
        <v>64.401000000000067</v>
      </c>
      <c r="I33" s="269">
        <f t="shared" si="14"/>
        <v>4.4289999999999408</v>
      </c>
      <c r="J33" s="269">
        <f t="shared" si="14"/>
        <v>33.803999999999995</v>
      </c>
      <c r="K33" s="269">
        <f t="shared" si="14"/>
        <v>62.547000000000011</v>
      </c>
      <c r="L33" s="269">
        <f t="shared" si="14"/>
        <v>65.618000000000009</v>
      </c>
      <c r="M33" s="269">
        <f t="shared" si="14"/>
        <v>52.405000000000015</v>
      </c>
      <c r="N33" s="269">
        <f t="shared" si="14"/>
        <v>78.428000000000026</v>
      </c>
      <c r="O33" s="269">
        <f t="shared" si="14"/>
        <v>83.924999999999997</v>
      </c>
      <c r="P33" s="269">
        <f t="shared" si="14"/>
        <v>87.575000000000003</v>
      </c>
      <c r="Q33" s="269">
        <f t="shared" si="14"/>
        <v>96.108000000000004</v>
      </c>
      <c r="R33" s="269">
        <f t="shared" si="14"/>
        <v>100.07200000000002</v>
      </c>
      <c r="S33" s="269">
        <f t="shared" si="14"/>
        <v>105.89100000000002</v>
      </c>
      <c r="T33" s="269">
        <f t="shared" si="14"/>
        <v>89.638999999999896</v>
      </c>
      <c r="U33" s="269">
        <f t="shared" si="14"/>
        <v>103.84099999999999</v>
      </c>
      <c r="V33" s="269">
        <f t="shared" si="14"/>
        <v>93.231999999999942</v>
      </c>
      <c r="W33" s="269">
        <f t="shared" si="14"/>
        <v>64.229999999999976</v>
      </c>
      <c r="X33" s="269">
        <f t="shared" si="14"/>
        <v>89.185999999999964</v>
      </c>
      <c r="Y33" s="269">
        <f t="shared" si="14"/>
        <v>93.675999999999974</v>
      </c>
      <c r="Z33" s="269">
        <f t="shared" si="14"/>
        <v>104.24900000000001</v>
      </c>
      <c r="AA33" s="269">
        <f t="shared" si="14"/>
        <v>81.007000000000005</v>
      </c>
      <c r="AB33" s="269">
        <f t="shared" si="14"/>
        <v>104.31799999999993</v>
      </c>
      <c r="AC33" s="269">
        <f t="shared" si="14"/>
        <v>97.237000000000037</v>
      </c>
      <c r="AD33" s="269">
        <f t="shared" si="14"/>
        <v>122.83600000000001</v>
      </c>
      <c r="AE33" s="269">
        <f t="shared" si="14"/>
        <v>133.89600000000002</v>
      </c>
      <c r="AF33" s="269">
        <f t="shared" si="14"/>
        <v>87.867000000000033</v>
      </c>
      <c r="AG33" s="269">
        <f t="shared" si="14"/>
        <v>86.941000000000017</v>
      </c>
      <c r="AH33" s="269">
        <f t="shared" si="14"/>
        <v>31.468000000000174</v>
      </c>
      <c r="AI33" s="269">
        <f t="shared" si="14"/>
        <v>144.25199999999995</v>
      </c>
      <c r="AJ33" s="269">
        <f t="shared" si="14"/>
        <v>-65.534000000000134</v>
      </c>
      <c r="AK33" s="269">
        <f t="shared" si="14"/>
        <v>162.79199999999983</v>
      </c>
      <c r="AL33" s="269">
        <f t="shared" si="14"/>
        <v>208.34999999999997</v>
      </c>
      <c r="AM33" s="269">
        <f t="shared" si="14"/>
        <v>229.93</v>
      </c>
      <c r="AN33" s="269">
        <f t="shared" si="14"/>
        <v>136.74400000000006</v>
      </c>
      <c r="AO33" s="269">
        <f t="shared" si="14"/>
        <v>138.99199999999993</v>
      </c>
      <c r="AP33" s="269">
        <f t="shared" si="14"/>
        <v>159.10100000000006</v>
      </c>
      <c r="AQ33" s="269">
        <f t="shared" si="14"/>
        <v>113.39199999999988</v>
      </c>
      <c r="AR33" s="269">
        <f t="shared" si="14"/>
        <v>173.40100000000001</v>
      </c>
      <c r="AS33" s="269">
        <f t="shared" si="14"/>
        <v>115.70799999999993</v>
      </c>
      <c r="AT33" s="269">
        <f t="shared" si="14"/>
        <v>150.12199999999999</v>
      </c>
      <c r="AU33" s="269">
        <f t="shared" si="14"/>
        <v>-5.6039999999998535</v>
      </c>
      <c r="AV33" s="269">
        <f t="shared" si="14"/>
        <v>108.87700000000007</v>
      </c>
      <c r="AW33" s="269">
        <f t="shared" si="14"/>
        <v>209.61699999999999</v>
      </c>
      <c r="AX33" s="269">
        <f t="shared" si="14"/>
        <v>149.66599999999997</v>
      </c>
      <c r="AY33" s="269">
        <f t="shared" si="14"/>
        <v>201.82699999999994</v>
      </c>
      <c r="AZ33" s="269">
        <f t="shared" si="14"/>
        <v>83.838999999999828</v>
      </c>
      <c r="BA33" s="269">
        <f t="shared" si="14"/>
        <v>200.82299999999998</v>
      </c>
      <c r="BB33" s="269">
        <f t="shared" si="14"/>
        <v>-358.99000000000007</v>
      </c>
      <c r="BC33" s="269">
        <f t="shared" si="14"/>
        <v>-75.128000000000057</v>
      </c>
      <c r="BD33" s="269">
        <f t="shared" si="14"/>
        <v>79.71500000000006</v>
      </c>
      <c r="BE33" s="269">
        <f t="shared" si="14"/>
        <v>253.75999999999993</v>
      </c>
      <c r="BF33" s="269">
        <f t="shared" si="14"/>
        <v>129.17700000000002</v>
      </c>
      <c r="BG33" s="269">
        <f t="shared" si="14"/>
        <v>321.16999999999985</v>
      </c>
      <c r="BH33" s="269">
        <f t="shared" si="14"/>
        <v>159.12500000000009</v>
      </c>
      <c r="BI33" s="269">
        <f t="shared" si="14"/>
        <v>163.71199999999982</v>
      </c>
      <c r="BJ33" s="269">
        <f t="shared" si="14"/>
        <v>284.16899999999987</v>
      </c>
      <c r="BK33" s="269">
        <f t="shared" si="14"/>
        <v>288.73300000000006</v>
      </c>
      <c r="BL33" s="269">
        <f t="shared" si="14"/>
        <v>321.70799999999986</v>
      </c>
      <c r="BM33" s="269">
        <f t="shared" si="14"/>
        <v>274.39900000000029</v>
      </c>
      <c r="BN33" s="269">
        <f>BN32+BN31</f>
        <v>232.37800000000016</v>
      </c>
      <c r="BO33" s="269">
        <f>BO32+BO31</f>
        <v>247.10000000000016</v>
      </c>
    </row>
    <row r="34" spans="2:68" x14ac:dyDescent="0.25">
      <c r="C34" s="75" t="s">
        <v>195</v>
      </c>
      <c r="D34" s="75"/>
      <c r="E34" s="75" t="s">
        <v>630</v>
      </c>
      <c r="F34" s="270">
        <v>-9.9909999999999997</v>
      </c>
      <c r="G34" s="270">
        <v>-13.622</v>
      </c>
      <c r="H34" s="270">
        <v>-6.0190000000000001</v>
      </c>
      <c r="I34" s="270">
        <v>16.241</v>
      </c>
      <c r="J34" s="270">
        <v>-2.3530000000000002</v>
      </c>
      <c r="K34" s="270">
        <v>-17.917000000000002</v>
      </c>
      <c r="L34" s="270">
        <v>-15.692</v>
      </c>
      <c r="M34" s="270">
        <v>14.808</v>
      </c>
      <c r="N34" s="270">
        <v>-16.044</v>
      </c>
      <c r="O34" s="270">
        <v>-18.312000000000001</v>
      </c>
      <c r="P34" s="270">
        <v>-21.486000000000001</v>
      </c>
      <c r="Q34" s="270">
        <v>-22.869</v>
      </c>
      <c r="R34" s="270">
        <v>-25.776</v>
      </c>
      <c r="S34" s="270">
        <v>-28.911000000000001</v>
      </c>
      <c r="T34" s="270">
        <v>-14.13</v>
      </c>
      <c r="U34" s="270">
        <v>-25.190999999999999</v>
      </c>
      <c r="V34" s="270">
        <v>-26.331</v>
      </c>
      <c r="W34" s="270">
        <v>3.9329999999999998</v>
      </c>
      <c r="X34" s="270">
        <v>-20.035</v>
      </c>
      <c r="Y34" s="270">
        <v>-18.812999999999999</v>
      </c>
      <c r="Z34" s="270">
        <f>-35.31+8.548</f>
        <v>-26.762</v>
      </c>
      <c r="AA34" s="270">
        <v>3.109</v>
      </c>
      <c r="AB34" s="270">
        <v>-18.638000000000002</v>
      </c>
      <c r="AC34" s="270">
        <v>0.98399999999999999</v>
      </c>
      <c r="AD34" s="270">
        <v>-32.494999999999997</v>
      </c>
      <c r="AE34" s="270">
        <v>-30.324000000000002</v>
      </c>
      <c r="AF34" s="270">
        <v>13.175000000000001</v>
      </c>
      <c r="AG34" s="270">
        <v>19.78</v>
      </c>
      <c r="AH34" s="270">
        <v>71.739999999999995</v>
      </c>
      <c r="AI34" s="270">
        <v>-28.512</v>
      </c>
      <c r="AJ34" s="271">
        <v>184.19900000000001</v>
      </c>
      <c r="AK34" s="271">
        <v>-28.295999999999999</v>
      </c>
      <c r="AL34" s="271">
        <v>-91.668000000000006</v>
      </c>
      <c r="AM34" s="271">
        <v>-99.168000000000006</v>
      </c>
      <c r="AN34" s="271">
        <v>-8.9830000000000005</v>
      </c>
      <c r="AO34" s="271">
        <v>-0.20799999999999999</v>
      </c>
      <c r="AP34" s="271">
        <v>-32.136000000000003</v>
      </c>
      <c r="AQ34" s="271">
        <v>23.221</v>
      </c>
      <c r="AR34" s="271">
        <v>-36.796999999999997</v>
      </c>
      <c r="AS34" s="271">
        <v>27.742000000000004</v>
      </c>
      <c r="AT34" s="271">
        <v>-7.1849999999999996</v>
      </c>
      <c r="AU34" s="271">
        <v>153.86799999999999</v>
      </c>
      <c r="AV34" s="271">
        <v>43.844999999999999</v>
      </c>
      <c r="AW34" s="271">
        <v>-92.227999999999994</v>
      </c>
      <c r="AX34" s="271">
        <v>1.9830000000000001</v>
      </c>
      <c r="AY34" s="271">
        <v>-32.845999999999997</v>
      </c>
      <c r="AZ34" s="271">
        <v>84.796999999999997</v>
      </c>
      <c r="BA34" s="271">
        <v>-17.178999999999998</v>
      </c>
      <c r="BB34" s="271">
        <v>477.11900000000003</v>
      </c>
      <c r="BC34" s="271">
        <v>164.143</v>
      </c>
      <c r="BD34" s="271">
        <v>22.509</v>
      </c>
      <c r="BE34" s="271">
        <v>-113.154</v>
      </c>
      <c r="BF34" s="271">
        <v>32.195</v>
      </c>
      <c r="BG34" s="271">
        <v>-146.71199999999999</v>
      </c>
      <c r="BH34" s="271">
        <v>31.731000000000002</v>
      </c>
      <c r="BI34" s="271">
        <v>44.527999999999999</v>
      </c>
      <c r="BJ34" s="271">
        <v>-45.835000000000001</v>
      </c>
      <c r="BK34" s="271">
        <v>-30.524000000000001</v>
      </c>
      <c r="BL34" s="271">
        <v>-29.648</v>
      </c>
      <c r="BM34" s="271">
        <v>-9.4970000000000034</v>
      </c>
      <c r="BN34" s="271">
        <v>19.654</v>
      </c>
      <c r="BO34" s="271">
        <v>14.327000000000002</v>
      </c>
      <c r="BP34" s="35"/>
    </row>
    <row r="35" spans="2:68" x14ac:dyDescent="0.25">
      <c r="C35" s="75" t="s">
        <v>210</v>
      </c>
      <c r="D35" s="75"/>
      <c r="E35" s="75" t="s">
        <v>631</v>
      </c>
      <c r="F35" s="270">
        <v>-14.519</v>
      </c>
      <c r="G35" s="270">
        <v>-11.859</v>
      </c>
      <c r="H35" s="270">
        <v>-13.961</v>
      </c>
      <c r="I35" s="270">
        <v>-4.7539999999999996</v>
      </c>
      <c r="J35" s="270">
        <v>-7.5</v>
      </c>
      <c r="K35" s="270">
        <v>-9.2449999999999992</v>
      </c>
      <c r="L35" s="270">
        <v>-11.815</v>
      </c>
      <c r="M35" s="270">
        <v>-13.504</v>
      </c>
      <c r="N35" s="270">
        <v>-15.448</v>
      </c>
      <c r="O35" s="270">
        <v>-15.445</v>
      </c>
      <c r="P35" s="270">
        <v>-14.974</v>
      </c>
      <c r="Q35" s="270">
        <v>-19.234000000000002</v>
      </c>
      <c r="R35" s="270">
        <v>-17.616</v>
      </c>
      <c r="S35" s="270">
        <v>-16.754999999999999</v>
      </c>
      <c r="T35" s="270">
        <v>-16.981000000000002</v>
      </c>
      <c r="U35" s="270">
        <v>-18.045999999999999</v>
      </c>
      <c r="V35" s="270">
        <v>-10.025</v>
      </c>
      <c r="W35" s="270">
        <v>-13.115</v>
      </c>
      <c r="X35" s="270">
        <v>-14.037000000000001</v>
      </c>
      <c r="Y35" s="270">
        <v>-15.282</v>
      </c>
      <c r="Z35" s="270">
        <v>-18.600999999999999</v>
      </c>
      <c r="AA35" s="270">
        <v>-20.641999999999999</v>
      </c>
      <c r="AB35" s="270">
        <v>-19.544</v>
      </c>
      <c r="AC35" s="270">
        <v>-23.315000000000001</v>
      </c>
      <c r="AD35" s="270">
        <v>-19.634</v>
      </c>
      <c r="AE35" s="270">
        <v>-23.805</v>
      </c>
      <c r="AF35" s="270">
        <v>-23.096</v>
      </c>
      <c r="AG35" s="270">
        <v>-24.494</v>
      </c>
      <c r="AH35" s="270">
        <v>-22.952999999999999</v>
      </c>
      <c r="AI35" s="270">
        <v>-25.638999999999999</v>
      </c>
      <c r="AJ35" s="271">
        <v>-23.623999999999999</v>
      </c>
      <c r="AK35" s="271">
        <v>-28.981000000000002</v>
      </c>
      <c r="AL35" s="271">
        <v>-25.533000000000001</v>
      </c>
      <c r="AM35" s="271">
        <v>-26.666</v>
      </c>
      <c r="AN35" s="271">
        <v>-24.974</v>
      </c>
      <c r="AO35" s="271">
        <v>-30.259</v>
      </c>
      <c r="AP35" s="271">
        <v>-30.11</v>
      </c>
      <c r="AQ35" s="271">
        <v>-29.474</v>
      </c>
      <c r="AR35" s="271">
        <v>-32.47</v>
      </c>
      <c r="AS35" s="271">
        <v>-32.844999999999999</v>
      </c>
      <c r="AT35" s="271">
        <v>-34.389000000000003</v>
      </c>
      <c r="AU35" s="271">
        <v>-36.610999999999997</v>
      </c>
      <c r="AV35" s="271">
        <v>-36.61</v>
      </c>
      <c r="AW35" s="271">
        <v>-35.616</v>
      </c>
      <c r="AX35" s="271">
        <v>-32.094999999999999</v>
      </c>
      <c r="AY35" s="271">
        <v>-36.256</v>
      </c>
      <c r="AZ35" s="271">
        <v>-38.115000000000002</v>
      </c>
      <c r="BA35" s="271">
        <v>-38.045000000000002</v>
      </c>
      <c r="BB35" s="271">
        <v>-37.131999999999998</v>
      </c>
      <c r="BC35" s="271">
        <v>-27.399000000000001</v>
      </c>
      <c r="BD35" s="271">
        <v>-28.748999999999999</v>
      </c>
      <c r="BE35" s="271">
        <v>-34.619</v>
      </c>
      <c r="BF35" s="271">
        <v>-38.966000000000001</v>
      </c>
      <c r="BG35" s="271">
        <v>-38.118000000000002</v>
      </c>
      <c r="BH35" s="271">
        <v>-39.164999999999999</v>
      </c>
      <c r="BI35" s="271">
        <v>-45.808999999999997</v>
      </c>
      <c r="BJ35" s="271">
        <v>-54.758000000000003</v>
      </c>
      <c r="BK35" s="271">
        <v>-56.027000000000001</v>
      </c>
      <c r="BL35" s="271">
        <v>-73.075000000000003</v>
      </c>
      <c r="BM35" s="271">
        <v>-66.95</v>
      </c>
      <c r="BN35" s="271">
        <v>-61.356000000000002</v>
      </c>
      <c r="BO35" s="271">
        <v>-58.791000000000004</v>
      </c>
      <c r="BP35" s="35"/>
    </row>
    <row r="36" spans="2:68" x14ac:dyDescent="0.25">
      <c r="C36" s="75" t="s">
        <v>333</v>
      </c>
      <c r="D36" s="75"/>
      <c r="E36" s="75" t="s">
        <v>548</v>
      </c>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1"/>
      <c r="AK36" s="271"/>
      <c r="AL36" s="271"/>
      <c r="AM36" s="271"/>
      <c r="AN36" s="271"/>
      <c r="AO36" s="271"/>
      <c r="AP36" s="271"/>
      <c r="AQ36" s="271"/>
      <c r="AR36" s="271"/>
      <c r="AS36" s="271"/>
      <c r="AT36" s="271"/>
      <c r="AU36" s="271"/>
      <c r="AV36" s="271"/>
      <c r="AW36" s="271"/>
      <c r="AX36" s="271"/>
      <c r="AY36" s="271">
        <v>0</v>
      </c>
      <c r="AZ36" s="271">
        <v>0</v>
      </c>
      <c r="BA36" s="271">
        <v>0</v>
      </c>
      <c r="BB36" s="271">
        <v>0</v>
      </c>
      <c r="BC36" s="271">
        <v>0</v>
      </c>
      <c r="BD36" s="271">
        <v>0</v>
      </c>
      <c r="BE36" s="271">
        <v>0</v>
      </c>
      <c r="BF36" s="271">
        <v>0</v>
      </c>
      <c r="BG36" s="271">
        <v>0</v>
      </c>
      <c r="BH36" s="271">
        <v>-0.23100000000000001</v>
      </c>
      <c r="BI36" s="271">
        <v>-0.46400000000000002</v>
      </c>
      <c r="BJ36" s="271">
        <v>-0.41399999999999998</v>
      </c>
      <c r="BK36" s="271">
        <v>-0.53</v>
      </c>
      <c r="BL36" s="271">
        <v>-0.83699999999999997</v>
      </c>
      <c r="BM36" s="271">
        <v>-0.67999999999999994</v>
      </c>
      <c r="BN36" s="271">
        <v>-0.65300000000000002</v>
      </c>
      <c r="BO36" s="271">
        <v>-0.75800000000000001</v>
      </c>
      <c r="BP36" s="35"/>
    </row>
    <row r="37" spans="2:68" s="1" customFormat="1" x14ac:dyDescent="0.25">
      <c r="B37" s="157" t="s">
        <v>124</v>
      </c>
      <c r="C37" s="158"/>
      <c r="D37" s="158"/>
      <c r="E37" s="157" t="s">
        <v>615</v>
      </c>
      <c r="F37" s="273">
        <f t="shared" ref="F37:BM37" si="15">SUM(F33:F36)</f>
        <v>34.738999999999983</v>
      </c>
      <c r="G37" s="273">
        <f t="shared" si="15"/>
        <v>42.767999999999994</v>
      </c>
      <c r="H37" s="273">
        <f t="shared" si="15"/>
        <v>44.42100000000007</v>
      </c>
      <c r="I37" s="273">
        <f t="shared" si="15"/>
        <v>15.915999999999942</v>
      </c>
      <c r="J37" s="273">
        <f t="shared" si="15"/>
        <v>23.950999999999993</v>
      </c>
      <c r="K37" s="273">
        <f t="shared" si="15"/>
        <v>35.385000000000012</v>
      </c>
      <c r="L37" s="273">
        <f t="shared" si="15"/>
        <v>38.111000000000011</v>
      </c>
      <c r="M37" s="273">
        <f t="shared" si="15"/>
        <v>53.709000000000024</v>
      </c>
      <c r="N37" s="273">
        <f t="shared" si="15"/>
        <v>46.936000000000028</v>
      </c>
      <c r="O37" s="273">
        <f t="shared" si="15"/>
        <v>50.167999999999999</v>
      </c>
      <c r="P37" s="273">
        <f t="shared" si="15"/>
        <v>51.114999999999995</v>
      </c>
      <c r="Q37" s="273">
        <f t="shared" si="15"/>
        <v>54.005000000000003</v>
      </c>
      <c r="R37" s="273">
        <f t="shared" si="15"/>
        <v>56.680000000000021</v>
      </c>
      <c r="S37" s="273">
        <f t="shared" si="15"/>
        <v>60.225000000000023</v>
      </c>
      <c r="T37" s="273">
        <f t="shared" si="15"/>
        <v>58.527999999999899</v>
      </c>
      <c r="U37" s="273">
        <f t="shared" si="15"/>
        <v>60.603999999999992</v>
      </c>
      <c r="V37" s="273">
        <f t="shared" si="15"/>
        <v>56.875999999999941</v>
      </c>
      <c r="W37" s="273">
        <f t="shared" si="15"/>
        <v>55.047999999999981</v>
      </c>
      <c r="X37" s="273">
        <f t="shared" si="15"/>
        <v>55.113999999999969</v>
      </c>
      <c r="Y37" s="273">
        <f t="shared" si="15"/>
        <v>59.580999999999975</v>
      </c>
      <c r="Z37" s="273">
        <f t="shared" si="15"/>
        <v>58.88600000000001</v>
      </c>
      <c r="AA37" s="273">
        <f t="shared" si="15"/>
        <v>63.474000000000004</v>
      </c>
      <c r="AB37" s="273">
        <f t="shared" si="15"/>
        <v>66.135999999999925</v>
      </c>
      <c r="AC37" s="273">
        <f t="shared" si="15"/>
        <v>74.906000000000034</v>
      </c>
      <c r="AD37" s="273">
        <f t="shared" si="15"/>
        <v>70.707000000000008</v>
      </c>
      <c r="AE37" s="273">
        <f t="shared" si="15"/>
        <v>79.767000000000024</v>
      </c>
      <c r="AF37" s="273">
        <f t="shared" si="15"/>
        <v>77.946000000000026</v>
      </c>
      <c r="AG37" s="273">
        <f t="shared" si="15"/>
        <v>82.227000000000018</v>
      </c>
      <c r="AH37" s="274">
        <f t="shared" si="15"/>
        <v>80.255000000000166</v>
      </c>
      <c r="AI37" s="274">
        <f t="shared" si="15"/>
        <v>90.100999999999956</v>
      </c>
      <c r="AJ37" s="274">
        <f t="shared" si="15"/>
        <v>95.040999999999883</v>
      </c>
      <c r="AK37" s="274">
        <f t="shared" si="15"/>
        <v>105.51499999999984</v>
      </c>
      <c r="AL37" s="274">
        <f t="shared" si="15"/>
        <v>91.148999999999958</v>
      </c>
      <c r="AM37" s="274">
        <f t="shared" si="15"/>
        <v>104.096</v>
      </c>
      <c r="AN37" s="274">
        <f t="shared" si="15"/>
        <v>102.78700000000005</v>
      </c>
      <c r="AO37" s="274">
        <f t="shared" si="15"/>
        <v>108.52499999999993</v>
      </c>
      <c r="AP37" s="274">
        <f t="shared" si="15"/>
        <v>96.855000000000061</v>
      </c>
      <c r="AQ37" s="274">
        <f t="shared" si="15"/>
        <v>107.13899999999988</v>
      </c>
      <c r="AR37" s="274">
        <f t="shared" si="15"/>
        <v>104.13400000000001</v>
      </c>
      <c r="AS37" s="274">
        <f t="shared" si="15"/>
        <v>110.60499999999993</v>
      </c>
      <c r="AT37" s="274">
        <f t="shared" si="15"/>
        <v>108.54799999999997</v>
      </c>
      <c r="AU37" s="273">
        <f t="shared" si="15"/>
        <v>111.65300000000016</v>
      </c>
      <c r="AV37" s="274">
        <f t="shared" si="15"/>
        <v>116.11200000000007</v>
      </c>
      <c r="AW37" s="273">
        <f t="shared" si="15"/>
        <v>81.772999999999996</v>
      </c>
      <c r="AX37" s="273">
        <f t="shared" si="15"/>
        <v>119.55399999999997</v>
      </c>
      <c r="AY37" s="273">
        <f t="shared" si="15"/>
        <v>132.72499999999994</v>
      </c>
      <c r="AZ37" s="273">
        <f t="shared" si="15"/>
        <v>130.52099999999982</v>
      </c>
      <c r="BA37" s="273">
        <f t="shared" si="15"/>
        <v>145.59899999999999</v>
      </c>
      <c r="BB37" s="273">
        <f t="shared" si="15"/>
        <v>80.996999999999957</v>
      </c>
      <c r="BC37" s="273">
        <f t="shared" si="15"/>
        <v>61.615999999999943</v>
      </c>
      <c r="BD37" s="273">
        <f t="shared" si="15"/>
        <v>73.475000000000065</v>
      </c>
      <c r="BE37" s="273">
        <f t="shared" si="15"/>
        <v>105.98699999999994</v>
      </c>
      <c r="BF37" s="273">
        <f t="shared" si="15"/>
        <v>122.40600000000001</v>
      </c>
      <c r="BG37" s="273">
        <f t="shared" si="15"/>
        <v>136.33999999999986</v>
      </c>
      <c r="BH37" s="273">
        <f t="shared" si="15"/>
        <v>151.46000000000009</v>
      </c>
      <c r="BI37" s="273">
        <f t="shared" si="15"/>
        <v>161.96699999999981</v>
      </c>
      <c r="BJ37" s="273">
        <f t="shared" si="15"/>
        <v>183.16199999999986</v>
      </c>
      <c r="BK37" s="273">
        <f t="shared" si="15"/>
        <v>201.65200000000007</v>
      </c>
      <c r="BL37" s="273">
        <f t="shared" si="15"/>
        <v>218.14799999999985</v>
      </c>
      <c r="BM37" s="273">
        <f t="shared" si="15"/>
        <v>197.27200000000028</v>
      </c>
      <c r="BN37" s="273">
        <f t="shared" ref="BN37" si="16">SUM(BN33:BN36)</f>
        <v>190.02300000000017</v>
      </c>
      <c r="BO37" s="273">
        <f t="shared" ref="BO37" si="17">SUM(BO33:BO36)</f>
        <v>201.87800000000018</v>
      </c>
      <c r="BP37" s="35"/>
    </row>
    <row r="38" spans="2:68" x14ac:dyDescent="0.25">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BH38" s="47"/>
      <c r="BI38" s="47"/>
      <c r="BJ38" s="47"/>
      <c r="BK38" s="47"/>
      <c r="BL38" s="47"/>
      <c r="BM38" s="47"/>
    </row>
    <row r="39" spans="2:68" ht="15" customHeight="1" x14ac:dyDescent="0.25">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row>
    <row r="40" spans="2:68" ht="24" customHeight="1" x14ac:dyDescent="0.25">
      <c r="AP40" s="26"/>
      <c r="AQ40" s="26"/>
      <c r="AR40" s="26"/>
      <c r="AS40" s="26"/>
      <c r="AT40" s="26"/>
      <c r="AU40" s="26"/>
      <c r="AV40" s="26"/>
      <c r="AW40" s="26"/>
      <c r="AX40" s="26"/>
      <c r="AY40" s="26"/>
      <c r="AZ40" s="26"/>
      <c r="BA40" s="26"/>
    </row>
    <row r="41" spans="2:68" x14ac:dyDescent="0.25">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BJ41" s="122"/>
      <c r="BK41" s="122"/>
      <c r="BL41" s="122"/>
      <c r="BM41" s="122"/>
    </row>
    <row r="42" spans="2:68" x14ac:dyDescent="0.25">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2:68" x14ac:dyDescent="0.25">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2:68" x14ac:dyDescent="0.25">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2:68" x14ac:dyDescent="0.25">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S45" s="45"/>
    </row>
    <row r="46" spans="2:68" x14ac:dyDescent="0.25">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2:68" x14ac:dyDescent="0.25">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2:68" x14ac:dyDescent="0.25">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sheetData>
  <phoneticPr fontId="34" type="noConversion"/>
  <hyperlinks>
    <hyperlink ref="F6" location="'Índice - Index'!A1" display="Index" xr:uid="{75374355-6111-4088-B390-DDFCA9862A6D}"/>
    <hyperlink ref="BO6" location="'Índice - Index'!A1" display="Index" xr:uid="{EFDEE1A9-555A-4378-AC7F-47DD4C6ABBD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tabColor theme="3" tint="0.39997558519241921"/>
    <pageSetUpPr autoPageBreaks="0"/>
  </sheetPr>
  <dimension ref="B2:V48"/>
  <sheetViews>
    <sheetView showGridLines="0" zoomScale="80" zoomScaleNormal="80" workbookViewId="0">
      <pane xSplit="5" ySplit="9" topLeftCell="P10" activePane="bottomRight" state="frozen"/>
      <selection activeCell="D1" sqref="D1"/>
      <selection pane="topRight" activeCell="D1" sqref="D1"/>
      <selection pane="bottomLeft" activeCell="D1" sqref="D1"/>
      <selection pane="bottomRight" activeCell="T9" sqref="T9"/>
    </sheetView>
  </sheetViews>
  <sheetFormatPr defaultColWidth="14" defaultRowHeight="15" outlineLevelCol="1" x14ac:dyDescent="0.25"/>
  <cols>
    <col min="1" max="1" width="2.7109375" customWidth="1"/>
    <col min="2" max="2" width="1.7109375" customWidth="1" outlineLevel="1"/>
    <col min="3" max="3" width="61.140625" bestFit="1" customWidth="1" outlineLevel="1"/>
    <col min="4" max="4" width="1.7109375" customWidth="1"/>
    <col min="5" max="5" width="49.5703125" bestFit="1" customWidth="1" outlineLevel="1"/>
    <col min="6" max="14" width="14" customWidth="1"/>
    <col min="15" max="17" width="14" bestFit="1" customWidth="1"/>
  </cols>
  <sheetData>
    <row r="2" spans="2:22" x14ac:dyDescent="0.25">
      <c r="B2" t="s">
        <v>429</v>
      </c>
    </row>
    <row r="3" spans="2:22" ht="21" x14ac:dyDescent="0.35">
      <c r="C3" s="4"/>
      <c r="D3" s="4"/>
      <c r="E3" s="4"/>
    </row>
    <row r="4" spans="2:22" ht="15" customHeight="1" x14ac:dyDescent="0.25">
      <c r="C4" s="3"/>
      <c r="D4" s="3"/>
      <c r="E4" s="3"/>
    </row>
    <row r="5" spans="2:22" x14ac:dyDescent="0.25">
      <c r="C5" s="2"/>
      <c r="D5" s="2"/>
      <c r="E5" s="2"/>
    </row>
    <row r="6" spans="2:22" x14ac:dyDescent="0.25">
      <c r="F6" s="236" t="s">
        <v>486</v>
      </c>
      <c r="T6" s="236" t="s">
        <v>486</v>
      </c>
    </row>
    <row r="7" spans="2:22" ht="17.25" customHeight="1" x14ac:dyDescent="0.3">
      <c r="B7" s="40" t="s">
        <v>402</v>
      </c>
      <c r="C7" s="40"/>
      <c r="D7" s="40"/>
      <c r="E7" s="40" t="s">
        <v>632</v>
      </c>
    </row>
    <row r="8" spans="2:22" ht="17.25" customHeight="1" x14ac:dyDescent="0.25">
      <c r="B8" s="215" t="s">
        <v>434</v>
      </c>
      <c r="C8" s="216"/>
      <c r="D8" s="216"/>
      <c r="E8" s="215" t="s">
        <v>435</v>
      </c>
      <c r="F8" s="146"/>
      <c r="G8" s="146"/>
      <c r="H8" s="146"/>
      <c r="I8" s="146"/>
      <c r="J8" s="146"/>
      <c r="K8" s="146"/>
      <c r="L8" s="146"/>
      <c r="M8" s="146"/>
      <c r="N8" s="146"/>
      <c r="O8" s="146"/>
      <c r="P8" s="146"/>
      <c r="Q8" s="146"/>
      <c r="R8" s="146"/>
      <c r="S8" s="146"/>
      <c r="T8" s="146"/>
    </row>
    <row r="9" spans="2:22" s="3" customFormat="1" x14ac:dyDescent="0.25">
      <c r="B9" s="154" t="s">
        <v>338</v>
      </c>
      <c r="C9" s="146"/>
      <c r="D9" s="146"/>
      <c r="E9" s="154" t="s">
        <v>433</v>
      </c>
      <c r="F9" s="146" t="s">
        <v>77</v>
      </c>
      <c r="G9" s="146">
        <v>2009</v>
      </c>
      <c r="H9" s="146" t="s">
        <v>87</v>
      </c>
      <c r="I9" s="146">
        <v>2011</v>
      </c>
      <c r="J9" s="146">
        <v>2012</v>
      </c>
      <c r="K9" s="146" t="s">
        <v>101</v>
      </c>
      <c r="L9" s="146" t="s">
        <v>106</v>
      </c>
      <c r="M9" s="146" t="s">
        <v>111</v>
      </c>
      <c r="N9" s="146" t="s">
        <v>116</v>
      </c>
      <c r="O9" s="146">
        <v>2017</v>
      </c>
      <c r="P9" s="146">
        <v>2018</v>
      </c>
      <c r="Q9" s="146">
        <v>2019</v>
      </c>
      <c r="R9" s="146">
        <v>2020</v>
      </c>
      <c r="S9" s="146">
        <v>2021</v>
      </c>
      <c r="T9" s="146">
        <v>2022</v>
      </c>
    </row>
    <row r="10" spans="2:22" s="3" customFormat="1" x14ac:dyDescent="0.25">
      <c r="B10" s="151"/>
      <c r="C10" s="2"/>
      <c r="D10" s="2"/>
      <c r="E10" s="2"/>
      <c r="F10" s="2"/>
      <c r="G10" s="2"/>
      <c r="H10" s="2"/>
      <c r="I10" s="2"/>
      <c r="J10" s="2"/>
      <c r="K10" s="2"/>
      <c r="L10" s="2"/>
      <c r="M10" s="2"/>
      <c r="N10" s="2"/>
      <c r="O10" s="2"/>
      <c r="P10" s="2"/>
      <c r="Q10" s="2"/>
      <c r="R10" s="2"/>
      <c r="S10" s="2"/>
      <c r="T10" s="2"/>
    </row>
    <row r="11" spans="2:22" ht="15" customHeight="1" x14ac:dyDescent="0.25">
      <c r="B11" s="164" t="s">
        <v>125</v>
      </c>
      <c r="C11" s="164"/>
      <c r="D11" s="164"/>
      <c r="E11" s="164" t="s">
        <v>608</v>
      </c>
      <c r="F11" s="149"/>
      <c r="G11" s="149"/>
      <c r="H11" s="149"/>
      <c r="I11" s="149"/>
      <c r="J11" s="149"/>
      <c r="K11" s="149"/>
      <c r="L11" s="149"/>
      <c r="M11" s="149"/>
      <c r="N11" s="149"/>
      <c r="O11" s="149"/>
      <c r="P11" s="149"/>
      <c r="Q11" s="149"/>
      <c r="R11" s="149"/>
      <c r="S11" s="149"/>
      <c r="T11" s="149"/>
    </row>
    <row r="12" spans="2:22" ht="15" customHeight="1" x14ac:dyDescent="0.25">
      <c r="B12" s="39"/>
      <c r="C12" s="39"/>
      <c r="D12" s="39"/>
      <c r="E12" s="39"/>
    </row>
    <row r="13" spans="2:22" s="1" customFormat="1" x14ac:dyDescent="0.25">
      <c r="B13" s="139" t="s">
        <v>201</v>
      </c>
      <c r="C13" s="37"/>
      <c r="D13" s="37"/>
      <c r="E13" s="139" t="s">
        <v>609</v>
      </c>
      <c r="F13" s="90">
        <f t="shared" ref="F13:T13" si="0">SUM(F14:F18)</f>
        <v>1068.2660000000001</v>
      </c>
      <c r="G13" s="90">
        <f t="shared" si="0"/>
        <v>732.86400000000003</v>
      </c>
      <c r="H13" s="90">
        <f t="shared" si="0"/>
        <v>933.91499999999996</v>
      </c>
      <c r="I13" s="90">
        <f t="shared" si="0"/>
        <v>1230.4999999999998</v>
      </c>
      <c r="J13" s="90">
        <f t="shared" si="0"/>
        <v>1339.461</v>
      </c>
      <c r="K13" s="90">
        <f t="shared" si="0"/>
        <v>1558.3540000000003</v>
      </c>
      <c r="L13" s="90">
        <f t="shared" si="0"/>
        <v>2047.1050000000002</v>
      </c>
      <c r="M13" s="90">
        <f t="shared" si="0"/>
        <v>3754.4929999999999</v>
      </c>
      <c r="N13" s="90">
        <f t="shared" si="0"/>
        <v>2029.5070000000005</v>
      </c>
      <c r="O13" s="90">
        <f t="shared" si="0"/>
        <v>2339.9450000000006</v>
      </c>
      <c r="P13" s="90">
        <f t="shared" si="0"/>
        <v>3252.0650000000001</v>
      </c>
      <c r="Q13" s="90">
        <f t="shared" si="0"/>
        <v>2669.0360000000001</v>
      </c>
      <c r="R13" s="90">
        <f t="shared" si="0"/>
        <v>5922.7709999999997</v>
      </c>
      <c r="S13" s="90">
        <f t="shared" si="0"/>
        <v>4142.3779999999997</v>
      </c>
      <c r="T13" s="90">
        <f t="shared" si="0"/>
        <v>4181.0660000000007</v>
      </c>
    </row>
    <row r="14" spans="2:22" x14ac:dyDescent="0.25">
      <c r="C14" s="75" t="s">
        <v>118</v>
      </c>
      <c r="D14" s="75"/>
      <c r="E14" s="75" t="s">
        <v>528</v>
      </c>
      <c r="F14" s="91">
        <f>SUMIF('DRE Contábil (Tri) - IS Quarter'!$F$7:$BN$7,F$9,'DRE Contábil (Tri) - IS Quarter'!$F14:$BN14)</f>
        <v>742.75800000000004</v>
      </c>
      <c r="G14" s="91">
        <f>SUMIF('DRE Contábil (Tri) - IS Quarter'!$F$7:$BN$7,G$9,'DRE Contábil (Tri) - IS Quarter'!$F14:$BN14)</f>
        <v>547.67100000000005</v>
      </c>
      <c r="H14" s="91">
        <f>SUMIF('DRE Contábil (Tri) - IS Quarter'!$F$7:$BN$7,H$9,'DRE Contábil (Tri) - IS Quarter'!$F14:$BN14)</f>
        <v>747.57299999999998</v>
      </c>
      <c r="I14" s="91">
        <f>SUMIF('DRE Contábil (Tri) - IS Quarter'!$F$7:$BN$7,I$9,'DRE Contábil (Tri) - IS Quarter'!$F14:$BN14)</f>
        <v>917.42599999999993</v>
      </c>
      <c r="J14" s="91">
        <f>SUMIF('DRE Contábil (Tri) - IS Quarter'!$F$7:$BN$7,J$9,'DRE Contábil (Tri) - IS Quarter'!$F14:$BN14)</f>
        <v>932.16</v>
      </c>
      <c r="K14" s="91">
        <f>SUMIF('DRE Contábil (Tri) - IS Quarter'!$F$7:$BN$7,K$9,'DRE Contábil (Tri) - IS Quarter'!$F14:$BN14)</f>
        <v>977.79700000000003</v>
      </c>
      <c r="L14" s="91">
        <f>SUMIF('DRE Contábil (Tri) - IS Quarter'!$F$7:$BN$7,L$9,'DRE Contábil (Tri) - IS Quarter'!$F14:$BN14)</f>
        <v>1132.0450000000001</v>
      </c>
      <c r="M14" s="91">
        <f>SUMIF('DRE Contábil (Tri) - IS Quarter'!$F$7:$BN$7,M$9,'DRE Contábil (Tri) - IS Quarter'!$F14:$BN14)</f>
        <v>1513.8720000000001</v>
      </c>
      <c r="N14" s="91">
        <f>SUMIF('DRE Contábil (Tri) - IS Quarter'!$F$7:$BN$7,N$9,'DRE Contábil (Tri) - IS Quarter'!$F14:$BN14)</f>
        <v>1385.749</v>
      </c>
      <c r="O14" s="91">
        <f>SUMIF('DRE Contábil (Tri) - IS Quarter'!$F$7:$BN$7,O$9,'DRE Contábil (Tri) - IS Quarter'!$F14:$BN14)</f>
        <v>1270.317</v>
      </c>
      <c r="P14" s="91">
        <f>SUMIF('DRE Contábil (Tri) - IS Quarter'!$F$7:$BN$7,P$9,'DRE Contábil (Tri) - IS Quarter'!$F14:$BN14)</f>
        <v>1511.4870000000001</v>
      </c>
      <c r="Q14" s="91">
        <f>SUMIF('DRE Contábil (Tri) - IS Quarter'!$F$7:$BN$7,Q$9,'DRE Contábil (Tri) - IS Quarter'!$F14:$BN14)</f>
        <v>1379.9359999999999</v>
      </c>
      <c r="R14" s="91">
        <f>SUMIF('DRE Contábil (Tri) - IS Quarter'!$F$7:$BN$7,R$9,'DRE Contábil (Tri) - IS Quarter'!$F14:$BN14)</f>
        <v>3061.2049999999999</v>
      </c>
      <c r="S14" s="91">
        <f>SUMIF('DRE Contábil (Tri) - IS Quarter'!$F$7:$BN$7,S$9,'DRE Contábil (Tri) - IS Quarter'!$F14:$BN14)</f>
        <v>2245.3629999999998</v>
      </c>
      <c r="T14" s="91">
        <f>SUMIF('DRE Contábil (Tri) - IS Quarter'!$F$7:$BN$7,T$9,'DRE Contábil (Tri) - IS Quarter'!$F14:$BN14)</f>
        <v>2451.576</v>
      </c>
      <c r="U14" s="93"/>
      <c r="V14" s="1"/>
    </row>
    <row r="15" spans="2:22" x14ac:dyDescent="0.25">
      <c r="C15" s="75" t="s">
        <v>119</v>
      </c>
      <c r="D15" s="75"/>
      <c r="E15" s="75" t="s">
        <v>616</v>
      </c>
      <c r="F15" s="91">
        <f>SUMIF('DRE Contábil (Tri) - IS Quarter'!$F$7:$BN$7,F$9,'DRE Contábil (Tri) - IS Quarter'!$F15:$BN15)</f>
        <v>213.63299999999998</v>
      </c>
      <c r="G15" s="91">
        <f>SUMIF('DRE Contábil (Tri) - IS Quarter'!$F$7:$BN$7,G$9,'DRE Contábil (Tri) - IS Quarter'!$F15:$BN15)</f>
        <v>161.732</v>
      </c>
      <c r="H15" s="91">
        <f>SUMIF('DRE Contábil (Tri) - IS Quarter'!$F$7:$BN$7,H$9,'DRE Contábil (Tri) - IS Quarter'!$F15:$BN15)</f>
        <v>176.06599999999997</v>
      </c>
      <c r="I15" s="91">
        <f>SUMIF('DRE Contábil (Tri) - IS Quarter'!$F$7:$BN$7,I$9,'DRE Contábil (Tri) - IS Quarter'!$F15:$BN15)</f>
        <v>234.041</v>
      </c>
      <c r="J15" s="91">
        <f>SUMIF('DRE Contábil (Tri) - IS Quarter'!$F$7:$BN$7,J$9,'DRE Contábil (Tri) - IS Quarter'!$F15:$BN15)</f>
        <v>283.90499999999997</v>
      </c>
      <c r="K15" s="91">
        <f>SUMIF('DRE Contábil (Tri) - IS Quarter'!$F$7:$BN$7,K$9,'DRE Contábil (Tri) - IS Quarter'!$F15:$BN15)</f>
        <v>329.923</v>
      </c>
      <c r="L15" s="91">
        <f>SUMIF('DRE Contábil (Tri) - IS Quarter'!$F$7:$BN$7,L$9,'DRE Contábil (Tri) - IS Quarter'!$F15:$BN15)</f>
        <v>612.83400000000006</v>
      </c>
      <c r="M15" s="91">
        <f>SUMIF('DRE Contábil (Tri) - IS Quarter'!$F$7:$BN$7,M$9,'DRE Contábil (Tri) - IS Quarter'!$F15:$BN15)</f>
        <v>1114.9939999999999</v>
      </c>
      <c r="N15" s="91">
        <f>SUMIF('DRE Contábil (Tri) - IS Quarter'!$F$7:$BN$7,N$9,'DRE Contábil (Tri) - IS Quarter'!$F15:$BN15)</f>
        <v>1304.194</v>
      </c>
      <c r="O15" s="91">
        <f>SUMIF('DRE Contábil (Tri) - IS Quarter'!$F$7:$BN$7,O$9,'DRE Contábil (Tri) - IS Quarter'!$F15:$BN15)</f>
        <v>1153.3500000000001</v>
      </c>
      <c r="P15" s="91">
        <f>SUMIF('DRE Contábil (Tri) - IS Quarter'!$F$7:$BN$7,P$9,'DRE Contábil (Tri) - IS Quarter'!$F15:$BN15)</f>
        <v>1536.491</v>
      </c>
      <c r="Q15" s="91">
        <f>SUMIF('DRE Contábil (Tri) - IS Quarter'!$F$7:$BN$7,Q$9,'DRE Contábil (Tri) - IS Quarter'!$F15:$BN15)</f>
        <v>1207.6179999999999</v>
      </c>
      <c r="R15" s="91">
        <f>SUMIF('DRE Contábil (Tri) - IS Quarter'!$F$7:$BN$7,R$9,'DRE Contábil (Tri) - IS Quarter'!$F15:$BN15)</f>
        <v>2113.6819999999998</v>
      </c>
      <c r="S15" s="91">
        <f>SUMIF('DRE Contábil (Tri) - IS Quarter'!$F$7:$BN$7,S$9,'DRE Contábil (Tri) - IS Quarter'!$F15:$BN15)</f>
        <v>1311.518</v>
      </c>
      <c r="T15" s="91">
        <f>SUMIF('DRE Contábil (Tri) - IS Quarter'!$F$7:$BN$7,T$9,'DRE Contábil (Tri) - IS Quarter'!$F15:$BN15)</f>
        <v>1629.421</v>
      </c>
      <c r="V15" s="1"/>
    </row>
    <row r="16" spans="2:22" x14ac:dyDescent="0.25">
      <c r="C16" s="75" t="s">
        <v>203</v>
      </c>
      <c r="D16" s="75"/>
      <c r="E16" s="75" t="s">
        <v>617</v>
      </c>
      <c r="F16" s="91">
        <f>SUMIF('DRE Contábil (Tri) - IS Quarter'!$F$7:$BN$7,F$9,'DRE Contábil (Tri) - IS Quarter'!$F16:$BN16)</f>
        <v>105.866</v>
      </c>
      <c r="G16" s="91">
        <f>SUMIF('DRE Contábil (Tri) - IS Quarter'!$F$7:$BN$7,G$9,'DRE Contábil (Tri) - IS Quarter'!$F16:$BN16)</f>
        <v>-73.597999999999999</v>
      </c>
      <c r="H16" s="91">
        <f>SUMIF('DRE Contábil (Tri) - IS Quarter'!$F$7:$BN$7,H$9,'DRE Contábil (Tri) - IS Quarter'!$F16:$BN16)</f>
        <v>-26.317999999999998</v>
      </c>
      <c r="I16" s="91">
        <f>SUMIF('DRE Contábil (Tri) - IS Quarter'!$F$7:$BN$7,I$9,'DRE Contábil (Tri) - IS Quarter'!$F16:$BN16)</f>
        <v>155.88899999999998</v>
      </c>
      <c r="J16" s="91">
        <f>SUMIF('DRE Contábil (Tri) - IS Quarter'!$F$7:$BN$7,J$9,'DRE Contábil (Tri) - IS Quarter'!$F16:$BN16)</f>
        <v>125.685</v>
      </c>
      <c r="K16" s="91">
        <f>SUMIF('DRE Contábil (Tri) - IS Quarter'!$F$7:$BN$7,K$9,'DRE Contábil (Tri) - IS Quarter'!$F16:$BN16)</f>
        <v>101.738</v>
      </c>
      <c r="L16" s="91">
        <f>SUMIF('DRE Contábil (Tri) - IS Quarter'!$F$7:$BN$7,L$9,'DRE Contábil (Tri) - IS Quarter'!$F16:$BN16)</f>
        <v>192.67100000000002</v>
      </c>
      <c r="M16" s="91">
        <f>SUMIF('DRE Contábil (Tri) - IS Quarter'!$F$7:$BN$7,M$9,'DRE Contábil (Tri) - IS Quarter'!$F16:$BN16)</f>
        <v>1150.1309999999999</v>
      </c>
      <c r="N16" s="91">
        <f>SUMIF('DRE Contábil (Tri) - IS Quarter'!$F$7:$BN$7,N$9,'DRE Contábil (Tri) - IS Quarter'!$F16:$BN16)</f>
        <v>-699.55499999999995</v>
      </c>
      <c r="O16" s="91">
        <f>SUMIF('DRE Contábil (Tri) - IS Quarter'!$F$7:$BN$7,O$9,'DRE Contábil (Tri) - IS Quarter'!$F16:$BN16)</f>
        <v>-140.24699999999999</v>
      </c>
      <c r="P16" s="91">
        <f>SUMIF('DRE Contábil (Tri) - IS Quarter'!$F$7:$BN$7,P$9,'DRE Contábil (Tri) - IS Quarter'!$F16:$BN16)</f>
        <v>62.125</v>
      </c>
      <c r="Q16" s="91">
        <f>SUMIF('DRE Contábil (Tri) - IS Quarter'!$F$7:$BN$7,Q$9,'DRE Contábil (Tri) - IS Quarter'!$F16:$BN16)</f>
        <v>87.75200000000001</v>
      </c>
      <c r="R16" s="91">
        <f>SUMIF('DRE Contábil (Tri) - IS Quarter'!$F$7:$BN$7,R$9,'DRE Contábil (Tri) - IS Quarter'!$F16:$BN16)</f>
        <v>265.50799999999998</v>
      </c>
      <c r="S16" s="91">
        <f>SUMIF('DRE Contábil (Tri) - IS Quarter'!$F$7:$BN$7,S$9,'DRE Contábil (Tri) - IS Quarter'!$F16:$BN16)</f>
        <v>58.430999999999976</v>
      </c>
      <c r="T16" s="91">
        <f>SUMIF('DRE Contábil (Tri) - IS Quarter'!$F$7:$BN$7,T$9,'DRE Contábil (Tri) - IS Quarter'!$F16:$BN16)</f>
        <v>132.58599999999996</v>
      </c>
      <c r="V16" s="1"/>
    </row>
    <row r="17" spans="2:22" x14ac:dyDescent="0.25">
      <c r="C17" s="75" t="s">
        <v>204</v>
      </c>
      <c r="D17" s="75"/>
      <c r="E17" s="75" t="s">
        <v>618</v>
      </c>
      <c r="F17" s="91">
        <f>SUMIF('DRE Contábil (Tri) - IS Quarter'!$F$7:$BN$7,F$9,'DRE Contábil (Tri) - IS Quarter'!$F17:$BN17)</f>
        <v>0.92099999999999937</v>
      </c>
      <c r="G17" s="91">
        <f>SUMIF('DRE Contábil (Tri) - IS Quarter'!$F$7:$BN$7,G$9,'DRE Contábil (Tri) - IS Quarter'!$F17:$BN17)</f>
        <v>97.058999999999997</v>
      </c>
      <c r="H17" s="91">
        <f>SUMIF('DRE Contábil (Tri) - IS Quarter'!$F$7:$BN$7,H$9,'DRE Contábil (Tri) - IS Quarter'!$F17:$BN17)</f>
        <v>36.594000000000001</v>
      </c>
      <c r="I17" s="91">
        <f>SUMIF('DRE Contábil (Tri) - IS Quarter'!$F$7:$BN$7,I$9,'DRE Contábil (Tri) - IS Quarter'!$F17:$BN17)</f>
        <v>-76.855999999999995</v>
      </c>
      <c r="J17" s="91">
        <f>SUMIF('DRE Contábil (Tri) - IS Quarter'!$F$7:$BN$7,J$9,'DRE Contábil (Tri) - IS Quarter'!$F17:$BN17)</f>
        <v>-15.382</v>
      </c>
      <c r="K17" s="91">
        <f>SUMIF('DRE Contábil (Tri) - IS Quarter'!$F$7:$BN$7,K$9,'DRE Contábil (Tri) - IS Quarter'!$F17:$BN17)</f>
        <v>122.89</v>
      </c>
      <c r="L17" s="91">
        <f>SUMIF('DRE Contábil (Tri) - IS Quarter'!$F$7:$BN$7,L$9,'DRE Contábil (Tri) - IS Quarter'!$F17:$BN17)</f>
        <v>79.900000000000006</v>
      </c>
      <c r="M17" s="91">
        <f>SUMIF('DRE Contábil (Tri) - IS Quarter'!$F$7:$BN$7,M$9,'DRE Contábil (Tri) - IS Quarter'!$F17:$BN17)</f>
        <v>-34.349999999999994</v>
      </c>
      <c r="N17" s="91">
        <f>SUMIF('DRE Contábil (Tri) - IS Quarter'!$F$7:$BN$7,N$9,'DRE Contábil (Tri) - IS Quarter'!$F17:$BN17)</f>
        <v>32.536000000000001</v>
      </c>
      <c r="O17" s="91">
        <f>SUMIF('DRE Contábil (Tri) - IS Quarter'!$F$7:$BN$7,O$9,'DRE Contábil (Tri) - IS Quarter'!$F17:$BN17)</f>
        <v>56.501999999999995</v>
      </c>
      <c r="P17" s="91">
        <f>SUMIF('DRE Contábil (Tri) - IS Quarter'!$F$7:$BN$7,P$9,'DRE Contábil (Tri) - IS Quarter'!$F17:$BN17)</f>
        <v>141.96200000000002</v>
      </c>
      <c r="Q17" s="91">
        <f>SUMIF('DRE Contábil (Tri) - IS Quarter'!$F$7:$BN$7,Q$9,'DRE Contábil (Tri) - IS Quarter'!$F17:$BN17)</f>
        <v>-6.269999999999996</v>
      </c>
      <c r="R17" s="91">
        <f>SUMIF('DRE Contábil (Tri) - IS Quarter'!$F$7:$BN$7,R$9,'DRE Contábil (Tri) - IS Quarter'!$F17:$BN17)</f>
        <v>482.37599999999998</v>
      </c>
      <c r="S17" s="91">
        <f>SUMIF('DRE Contábil (Tri) - IS Quarter'!$F$7:$BN$7,S$9,'DRE Contábil (Tri) - IS Quarter'!$F17:$BN17)</f>
        <v>527.06600000000003</v>
      </c>
      <c r="T17" s="91">
        <f>SUMIF('DRE Contábil (Tri) - IS Quarter'!$F$7:$BN$7,T$9,'DRE Contábil (Tri) - IS Quarter'!$F17:$BN17)</f>
        <v>-33.161999999999978</v>
      </c>
      <c r="V17" s="1"/>
    </row>
    <row r="18" spans="2:22" x14ac:dyDescent="0.25">
      <c r="C18" s="75" t="s">
        <v>205</v>
      </c>
      <c r="D18" s="75"/>
      <c r="E18" s="75" t="s">
        <v>619</v>
      </c>
      <c r="F18" s="91">
        <f>SUMIF('DRE Contábil (Tri) - IS Quarter'!$F$7:$BN$7,F$9,'DRE Contábil (Tri) - IS Quarter'!$F18:$BN18)</f>
        <v>5.0880000000000001</v>
      </c>
      <c r="G18" s="91">
        <f>SUMIF('DRE Contábil (Tri) - IS Quarter'!$F$7:$BN$7,G$9,'DRE Contábil (Tri) - IS Quarter'!$F18:$BN18)</f>
        <v>0</v>
      </c>
      <c r="H18" s="91">
        <f>SUMIF('DRE Contábil (Tri) - IS Quarter'!$F$7:$BN$7,H$9,'DRE Contábil (Tri) - IS Quarter'!$F18:$BN18)</f>
        <v>0</v>
      </c>
      <c r="I18" s="91">
        <f>SUMIF('DRE Contábil (Tri) - IS Quarter'!$F$7:$BN$7,I$9,'DRE Contábil (Tri) - IS Quarter'!$F18:$BN18)</f>
        <v>0</v>
      </c>
      <c r="J18" s="91">
        <f>SUMIF('DRE Contábil (Tri) - IS Quarter'!$F$7:$BN$7,J$9,'DRE Contábil (Tri) - IS Quarter'!$F18:$BN18)</f>
        <v>13.093</v>
      </c>
      <c r="K18" s="91">
        <f>SUMIF('DRE Contábil (Tri) - IS Quarter'!$F$7:$BN$7,K$9,'DRE Contábil (Tri) - IS Quarter'!$F18:$BN18)</f>
        <v>26.006</v>
      </c>
      <c r="L18" s="91">
        <f>SUMIF('DRE Contábil (Tri) - IS Quarter'!$F$7:$BN$7,L$9,'DRE Contábil (Tri) - IS Quarter'!$F18:$BN18)</f>
        <v>29.655000000000001</v>
      </c>
      <c r="M18" s="91">
        <f>SUMIF('DRE Contábil (Tri) - IS Quarter'!$F$7:$BN$7,M$9,'DRE Contábil (Tri) - IS Quarter'!$F18:$BN18)</f>
        <v>9.8460000000000001</v>
      </c>
      <c r="N18" s="91">
        <f>SUMIF('DRE Contábil (Tri) - IS Quarter'!$F$7:$BN$7,N$9,'DRE Contábil (Tri) - IS Quarter'!$F18:$BN18)</f>
        <v>6.5829999999999993</v>
      </c>
      <c r="O18" s="91">
        <f>SUMIF('DRE Contábil (Tri) - IS Quarter'!$F$7:$BN$7,O$9,'DRE Contábil (Tri) - IS Quarter'!$F18:$BN18)</f>
        <v>2.3E-2</v>
      </c>
      <c r="P18" s="91">
        <f>SUMIF('DRE Contábil (Tri) - IS Quarter'!$F$7:$BN$7,P$9,'DRE Contábil (Tri) - IS Quarter'!$F18:$BN18)</f>
        <v>0</v>
      </c>
      <c r="Q18" s="91">
        <f>SUMIF('DRE Contábil (Tri) - IS Quarter'!$F$7:$BN$7,Q$9,'DRE Contábil (Tri) - IS Quarter'!$F18:$BN18)</f>
        <v>0</v>
      </c>
      <c r="R18" s="91">
        <f>SUMIF('DRE Contábil (Tri) - IS Quarter'!$F$7:$BN$7,R$9,'DRE Contábil (Tri) - IS Quarter'!$F18:$BN18)</f>
        <v>0</v>
      </c>
      <c r="S18" s="91">
        <f>SUMIF('DRE Contábil (Tri) - IS Quarter'!$F$7:$BN$7,S$9,'DRE Contábil (Tri) - IS Quarter'!$F18:$BN18)</f>
        <v>0</v>
      </c>
      <c r="T18" s="91">
        <f>SUMIF('DRE Contábil (Tri) - IS Quarter'!$F$7:$BN$7,T$9,'DRE Contábil (Tri) - IS Quarter'!$F18:$BN18)</f>
        <v>0.64500000000000002</v>
      </c>
      <c r="V18" s="1"/>
    </row>
    <row r="19" spans="2:22" x14ac:dyDescent="0.25">
      <c r="B19" s="139" t="s">
        <v>200</v>
      </c>
      <c r="C19" s="37"/>
      <c r="D19" s="37"/>
      <c r="E19" s="139" t="s">
        <v>610</v>
      </c>
      <c r="F19" s="90">
        <f t="shared" ref="F19:T19" si="1">SUM(F20:F23)</f>
        <v>-796.24299999999994</v>
      </c>
      <c r="G19" s="90">
        <f t="shared" si="1"/>
        <v>-375.67999999999995</v>
      </c>
      <c r="H19" s="90">
        <f t="shared" si="1"/>
        <v>-511.58</v>
      </c>
      <c r="I19" s="90">
        <f t="shared" si="1"/>
        <v>-749.68200000000002</v>
      </c>
      <c r="J19" s="90">
        <f t="shared" si="1"/>
        <v>-933.65</v>
      </c>
      <c r="K19" s="90">
        <f t="shared" si="1"/>
        <v>-1132.116</v>
      </c>
      <c r="L19" s="90">
        <f t="shared" si="1"/>
        <v>-1583.1610000000001</v>
      </c>
      <c r="M19" s="90">
        <f t="shared" si="1"/>
        <v>-3667.2849999999999</v>
      </c>
      <c r="N19" s="90">
        <f t="shared" si="1"/>
        <v>-1000.2699999999999</v>
      </c>
      <c r="O19" s="90">
        <f t="shared" si="1"/>
        <v>-1723.8270000000002</v>
      </c>
      <c r="P19" s="90">
        <f t="shared" si="1"/>
        <v>-2739.1870000000004</v>
      </c>
      <c r="Q19" s="90">
        <f t="shared" si="1"/>
        <v>-1935.011</v>
      </c>
      <c r="R19" s="90">
        <f t="shared" si="1"/>
        <v>-5787.1980000000003</v>
      </c>
      <c r="S19" s="90">
        <f t="shared" si="1"/>
        <v>-3110.8679999999999</v>
      </c>
      <c r="T19" s="90">
        <f t="shared" si="1"/>
        <v>-2607.6559999999999</v>
      </c>
      <c r="V19" s="1"/>
    </row>
    <row r="20" spans="2:22" x14ac:dyDescent="0.25">
      <c r="C20" s="75" t="s">
        <v>206</v>
      </c>
      <c r="D20" s="75"/>
      <c r="E20" s="75" t="s">
        <v>620</v>
      </c>
      <c r="F20" s="91">
        <f>SUMIF('DRE Contábil (Tri) - IS Quarter'!$F$7:$BN$7,F$9,'DRE Contábil (Tri) - IS Quarter'!$F20:$BN20)</f>
        <v>-289.16699999999997</v>
      </c>
      <c r="G20" s="91">
        <f>SUMIF('DRE Contábil (Tri) - IS Quarter'!$F$7:$BN$7,G$9,'DRE Contábil (Tri) - IS Quarter'!$F20:$BN20)</f>
        <v>-284.17699999999996</v>
      </c>
      <c r="H20" s="91">
        <f>SUMIF('DRE Contábil (Tri) - IS Quarter'!$F$7:$BN$7,H$9,'DRE Contábil (Tri) - IS Quarter'!$F20:$BN20)</f>
        <v>-332.51599999999996</v>
      </c>
      <c r="I20" s="91">
        <f>SUMIF('DRE Contábil (Tri) - IS Quarter'!$F$7:$BN$7,I$9,'DRE Contábil (Tri) - IS Quarter'!$F20:$BN20)</f>
        <v>-539.02500000000009</v>
      </c>
      <c r="J20" s="91">
        <f>SUMIF('DRE Contábil (Tri) - IS Quarter'!$F$7:$BN$7,J$9,'DRE Contábil (Tri) - IS Quarter'!$F20:$BN20)</f>
        <v>-651.59900000000005</v>
      </c>
      <c r="K20" s="91">
        <f>SUMIF('DRE Contábil (Tri) - IS Quarter'!$F$7:$BN$7,K$9,'DRE Contábil (Tri) - IS Quarter'!$F20:$BN20)</f>
        <v>-657.62200000000007</v>
      </c>
      <c r="L20" s="91">
        <f>SUMIF('DRE Contábil (Tri) - IS Quarter'!$F$7:$BN$7,L$9,'DRE Contábil (Tri) - IS Quarter'!$F20:$BN20)</f>
        <v>-1012.112</v>
      </c>
      <c r="M20" s="91">
        <f>SUMIF('DRE Contábil (Tri) - IS Quarter'!$F$7:$BN$7,M$9,'DRE Contábil (Tri) - IS Quarter'!$F20:$BN20)</f>
        <v>-1612.067</v>
      </c>
      <c r="N20" s="91">
        <f>SUMIF('DRE Contábil (Tri) - IS Quarter'!$F$7:$BN$7,N$9,'DRE Contábil (Tri) - IS Quarter'!$F20:$BN20)</f>
        <v>-1139.8999999999999</v>
      </c>
      <c r="O20" s="91">
        <f>SUMIF('DRE Contábil (Tri) - IS Quarter'!$F$7:$BN$7,O$9,'DRE Contábil (Tri) - IS Quarter'!$F20:$BN20)</f>
        <v>-1318.1110000000001</v>
      </c>
      <c r="P20" s="91">
        <f>SUMIF('DRE Contábil (Tri) - IS Quarter'!$F$7:$BN$7,P$9,'DRE Contábil (Tri) - IS Quarter'!$F20:$BN20)</f>
        <v>-1245.9870000000001</v>
      </c>
      <c r="Q20" s="91">
        <f>SUMIF('DRE Contábil (Tri) - IS Quarter'!$F$7:$BN$7,Q$9,'DRE Contábil (Tri) - IS Quarter'!$F20:$BN20)</f>
        <v>-1087.4000000000001</v>
      </c>
      <c r="R20" s="91">
        <f>SUMIF('DRE Contábil (Tri) - IS Quarter'!$F$7:$BN$7,R$9,'DRE Contábil (Tri) - IS Quarter'!$F20:$BN20)</f>
        <v>-841.50900000000001</v>
      </c>
      <c r="S20" s="91">
        <f>SUMIF('DRE Contábil (Tri) - IS Quarter'!$F$7:$BN$7,S$9,'DRE Contábil (Tri) - IS Quarter'!$F20:$BN20)</f>
        <v>-1147.1959999999999</v>
      </c>
      <c r="T20" s="91">
        <f>SUMIF('DRE Contábil (Tri) - IS Quarter'!$F$7:$BN$7,T$9,'DRE Contábil (Tri) - IS Quarter'!$F20:$BN20)</f>
        <v>-2979.82</v>
      </c>
      <c r="V20" s="1"/>
    </row>
    <row r="21" spans="2:22" x14ac:dyDescent="0.25">
      <c r="C21" s="75" t="s">
        <v>207</v>
      </c>
      <c r="D21" s="75"/>
      <c r="E21" s="75" t="s">
        <v>621</v>
      </c>
      <c r="F21" s="91">
        <f>SUMIF('DRE Contábil (Tri) - IS Quarter'!$F$7:$BN$7,F$9,'DRE Contábil (Tri) - IS Quarter'!$F21:$BN21)</f>
        <v>-427.28899999999999</v>
      </c>
      <c r="G21" s="91">
        <f>SUMIF('DRE Contábil (Tri) - IS Quarter'!$F$7:$BN$7,G$9,'DRE Contábil (Tri) - IS Quarter'!$F21:$BN21)</f>
        <v>-38.377000000000002</v>
      </c>
      <c r="H21" s="91">
        <f>SUMIF('DRE Contábil (Tri) - IS Quarter'!$F$7:$BN$7,H$9,'DRE Contábil (Tri) - IS Quarter'!$F21:$BN21)</f>
        <v>-134.62700000000001</v>
      </c>
      <c r="I21" s="91">
        <f>SUMIF('DRE Contábil (Tri) - IS Quarter'!$F$7:$BN$7,I$9,'DRE Contábil (Tri) - IS Quarter'!$F21:$BN21)</f>
        <v>-158.233</v>
      </c>
      <c r="J21" s="91">
        <f>SUMIF('DRE Contábil (Tri) - IS Quarter'!$F$7:$BN$7,J$9,'DRE Contábil (Tri) - IS Quarter'!$F21:$BN21)</f>
        <v>-171.23299999999998</v>
      </c>
      <c r="K21" s="91">
        <f>SUMIF('DRE Contábil (Tri) - IS Quarter'!$F$7:$BN$7,K$9,'DRE Contábil (Tri) - IS Quarter'!$F21:$BN21)</f>
        <v>-381.66499999999996</v>
      </c>
      <c r="L21" s="91">
        <f>SUMIF('DRE Contábil (Tri) - IS Quarter'!$F$7:$BN$7,L$9,'DRE Contábil (Tri) - IS Quarter'!$F21:$BN21)</f>
        <v>-469.375</v>
      </c>
      <c r="M21" s="91">
        <f>SUMIF('DRE Contábil (Tri) - IS Quarter'!$F$7:$BN$7,M$9,'DRE Contábil (Tri) - IS Quarter'!$F21:$BN21)</f>
        <v>-1833.2140000000002</v>
      </c>
      <c r="N21" s="91">
        <f>SUMIF('DRE Contábil (Tri) - IS Quarter'!$F$7:$BN$7,N$9,'DRE Contábil (Tri) - IS Quarter'!$F21:$BN21)</f>
        <v>348.45699999999999</v>
      </c>
      <c r="O21" s="91">
        <f>SUMIF('DRE Contábil (Tri) - IS Quarter'!$F$7:$BN$7,O$9,'DRE Contábil (Tri) - IS Quarter'!$F21:$BN21)</f>
        <v>-237.97</v>
      </c>
      <c r="P21" s="91">
        <f>SUMIF('DRE Contábil (Tri) - IS Quarter'!$F$7:$BN$7,P$9,'DRE Contábil (Tri) - IS Quarter'!$F21:$BN21)</f>
        <v>-1374.9780000000001</v>
      </c>
      <c r="Q21" s="91">
        <f>SUMIF('DRE Contábil (Tri) - IS Quarter'!$F$7:$BN$7,Q$9,'DRE Contábil (Tri) - IS Quarter'!$F21:$BN21)</f>
        <v>-766.91399999999999</v>
      </c>
      <c r="R21" s="91">
        <f>SUMIF('DRE Contábil (Tri) - IS Quarter'!$F$7:$BN$7,R$9,'DRE Contábil (Tri) - IS Quarter'!$F21:$BN21)</f>
        <v>-4690.915</v>
      </c>
      <c r="S21" s="91">
        <f>SUMIF('DRE Contábil (Tri) - IS Quarter'!$F$7:$BN$7,S$9,'DRE Contábil (Tri) - IS Quarter'!$F21:$BN21)</f>
        <v>-1804.7809999999999</v>
      </c>
      <c r="T21" s="91">
        <f>SUMIF('DRE Contábil (Tri) - IS Quarter'!$F$7:$BN$7,T$9,'DRE Contábil (Tri) - IS Quarter'!$F21:$BN21)</f>
        <v>602.19000000000005</v>
      </c>
      <c r="V21" s="1"/>
    </row>
    <row r="22" spans="2:22" x14ac:dyDescent="0.25">
      <c r="C22" s="75" t="s">
        <v>208</v>
      </c>
      <c r="D22" s="75"/>
      <c r="E22" s="75" t="s">
        <v>622</v>
      </c>
      <c r="F22" s="91">
        <f>SUMIF('DRE Contábil (Tri) - IS Quarter'!$F$7:$BN$7,F$9,'DRE Contábil (Tri) - IS Quarter'!$F22:$BN22)</f>
        <v>-79.787000000000006</v>
      </c>
      <c r="G22" s="91">
        <f>SUMIF('DRE Contábil (Tri) - IS Quarter'!$F$7:$BN$7,G$9,'DRE Contábil (Tri) - IS Quarter'!$F22:$BN22)</f>
        <v>-53.125999999999998</v>
      </c>
      <c r="H22" s="91">
        <f>SUMIF('DRE Contábil (Tri) - IS Quarter'!$F$7:$BN$7,H$9,'DRE Contábil (Tri) - IS Quarter'!$F22:$BN22)</f>
        <v>-44.436999999999998</v>
      </c>
      <c r="I22" s="91">
        <f>SUMIF('DRE Contábil (Tri) - IS Quarter'!$F$7:$BN$7,I$9,'DRE Contábil (Tri) - IS Quarter'!$F22:$BN22)</f>
        <v>-52.423999999999999</v>
      </c>
      <c r="J22" s="91">
        <f>SUMIF('DRE Contábil (Tri) - IS Quarter'!$F$7:$BN$7,J$9,'DRE Contábil (Tri) - IS Quarter'!$F22:$BN22)</f>
        <v>-110.81800000000001</v>
      </c>
      <c r="K22" s="91">
        <f>SUMIF('DRE Contábil (Tri) - IS Quarter'!$F$7:$BN$7,K$9,'DRE Contábil (Tri) - IS Quarter'!$F22:$BN22)</f>
        <v>-92.828999999999994</v>
      </c>
      <c r="L22" s="91">
        <f>SUMIF('DRE Contábil (Tri) - IS Quarter'!$F$7:$BN$7,L$9,'DRE Contábil (Tri) - IS Quarter'!$F22:$BN22)</f>
        <v>-100.848</v>
      </c>
      <c r="M22" s="91">
        <f>SUMIF('DRE Contábil (Tri) - IS Quarter'!$F$7:$BN$7,M$9,'DRE Contábil (Tri) - IS Quarter'!$F22:$BN22)</f>
        <v>-217.64099999999999</v>
      </c>
      <c r="N22" s="91">
        <f>SUMIF('DRE Contábil (Tri) - IS Quarter'!$F$7:$BN$7,N$9,'DRE Contábil (Tri) - IS Quarter'!$F22:$BN22)</f>
        <v>-208.619</v>
      </c>
      <c r="O22" s="91">
        <f>SUMIF('DRE Contábil (Tri) - IS Quarter'!$F$7:$BN$7,O$9,'DRE Contábil (Tri) - IS Quarter'!$F22:$BN22)</f>
        <v>-164.07599999999999</v>
      </c>
      <c r="P22" s="91">
        <f>SUMIF('DRE Contábil (Tri) - IS Quarter'!$F$7:$BN$7,P$9,'DRE Contábil (Tri) - IS Quarter'!$F22:$BN22)</f>
        <v>-116.98</v>
      </c>
      <c r="Q22" s="91">
        <f>SUMIF('DRE Contábil (Tri) - IS Quarter'!$F$7:$BN$7,Q$9,'DRE Contábil (Tri) - IS Quarter'!$F22:$BN22)</f>
        <v>-80.697000000000003</v>
      </c>
      <c r="R22" s="91">
        <f>SUMIF('DRE Contábil (Tri) - IS Quarter'!$F$7:$BN$7,R$9,'DRE Contábil (Tri) - IS Quarter'!$F22:$BN22)</f>
        <v>-254.774</v>
      </c>
      <c r="S22" s="91">
        <f>SUMIF('DRE Contábil (Tri) - IS Quarter'!$F$7:$BN$7,S$9,'DRE Contábil (Tri) - IS Quarter'!$F22:$BN22)</f>
        <v>-158.89099999999999</v>
      </c>
      <c r="T22" s="91">
        <f>SUMIF('DRE Contábil (Tri) - IS Quarter'!$F$7:$BN$7,T$9,'DRE Contábil (Tri) - IS Quarter'!$F22:$BN22)</f>
        <v>-230.02600000000001</v>
      </c>
      <c r="V22" s="1"/>
    </row>
    <row r="23" spans="2:22" x14ac:dyDescent="0.25">
      <c r="C23" s="75" t="s">
        <v>120</v>
      </c>
      <c r="D23" s="75"/>
      <c r="E23" s="75" t="s">
        <v>623</v>
      </c>
      <c r="F23" s="91">
        <f>SUMIF('DRE Contábil (Tri) - IS Quarter'!$F$7:$BN$7,F$9,'DRE Contábil (Tri) - IS Quarter'!$F23:$BN23)</f>
        <v>0</v>
      </c>
      <c r="G23" s="91">
        <f>SUMIF('DRE Contábil (Tri) - IS Quarter'!$F$7:$BN$7,G$9,'DRE Contábil (Tri) - IS Quarter'!$F23:$BN23)</f>
        <v>0</v>
      </c>
      <c r="H23" s="91">
        <f>SUMIF('DRE Contábil (Tri) - IS Quarter'!$F$7:$BN$7,H$9,'DRE Contábil (Tri) - IS Quarter'!$F23:$BN23)</f>
        <v>0</v>
      </c>
      <c r="I23" s="91">
        <f>SUMIF('DRE Contábil (Tri) - IS Quarter'!$F$7:$BN$7,I$9,'DRE Contábil (Tri) - IS Quarter'!$F23:$BN23)</f>
        <v>0</v>
      </c>
      <c r="J23" s="91">
        <f>SUMIF('DRE Contábil (Tri) - IS Quarter'!$F$7:$BN$7,J$9,'DRE Contábil (Tri) - IS Quarter'!$F23:$BN23)</f>
        <v>0</v>
      </c>
      <c r="K23" s="91">
        <f>SUMIF('DRE Contábil (Tri) - IS Quarter'!$F$7:$BN$7,K$9,'DRE Contábil (Tri) - IS Quarter'!$F23:$BN23)</f>
        <v>0</v>
      </c>
      <c r="L23" s="91">
        <f>SUMIF('DRE Contábil (Tri) - IS Quarter'!$F$7:$BN$7,L$9,'DRE Contábil (Tri) - IS Quarter'!$F23:$BN23)</f>
        <v>-0.82599999999999996</v>
      </c>
      <c r="M23" s="91">
        <f>SUMIF('DRE Contábil (Tri) - IS Quarter'!$F$7:$BN$7,M$9,'DRE Contábil (Tri) - IS Quarter'!$F23:$BN23)</f>
        <v>-4.3630000000000004</v>
      </c>
      <c r="N23" s="91">
        <f>SUMIF('DRE Contábil (Tri) - IS Quarter'!$F$7:$BN$7,N$9,'DRE Contábil (Tri) - IS Quarter'!$F23:$BN23)</f>
        <v>-0.20800000000000002</v>
      </c>
      <c r="O23" s="91">
        <f>SUMIF('DRE Contábil (Tri) - IS Quarter'!$F$7:$BN$7,O$9,'DRE Contábil (Tri) - IS Quarter'!$F23:$BN23)</f>
        <v>-3.6700000000000004</v>
      </c>
      <c r="P23" s="91">
        <f>SUMIF('DRE Contábil (Tri) - IS Quarter'!$F$7:$BN$7,P$9,'DRE Contábil (Tri) - IS Quarter'!$F23:$BN23)</f>
        <v>-1.242</v>
      </c>
      <c r="Q23" s="91">
        <f>SUMIF('DRE Contábil (Tri) - IS Quarter'!$F$7:$BN$7,Q$9,'DRE Contábil (Tri) - IS Quarter'!$F23:$BN23)</f>
        <v>0</v>
      </c>
      <c r="R23" s="91">
        <f>SUMIF('DRE Contábil (Tri) - IS Quarter'!$F$7:$BN$7,R$9,'DRE Contábil (Tri) - IS Quarter'!$F23:$BN23)</f>
        <v>0</v>
      </c>
      <c r="S23" s="91">
        <f>SUMIF('DRE Contábil (Tri) - IS Quarter'!$F$7:$BN$7,S$9,'DRE Contábil (Tri) - IS Quarter'!$F23:$BN23)</f>
        <v>0</v>
      </c>
      <c r="T23" s="91">
        <f>SUMIF('DRE Contábil (Tri) - IS Quarter'!$F$7:$BN$7,T$9,'DRE Contábil (Tri) - IS Quarter'!$F23:$BN23)</f>
        <v>0</v>
      </c>
      <c r="V23" s="1"/>
    </row>
    <row r="24" spans="2:22" s="1" customFormat="1" x14ac:dyDescent="0.25">
      <c r="B24" s="139" t="s">
        <v>121</v>
      </c>
      <c r="C24" s="37"/>
      <c r="D24" s="37"/>
      <c r="E24" s="139" t="s">
        <v>611</v>
      </c>
      <c r="F24" s="90">
        <f t="shared" ref="F24:T24" si="2">F19+F13</f>
        <v>272.02300000000014</v>
      </c>
      <c r="G24" s="90">
        <f t="shared" si="2"/>
        <v>357.18400000000008</v>
      </c>
      <c r="H24" s="90">
        <f t="shared" si="2"/>
        <v>422.33499999999998</v>
      </c>
      <c r="I24" s="90">
        <f t="shared" si="2"/>
        <v>480.81799999999976</v>
      </c>
      <c r="J24" s="90">
        <f t="shared" si="2"/>
        <v>405.81100000000004</v>
      </c>
      <c r="K24" s="90">
        <f t="shared" si="2"/>
        <v>426.23800000000028</v>
      </c>
      <c r="L24" s="90">
        <f t="shared" si="2"/>
        <v>463.94400000000019</v>
      </c>
      <c r="M24" s="90">
        <f t="shared" si="2"/>
        <v>87.208000000000084</v>
      </c>
      <c r="N24" s="90">
        <f t="shared" si="2"/>
        <v>1029.2370000000005</v>
      </c>
      <c r="O24" s="90">
        <f t="shared" si="2"/>
        <v>616.11800000000039</v>
      </c>
      <c r="P24" s="90">
        <f t="shared" si="2"/>
        <v>512.8779999999997</v>
      </c>
      <c r="Q24" s="90">
        <f t="shared" si="2"/>
        <v>734.02500000000009</v>
      </c>
      <c r="R24" s="90">
        <f t="shared" si="2"/>
        <v>135.57299999999941</v>
      </c>
      <c r="S24" s="90">
        <f t="shared" si="2"/>
        <v>1031.5099999999998</v>
      </c>
      <c r="T24" s="90">
        <f t="shared" si="2"/>
        <v>1573.4100000000008</v>
      </c>
    </row>
    <row r="25" spans="2:22" s="1" customFormat="1" x14ac:dyDescent="0.25">
      <c r="B25" s="139" t="s">
        <v>202</v>
      </c>
      <c r="C25" s="37"/>
      <c r="D25" s="37"/>
      <c r="E25" s="139" t="s">
        <v>612</v>
      </c>
      <c r="F25" s="90">
        <f t="shared" ref="F25:T25" si="3">SUM(F26:F30)</f>
        <v>-76.898999999999987</v>
      </c>
      <c r="G25" s="90">
        <f t="shared" si="3"/>
        <v>-139.501</v>
      </c>
      <c r="H25" s="90">
        <f t="shared" si="3"/>
        <v>-73.873000000000005</v>
      </c>
      <c r="I25" s="90">
        <f t="shared" si="3"/>
        <v>-75.498999999999967</v>
      </c>
      <c r="J25" s="90">
        <f t="shared" si="3"/>
        <v>-58.876000000000005</v>
      </c>
      <c r="K25" s="90">
        <f t="shared" si="3"/>
        <v>-37.60799999999999</v>
      </c>
      <c r="L25" s="90">
        <f t="shared" si="3"/>
        <v>-30.144999999999982</v>
      </c>
      <c r="M25" s="90">
        <f t="shared" si="3"/>
        <v>191.99999999999997</v>
      </c>
      <c r="N25" s="90">
        <f t="shared" si="3"/>
        <v>-302.98599999999999</v>
      </c>
      <c r="O25" s="90">
        <f t="shared" si="3"/>
        <v>-17.620000000000019</v>
      </c>
      <c r="P25" s="90">
        <f t="shared" si="3"/>
        <v>-28.45500000000002</v>
      </c>
      <c r="Q25" s="90">
        <f t="shared" si="3"/>
        <v>-95.515999999999934</v>
      </c>
      <c r="R25" s="90">
        <f t="shared" si="3"/>
        <v>-225.26900000000001</v>
      </c>
      <c r="S25" s="90">
        <f t="shared" si="3"/>
        <v>-234.82900000000004</v>
      </c>
      <c r="T25" s="90">
        <f t="shared" si="3"/>
        <v>-405.08900000000006</v>
      </c>
    </row>
    <row r="26" spans="2:22" x14ac:dyDescent="0.25">
      <c r="C26" s="75" t="s">
        <v>129</v>
      </c>
      <c r="D26" s="75"/>
      <c r="E26" s="75" t="s">
        <v>624</v>
      </c>
      <c r="F26" s="91">
        <f>SUMIF('DRE Contábil (Tri) - IS Quarter'!$F$7:$BN$7,F$9,'DRE Contábil (Tri) - IS Quarter'!$F26:$BN26)</f>
        <v>43.14</v>
      </c>
      <c r="G26" s="91">
        <f>SUMIF('DRE Contábil (Tri) - IS Quarter'!$F$7:$BN$7,G$9,'DRE Contábil (Tri) - IS Quarter'!$F26:$BN26)</f>
        <v>59.652000000000001</v>
      </c>
      <c r="H26" s="91">
        <f>SUMIF('DRE Contábil (Tri) - IS Quarter'!$F$7:$BN$7,H$9,'DRE Contábil (Tri) - IS Quarter'!$F26:$BN26)</f>
        <v>108.148</v>
      </c>
      <c r="I26" s="91">
        <f>SUMIF('DRE Contábil (Tri) - IS Quarter'!$F$7:$BN$7,I$9,'DRE Contábil (Tri) - IS Quarter'!$F26:$BN26)</f>
        <v>125.36500000000001</v>
      </c>
      <c r="J26" s="91">
        <f>SUMIF('DRE Contábil (Tri) - IS Quarter'!$F$7:$BN$7,J$9,'DRE Contábil (Tri) - IS Quarter'!$F26:$BN26)</f>
        <v>137.40299999999999</v>
      </c>
      <c r="K26" s="91">
        <f>SUMIF('DRE Contábil (Tri) - IS Quarter'!$F$7:$BN$7,K$9,'DRE Contábil (Tri) - IS Quarter'!$F26:$BN26)</f>
        <v>156.92700000000002</v>
      </c>
      <c r="L26" s="91">
        <f>SUMIF('DRE Contábil (Tri) - IS Quarter'!$F$7:$BN$7,L$9,'DRE Contábil (Tri) - IS Quarter'!$F26:$BN26)</f>
        <v>177.03800000000001</v>
      </c>
      <c r="M26" s="91">
        <f>SUMIF('DRE Contábil (Tri) - IS Quarter'!$F$7:$BN$7,M$9,'DRE Contábil (Tri) - IS Quarter'!$F26:$BN26)</f>
        <v>199.08599999999998</v>
      </c>
      <c r="N26" s="91">
        <f>SUMIF('DRE Contábil (Tri) - IS Quarter'!$F$7:$BN$7,N$9,'DRE Contábil (Tri) - IS Quarter'!$F26:$BN26)</f>
        <v>256.56299999999999</v>
      </c>
      <c r="O26" s="91">
        <f>SUMIF('DRE Contábil (Tri) - IS Quarter'!$F$7:$BN$7,O$9,'DRE Contábil (Tri) - IS Quarter'!$F26:$BN26)</f>
        <v>306.90600000000001</v>
      </c>
      <c r="P26" s="91">
        <f>SUMIF('DRE Contábil (Tri) - IS Quarter'!$F$7:$BN$7,P$9,'DRE Contábil (Tri) - IS Quarter'!$F26:$BN26)</f>
        <v>359.45599999999996</v>
      </c>
      <c r="Q26" s="91">
        <f>SUMIF('DRE Contábil (Tri) - IS Quarter'!$F$7:$BN$7,Q$9,'DRE Contábil (Tri) - IS Quarter'!$F26:$BN26)</f>
        <v>349.89800000000002</v>
      </c>
      <c r="R26" s="91">
        <f>SUMIF('DRE Contábil (Tri) - IS Quarter'!$F$7:$BN$7,R$9,'DRE Contábil (Tri) - IS Quarter'!$F26:$BN26)</f>
        <v>283.976</v>
      </c>
      <c r="S26" s="91">
        <f>SUMIF('DRE Contábil (Tri) - IS Quarter'!$F$7:$BN$7,S$9,'DRE Contábil (Tri) - IS Quarter'!$F26:$BN26)</f>
        <v>345.43899999999996</v>
      </c>
      <c r="T26" s="91">
        <f>SUMIF('DRE Contábil (Tri) - IS Quarter'!$F$7:$BN$7,T$9,'DRE Contábil (Tri) - IS Quarter'!$F26:$BN26)</f>
        <v>401.86399999999998</v>
      </c>
      <c r="V26" s="1"/>
    </row>
    <row r="27" spans="2:22" x14ac:dyDescent="0.25">
      <c r="C27" s="75" t="s">
        <v>193</v>
      </c>
      <c r="D27" s="75"/>
      <c r="E27" s="75" t="s">
        <v>625</v>
      </c>
      <c r="F27" s="92">
        <f>SUMIF('DRE Contábil (Tri) - IS Quarter'!$F$7:$BN$7,F$9,'DRE Contábil (Tri) - IS Quarter'!$F27:$BN27)</f>
        <v>-68.545999999999992</v>
      </c>
      <c r="G27" s="92">
        <f>SUMIF('DRE Contábil (Tri) - IS Quarter'!$F$7:$BN$7,G$9,'DRE Contábil (Tri) - IS Quarter'!$F27:$BN27)</f>
        <v>-77.912000000000006</v>
      </c>
      <c r="H27" s="92">
        <f>SUMIF('DRE Contábil (Tri) - IS Quarter'!$F$7:$BN$7,H$9,'DRE Contábil (Tri) - IS Quarter'!$F27:$BN27)</f>
        <v>-92.07</v>
      </c>
      <c r="I27" s="92">
        <f>SUMIF('DRE Contábil (Tri) - IS Quarter'!$F$7:$BN$7,I$9,'DRE Contábil (Tri) - IS Quarter'!$F27:$BN27)</f>
        <v>-113.96199999999999</v>
      </c>
      <c r="J27" s="92">
        <f>SUMIF('DRE Contábil (Tri) - IS Quarter'!$F$7:$BN$7,J$9,'DRE Contábil (Tri) - IS Quarter'!$F27:$BN27)</f>
        <v>-130.584</v>
      </c>
      <c r="K27" s="92">
        <f>SUMIF('DRE Contábil (Tri) - IS Quarter'!$F$7:$BN$7,K$9,'DRE Contábil (Tri) - IS Quarter'!$F27:$BN27)</f>
        <v>-140.9</v>
      </c>
      <c r="L27" s="92">
        <f>SUMIF('DRE Contábil (Tri) - IS Quarter'!$F$7:$BN$7,L$9,'DRE Contábil (Tri) - IS Quarter'!$F27:$BN27)</f>
        <v>-152</v>
      </c>
      <c r="M27" s="92">
        <f>SUMIF('DRE Contábil (Tri) - IS Quarter'!$F$7:$BN$7,M$9,'DRE Contábil (Tri) - IS Quarter'!$F27:$BN27)</f>
        <v>-174.82900000000001</v>
      </c>
      <c r="N27" s="92">
        <f>SUMIF('DRE Contábil (Tri) - IS Quarter'!$F$7:$BN$7,N$9,'DRE Contábil (Tri) - IS Quarter'!$F27:$BN27)</f>
        <v>-191.88</v>
      </c>
      <c r="O27" s="92">
        <f>SUMIF('DRE Contábil (Tri) - IS Quarter'!$F$7:$BN$7,O$9,'DRE Contábil (Tri) - IS Quarter'!$F27:$BN27)</f>
        <v>-201.89500000000001</v>
      </c>
      <c r="P27" s="92">
        <f>SUMIF('DRE Contábil (Tri) - IS Quarter'!$F$7:$BN$7,P$9,'DRE Contábil (Tri) - IS Quarter'!$F27:$BN27)</f>
        <v>-210.71599999999998</v>
      </c>
      <c r="Q27" s="92">
        <f>SUMIF('DRE Contábil (Tri) - IS Quarter'!$F$7:$BN$7,Q$9,'DRE Contábil (Tri) - IS Quarter'!$F27:$BN27)</f>
        <v>-231.66199999999998</v>
      </c>
      <c r="R27" s="92">
        <f>SUMIF('DRE Contábil (Tri) - IS Quarter'!$F$7:$BN$7,R$9,'DRE Contábil (Tri) - IS Quarter'!$F27:$BN27)</f>
        <v>-245.273</v>
      </c>
      <c r="S27" s="92">
        <f>SUMIF('DRE Contábil (Tri) - IS Quarter'!$F$7:$BN$7,S$9,'DRE Contábil (Tri) - IS Quarter'!$F27:$BN27)</f>
        <v>-285.16500000000002</v>
      </c>
      <c r="T27" s="92">
        <f>SUMIF('DRE Contábil (Tri) - IS Quarter'!$F$7:$BN$7,T$9,'DRE Contábil (Tri) - IS Quarter'!$F27:$BN27)</f>
        <v>-404.654</v>
      </c>
      <c r="V27" s="1"/>
    </row>
    <row r="28" spans="2:22" x14ac:dyDescent="0.25">
      <c r="C28" s="75" t="s">
        <v>135</v>
      </c>
      <c r="D28" s="75"/>
      <c r="E28" s="75" t="s">
        <v>626</v>
      </c>
      <c r="F28" s="92">
        <f>SUMIF('DRE Contábil (Tri) - IS Quarter'!$F$7:$BN$7,F$9,'DRE Contábil (Tri) - IS Quarter'!$F28:$BN28)</f>
        <v>-59.293999999999997</v>
      </c>
      <c r="G28" s="92">
        <f>SUMIF('DRE Contábil (Tri) - IS Quarter'!$F$7:$BN$7,G$9,'DRE Contábil (Tri) - IS Quarter'!$F28:$BN28)</f>
        <v>-55.234000000000002</v>
      </c>
      <c r="H28" s="92">
        <f>SUMIF('DRE Contábil (Tri) - IS Quarter'!$F$7:$BN$7,H$9,'DRE Contábil (Tri) - IS Quarter'!$F28:$BN28)</f>
        <v>-57.716000000000001</v>
      </c>
      <c r="I28" s="92">
        <f>SUMIF('DRE Contábil (Tri) - IS Quarter'!$F$7:$BN$7,I$9,'DRE Contábil (Tri) - IS Quarter'!$F28:$BN28)</f>
        <v>-64.935000000000002</v>
      </c>
      <c r="J28" s="92">
        <f>SUMIF('DRE Contábil (Tri) - IS Quarter'!$F$7:$BN$7,J$9,'DRE Contábil (Tri) - IS Quarter'!$F28:$BN28)</f>
        <v>-71.488</v>
      </c>
      <c r="K28" s="92">
        <f>SUMIF('DRE Contábil (Tri) - IS Quarter'!$F$7:$BN$7,K$9,'DRE Contábil (Tri) - IS Quarter'!$F28:$BN28)</f>
        <v>-78.361999999999995</v>
      </c>
      <c r="L28" s="92">
        <f>SUMIF('DRE Contábil (Tri) - IS Quarter'!$F$7:$BN$7,L$9,'DRE Contábil (Tri) - IS Quarter'!$F28:$BN28)</f>
        <v>-86.668999999999997</v>
      </c>
      <c r="M28" s="92">
        <f>SUMIF('DRE Contábil (Tri) - IS Quarter'!$F$7:$BN$7,M$9,'DRE Contábil (Tri) - IS Quarter'!$F28:$BN28)</f>
        <v>-93.7</v>
      </c>
      <c r="N28" s="92">
        <f>SUMIF('DRE Contábil (Tri) - IS Quarter'!$F$7:$BN$7,N$9,'DRE Contábil (Tri) - IS Quarter'!$F28:$BN28)</f>
        <v>-104.58699999999999</v>
      </c>
      <c r="O28" s="92">
        <f>SUMIF('DRE Contábil (Tri) - IS Quarter'!$F$7:$BN$7,O$9,'DRE Contábil (Tri) - IS Quarter'!$F28:$BN28)</f>
        <v>-106.795</v>
      </c>
      <c r="P28" s="92">
        <f>SUMIF('DRE Contábil (Tri) - IS Quarter'!$F$7:$BN$7,P$9,'DRE Contábil (Tri) - IS Quarter'!$F28:$BN28)</f>
        <v>-115.917</v>
      </c>
      <c r="Q28" s="92">
        <f>SUMIF('DRE Contábil (Tri) - IS Quarter'!$F$7:$BN$7,Q$9,'DRE Contábil (Tri) - IS Quarter'!$F28:$BN28)</f>
        <v>-152.99699999999999</v>
      </c>
      <c r="R28" s="92">
        <f>SUMIF('DRE Contábil (Tri) - IS Quarter'!$F$7:$BN$7,R$9,'DRE Contábil (Tri) - IS Quarter'!$F28:$BN28)</f>
        <v>-160.71600000000001</v>
      </c>
      <c r="S28" s="92">
        <f>SUMIF('DRE Contábil (Tri) - IS Quarter'!$F$7:$BN$7,S$9,'DRE Contábil (Tri) - IS Quarter'!$F28:$BN28)</f>
        <v>-181.51799999999997</v>
      </c>
      <c r="T28" s="92">
        <f>SUMIF('DRE Contábil (Tri) - IS Quarter'!$F$7:$BN$7,T$9,'DRE Contábil (Tri) - IS Quarter'!$F28:$BN28)</f>
        <v>-263.14600000000002</v>
      </c>
      <c r="V28" s="1"/>
    </row>
    <row r="29" spans="2:22" x14ac:dyDescent="0.25">
      <c r="C29" s="75" t="s">
        <v>130</v>
      </c>
      <c r="D29" s="75"/>
      <c r="E29" s="75" t="s">
        <v>627</v>
      </c>
      <c r="F29" s="91">
        <f>SUMIF('DRE Contábil (Tri) - IS Quarter'!$F$7:$BN$7,F$9,'DRE Contábil (Tri) - IS Quarter'!$F29:$BN29)</f>
        <v>-2.9049999999999998</v>
      </c>
      <c r="G29" s="91">
        <f>SUMIF('DRE Contábil (Tri) - IS Quarter'!$F$7:$BN$7,G$9,'DRE Contábil (Tri) - IS Quarter'!$F29:$BN29)</f>
        <v>-5.2110000000000003</v>
      </c>
      <c r="H29" s="91">
        <f>SUMIF('DRE Contábil (Tri) - IS Quarter'!$F$7:$BN$7,H$9,'DRE Contábil (Tri) - IS Quarter'!$F29:$BN29)</f>
        <v>-34.160000000000004</v>
      </c>
      <c r="I29" s="91">
        <f>SUMIF('DRE Contábil (Tri) - IS Quarter'!$F$7:$BN$7,I$9,'DRE Contábil (Tri) - IS Quarter'!$F29:$BN29)</f>
        <v>-40.282999999999994</v>
      </c>
      <c r="J29" s="91">
        <f>SUMIF('DRE Contábil (Tri) - IS Quarter'!$F$7:$BN$7,J$9,'DRE Contábil (Tri) - IS Quarter'!$F29:$BN29)</f>
        <v>-38.487000000000002</v>
      </c>
      <c r="K29" s="91">
        <f>SUMIF('DRE Contábil (Tri) - IS Quarter'!$F$7:$BN$7,K$9,'DRE Contábil (Tri) - IS Quarter'!$F29:$BN29)</f>
        <v>-41.371000000000002</v>
      </c>
      <c r="L29" s="91">
        <f>SUMIF('DRE Contábil (Tri) - IS Quarter'!$F$7:$BN$7,L$9,'DRE Contábil (Tri) - IS Quarter'!$F29:$BN29)</f>
        <v>-40.069000000000003</v>
      </c>
      <c r="M29" s="91">
        <f>SUMIF('DRE Contábil (Tri) - IS Quarter'!$F$7:$BN$7,M$9,'DRE Contábil (Tri) - IS Quarter'!$F29:$BN29)</f>
        <v>-37.966000000000001</v>
      </c>
      <c r="N29" s="91">
        <f>SUMIF('DRE Contábil (Tri) - IS Quarter'!$F$7:$BN$7,N$9,'DRE Contábil (Tri) - IS Quarter'!$F29:$BN29)</f>
        <v>-59.286000000000001</v>
      </c>
      <c r="O29" s="91">
        <f>SUMIF('DRE Contábil (Tri) - IS Quarter'!$F$7:$BN$7,O$9,'DRE Contábil (Tri) - IS Quarter'!$F29:$BN29)</f>
        <v>-71.552000000000007</v>
      </c>
      <c r="P29" s="91">
        <f>SUMIF('DRE Contábil (Tri) - IS Quarter'!$F$7:$BN$7,P$9,'DRE Contábil (Tri) - IS Quarter'!$F29:$BN29)</f>
        <v>-64.759</v>
      </c>
      <c r="Q29" s="91">
        <f>SUMIF('DRE Contábil (Tri) - IS Quarter'!$F$7:$BN$7,Q$9,'DRE Contábil (Tri) - IS Quarter'!$F29:$BN29)</f>
        <v>-68.134999999999991</v>
      </c>
      <c r="R29" s="91">
        <f>SUMIF('DRE Contábil (Tri) - IS Quarter'!$F$7:$BN$7,R$9,'DRE Contábil (Tri) - IS Quarter'!$F29:$BN29)</f>
        <v>-59.030999999999999</v>
      </c>
      <c r="S29" s="91">
        <f>SUMIF('DRE Contábil (Tri) - IS Quarter'!$F$7:$BN$7,S$9,'DRE Contábil (Tri) - IS Quarter'!$F29:$BN29)</f>
        <v>-69.388999999999996</v>
      </c>
      <c r="T29" s="91">
        <f>SUMIF('DRE Contábil (Tri) - IS Quarter'!$F$7:$BN$7,T$9,'DRE Contábil (Tri) - IS Quarter'!$F29:$BN29)</f>
        <v>-112.33200000000001</v>
      </c>
      <c r="V29" s="1"/>
    </row>
    <row r="30" spans="2:22" x14ac:dyDescent="0.25">
      <c r="C30" s="75" t="s">
        <v>209</v>
      </c>
      <c r="D30" s="75"/>
      <c r="E30" s="75" t="s">
        <v>628</v>
      </c>
      <c r="F30" s="91">
        <f>SUMIF('DRE Contábil (Tri) - IS Quarter'!$F$7:$BN$7,F$9,'DRE Contábil (Tri) - IS Quarter'!$F30:$BN30)</f>
        <v>10.706000000000001</v>
      </c>
      <c r="G30" s="91">
        <f>SUMIF('DRE Contábil (Tri) - IS Quarter'!$F$7:$BN$7,G$9,'DRE Contábil (Tri) - IS Quarter'!$F30:$BN30)</f>
        <v>-60.795999999999999</v>
      </c>
      <c r="H30" s="91">
        <f>SUMIF('DRE Contábil (Tri) - IS Quarter'!$F$7:$BN$7,H$9,'DRE Contábil (Tri) - IS Quarter'!$F30:$BN30)</f>
        <v>1.9249999999999998</v>
      </c>
      <c r="I30" s="91">
        <f>SUMIF('DRE Contábil (Tri) - IS Quarter'!$F$7:$BN$7,I$9,'DRE Contábil (Tri) - IS Quarter'!$F30:$BN30)</f>
        <v>18.315999999999995</v>
      </c>
      <c r="J30" s="91">
        <f>SUMIF('DRE Contábil (Tri) - IS Quarter'!$F$7:$BN$7,J$9,'DRE Contábil (Tri) - IS Quarter'!$F30:$BN30)</f>
        <v>44.28</v>
      </c>
      <c r="K30" s="91">
        <f>SUMIF('DRE Contábil (Tri) - IS Quarter'!$F$7:$BN$7,K$9,'DRE Contábil (Tri) - IS Quarter'!$F30:$BN30)</f>
        <v>66.097999999999999</v>
      </c>
      <c r="L30" s="91">
        <f>SUMIF('DRE Contábil (Tri) - IS Quarter'!$F$7:$BN$7,L$9,'DRE Contábil (Tri) - IS Quarter'!$F30:$BN30)</f>
        <v>71.555000000000007</v>
      </c>
      <c r="M30" s="91">
        <f>SUMIF('DRE Contábil (Tri) - IS Quarter'!$F$7:$BN$7,M$9,'DRE Contábil (Tri) - IS Quarter'!$F30:$BN30)</f>
        <v>299.40899999999999</v>
      </c>
      <c r="N30" s="91">
        <f>SUMIF('DRE Contábil (Tri) - IS Quarter'!$F$7:$BN$7,N$9,'DRE Contábil (Tri) - IS Quarter'!$F30:$BN30)</f>
        <v>-203.79599999999999</v>
      </c>
      <c r="O30" s="91">
        <f>SUMIF('DRE Contábil (Tri) - IS Quarter'!$F$7:$BN$7,O$9,'DRE Contábil (Tri) - IS Quarter'!$F30:$BN30)</f>
        <v>55.715999999999994</v>
      </c>
      <c r="P30" s="91">
        <f>SUMIF('DRE Contábil (Tri) - IS Quarter'!$F$7:$BN$7,P$9,'DRE Contábil (Tri) - IS Quarter'!$F30:$BN30)</f>
        <v>3.4809999999999999</v>
      </c>
      <c r="Q30" s="91">
        <f>SUMIF('DRE Contábil (Tri) - IS Quarter'!$F$7:$BN$7,Q$9,'DRE Contábil (Tri) - IS Quarter'!$F30:$BN30)</f>
        <v>7.38</v>
      </c>
      <c r="R30" s="91">
        <f>SUMIF('DRE Contábil (Tri) - IS Quarter'!$F$7:$BN$7,R$9,'DRE Contábil (Tri) - IS Quarter'!$F30:$BN30)</f>
        <v>-44.225000000000001</v>
      </c>
      <c r="S30" s="91">
        <f>SUMIF('DRE Contábil (Tri) - IS Quarter'!$F$7:$BN$7,S$9,'DRE Contábil (Tri) - IS Quarter'!$F30:$BN30)</f>
        <v>-44.195999999999998</v>
      </c>
      <c r="T30" s="91">
        <f>SUMIF('DRE Contábil (Tri) - IS Quarter'!$F$7:$BN$7,T$9,'DRE Contábil (Tri) - IS Quarter'!$F30:$BN30)</f>
        <v>-26.820999999999998</v>
      </c>
      <c r="V30" s="1"/>
    </row>
    <row r="31" spans="2:22" s="1" customFormat="1" x14ac:dyDescent="0.25">
      <c r="B31" s="139" t="s">
        <v>122</v>
      </c>
      <c r="C31" s="37"/>
      <c r="D31" s="37"/>
      <c r="E31" s="139" t="s">
        <v>613</v>
      </c>
      <c r="F31" s="90">
        <f t="shared" ref="F31:T31" si="4">F25+F24</f>
        <v>195.12400000000014</v>
      </c>
      <c r="G31" s="90">
        <f t="shared" si="4"/>
        <v>217.68300000000008</v>
      </c>
      <c r="H31" s="90">
        <f t="shared" si="4"/>
        <v>348.46199999999999</v>
      </c>
      <c r="I31" s="90">
        <f t="shared" si="4"/>
        <v>405.31899999999979</v>
      </c>
      <c r="J31" s="90">
        <f t="shared" si="4"/>
        <v>346.93500000000006</v>
      </c>
      <c r="K31" s="90">
        <f t="shared" si="4"/>
        <v>388.63000000000028</v>
      </c>
      <c r="L31" s="90">
        <f t="shared" si="4"/>
        <v>433.79900000000021</v>
      </c>
      <c r="M31" s="90">
        <f t="shared" si="4"/>
        <v>279.20800000000008</v>
      </c>
      <c r="N31" s="90">
        <f t="shared" si="4"/>
        <v>726.25100000000054</v>
      </c>
      <c r="O31" s="90">
        <f t="shared" si="4"/>
        <v>598.49800000000039</v>
      </c>
      <c r="P31" s="90">
        <f t="shared" si="4"/>
        <v>484.42299999999966</v>
      </c>
      <c r="Q31" s="90">
        <f t="shared" si="4"/>
        <v>638.50900000000013</v>
      </c>
      <c r="R31" s="90">
        <f t="shared" si="4"/>
        <v>-89.696000000000595</v>
      </c>
      <c r="S31" s="90">
        <f t="shared" si="4"/>
        <v>796.6809999999997</v>
      </c>
      <c r="T31" s="90">
        <f t="shared" si="4"/>
        <v>1168.3210000000008</v>
      </c>
    </row>
    <row r="32" spans="2:22" x14ac:dyDescent="0.25">
      <c r="C32" s="75" t="s">
        <v>197</v>
      </c>
      <c r="D32" s="75"/>
      <c r="E32" s="75" t="s">
        <v>629</v>
      </c>
      <c r="F32" s="91">
        <f>SUMIF('DRE Contábil (Tri) - IS Quarter'!$F$7:$BN$7,F$9,'DRE Contábil (Tri) - IS Quarter'!$F32:$BN32)</f>
        <v>1.204</v>
      </c>
      <c r="G32" s="91">
        <f>SUMIF('DRE Contábil (Tri) - IS Quarter'!$F$7:$BN$7,G$9,'DRE Contábil (Tri) - IS Quarter'!$F32:$BN32)</f>
        <v>-3.3089999999999997</v>
      </c>
      <c r="H32" s="91">
        <f>SUMIF('DRE Contábil (Tri) - IS Quarter'!$F$7:$BN$7,H$9,'DRE Contábil (Tri) - IS Quarter'!$F32:$BN32)</f>
        <v>-2.4260000000000002</v>
      </c>
      <c r="I32" s="91">
        <f>SUMIF('DRE Contábil (Tri) - IS Quarter'!$F$7:$BN$7,I$9,'DRE Contábil (Tri) - IS Quarter'!$F32:$BN32)</f>
        <v>-5.8759999999999994</v>
      </c>
      <c r="J32" s="91">
        <f>SUMIF('DRE Contábil (Tri) - IS Quarter'!$F$7:$BN$7,J$9,'DRE Contábil (Tri) - IS Quarter'!$F32:$BN32)</f>
        <v>-6.6109999999999998</v>
      </c>
      <c r="K32" s="91">
        <f>SUMIF('DRE Contábil (Tri) - IS Quarter'!$F$7:$BN$7,K$9,'DRE Contábil (Tri) - IS Quarter'!$F32:$BN32)</f>
        <v>-1.819</v>
      </c>
      <c r="L32" s="91">
        <f>SUMIF('DRE Contábil (Tri) - IS Quarter'!$F$7:$BN$7,L$9,'DRE Contábil (Tri) - IS Quarter'!$F32:$BN32)</f>
        <v>-2.2589999999999999</v>
      </c>
      <c r="M32" s="91">
        <f>SUMIF('DRE Contábil (Tri) - IS Quarter'!$F$7:$BN$7,M$9,'DRE Contábil (Tri) - IS Quarter'!$F32:$BN32)</f>
        <v>-6.2299999999999995</v>
      </c>
      <c r="N32" s="91">
        <f>SUMIF('DRE Contábil (Tri) - IS Quarter'!$F$7:$BN$7,N$9,'DRE Contábil (Tri) - IS Quarter'!$F32:$BN32)</f>
        <v>-12.234999999999999</v>
      </c>
      <c r="O32" s="91">
        <f>SUMIF('DRE Contábil (Tri) - IS Quarter'!$F$7:$BN$7,O$9,'DRE Contábil (Tri) - IS Quarter'!$F32:$BN32)</f>
        <v>-36.896000000000001</v>
      </c>
      <c r="P32" s="91">
        <f>SUMIF('DRE Contábil (Tri) - IS Quarter'!$F$7:$BN$7,P$9,'DRE Contábil (Tri) - IS Quarter'!$F32:$BN32)</f>
        <v>-21.410999999999998</v>
      </c>
      <c r="Q32" s="91">
        <f>SUMIF('DRE Contábil (Tri) - IS Quarter'!$F$7:$BN$7,Q$9,'DRE Contábil (Tri) - IS Quarter'!$F32:$BN32)</f>
        <v>-2.3539999999999996</v>
      </c>
      <c r="R32" s="91">
        <f>SUMIF('DRE Contábil (Tri) - IS Quarter'!$F$7:$BN$7,R$9,'DRE Contábil (Tri) - IS Quarter'!$F32:$BN32)</f>
        <v>-10.946999999999999</v>
      </c>
      <c r="S32" s="91">
        <f>SUMIF('DRE Contábil (Tri) - IS Quarter'!$F$7:$BN$7,S$9,'DRE Contábil (Tri) - IS Quarter'!$F32:$BN32)</f>
        <v>-23.497</v>
      </c>
      <c r="T32" s="91">
        <f>SUMIF('DRE Contábil (Tri) - IS Quarter'!$F$7:$BN$7,T$9,'DRE Contábil (Tri) - IS Quarter'!$F32:$BN32)</f>
        <v>0.68799999999999972</v>
      </c>
      <c r="V32" s="1"/>
    </row>
    <row r="33" spans="2:22" s="1" customFormat="1" x14ac:dyDescent="0.25">
      <c r="B33" s="139" t="s">
        <v>123</v>
      </c>
      <c r="C33" s="37"/>
      <c r="D33" s="37"/>
      <c r="E33" s="139" t="s">
        <v>614</v>
      </c>
      <c r="F33" s="90">
        <f t="shared" ref="F33:T33" si="5">F31+F32</f>
        <v>196.32800000000015</v>
      </c>
      <c r="G33" s="90">
        <f t="shared" si="5"/>
        <v>214.37400000000008</v>
      </c>
      <c r="H33" s="90">
        <f t="shared" si="5"/>
        <v>346.036</v>
      </c>
      <c r="I33" s="90">
        <f t="shared" si="5"/>
        <v>399.44299999999981</v>
      </c>
      <c r="J33" s="90">
        <f t="shared" si="5"/>
        <v>340.32400000000007</v>
      </c>
      <c r="K33" s="90">
        <f t="shared" si="5"/>
        <v>386.81100000000026</v>
      </c>
      <c r="L33" s="90">
        <f t="shared" si="5"/>
        <v>431.54000000000019</v>
      </c>
      <c r="M33" s="90">
        <f t="shared" si="5"/>
        <v>272.97800000000007</v>
      </c>
      <c r="N33" s="90">
        <f t="shared" si="5"/>
        <v>714.01600000000053</v>
      </c>
      <c r="O33" s="90">
        <f t="shared" si="5"/>
        <v>561.60200000000043</v>
      </c>
      <c r="P33" s="90">
        <f t="shared" si="5"/>
        <v>463.01199999999966</v>
      </c>
      <c r="Q33" s="90">
        <f t="shared" si="5"/>
        <v>636.15500000000009</v>
      </c>
      <c r="R33" s="90">
        <f t="shared" si="5"/>
        <v>-100.6430000000006</v>
      </c>
      <c r="S33" s="90">
        <f t="shared" si="5"/>
        <v>773.18399999999974</v>
      </c>
      <c r="T33" s="90">
        <f t="shared" si="5"/>
        <v>1169.0090000000009</v>
      </c>
    </row>
    <row r="34" spans="2:22" x14ac:dyDescent="0.25">
      <c r="C34" s="75" t="s">
        <v>195</v>
      </c>
      <c r="D34" s="75"/>
      <c r="E34" s="75" t="s">
        <v>630</v>
      </c>
      <c r="F34" s="91">
        <f>SUMIF('DRE Contábil (Tri) - IS Quarter'!$F$7:$BN$7,F$9,'DRE Contábil (Tri) - IS Quarter'!$F34:$BN34)</f>
        <v>-13.390999999999998</v>
      </c>
      <c r="G34" s="91">
        <f>SUMIF('DRE Contábil (Tri) - IS Quarter'!$F$7:$BN$7,G$9,'DRE Contábil (Tri) - IS Quarter'!$F34:$BN34)</f>
        <v>-21.154000000000003</v>
      </c>
      <c r="H34" s="91">
        <f>SUMIF('DRE Contábil (Tri) - IS Quarter'!$F$7:$BN$7,H$9,'DRE Contábil (Tri) - IS Quarter'!$F34:$BN34)</f>
        <v>-78.710999999999999</v>
      </c>
      <c r="I34" s="91">
        <f>SUMIF('DRE Contábil (Tri) - IS Quarter'!$F$7:$BN$7,I$9,'DRE Contábil (Tri) - IS Quarter'!$F34:$BN34)</f>
        <v>-94.007999999999996</v>
      </c>
      <c r="J34" s="91">
        <f>SUMIF('DRE Contábil (Tri) - IS Quarter'!$F$7:$BN$7,J$9,'DRE Contábil (Tri) - IS Quarter'!$F34:$BN34)</f>
        <v>-61.245999999999995</v>
      </c>
      <c r="K34" s="91">
        <f>SUMIF('DRE Contábil (Tri) - IS Quarter'!$F$7:$BN$7,K$9,'DRE Contábil (Tri) - IS Quarter'!$F34:$BN34)</f>
        <v>-41.306999999999995</v>
      </c>
      <c r="L34" s="91">
        <f>SUMIF('DRE Contábil (Tri) - IS Quarter'!$F$7:$BN$7,L$9,'DRE Contábil (Tri) - IS Quarter'!$F34:$BN34)</f>
        <v>-29.864000000000004</v>
      </c>
      <c r="M34" s="91">
        <f>SUMIF('DRE Contábil (Tri) - IS Quarter'!$F$7:$BN$7,M$9,'DRE Contábil (Tri) - IS Quarter'!$F34:$BN34)</f>
        <v>199.13100000000003</v>
      </c>
      <c r="N34" s="91">
        <f>SUMIF('DRE Contábil (Tri) - IS Quarter'!$F$7:$BN$7,N$9,'DRE Contábil (Tri) - IS Quarter'!$F34:$BN34)</f>
        <v>-200.02700000000002</v>
      </c>
      <c r="O34" s="91">
        <f>SUMIF('DRE Contábil (Tri) - IS Quarter'!$F$7:$BN$7,O$9,'DRE Contábil (Tri) - IS Quarter'!$F34:$BN34)</f>
        <v>-17.97</v>
      </c>
      <c r="P34" s="91">
        <f>SUMIF('DRE Contábil (Tri) - IS Quarter'!$F$7:$BN$7,P$9,'DRE Contábil (Tri) - IS Quarter'!$F34:$BN34)</f>
        <v>98.3</v>
      </c>
      <c r="Q34" s="91">
        <f>SUMIF('DRE Contábil (Tri) - IS Quarter'!$F$7:$BN$7,Q$9,'DRE Contábil (Tri) - IS Quarter'!$F34:$BN34)</f>
        <v>36.754999999999995</v>
      </c>
      <c r="R34" s="91">
        <f>SUMIF('DRE Contábil (Tri) - IS Quarter'!$F$7:$BN$7,R$9,'DRE Contábil (Tri) - IS Quarter'!$F34:$BN34)</f>
        <v>550.61700000000008</v>
      </c>
      <c r="S34" s="91">
        <f>SUMIF('DRE Contábil (Tri) - IS Quarter'!$F$7:$BN$7,S$9,'DRE Contábil (Tri) - IS Quarter'!$F34:$BN34)</f>
        <v>-38.258000000000003</v>
      </c>
      <c r="T34" s="91">
        <f>SUMIF('DRE Contábil (Tri) - IS Quarter'!$F$7:$BN$7,T$9,'DRE Contábil (Tri) - IS Quarter'!$F34:$BN34)</f>
        <v>-115.504</v>
      </c>
      <c r="V34" s="1"/>
    </row>
    <row r="35" spans="2:22" x14ac:dyDescent="0.25">
      <c r="C35" s="75" t="s">
        <v>210</v>
      </c>
      <c r="D35" s="75"/>
      <c r="E35" s="75" t="s">
        <v>631</v>
      </c>
      <c r="F35" s="91">
        <f>SUMIF('DRE Contábil (Tri) - IS Quarter'!$F$7:$BN$7,F$9,'DRE Contábil (Tri) - IS Quarter'!$F35:$BN35)</f>
        <v>-45.092999999999996</v>
      </c>
      <c r="G35" s="91">
        <f>SUMIF('DRE Contábil (Tri) - IS Quarter'!$F$7:$BN$7,G$9,'DRE Contábil (Tri) - IS Quarter'!$F35:$BN35)</f>
        <v>-42.063999999999993</v>
      </c>
      <c r="H35" s="91">
        <f>SUMIF('DRE Contábil (Tri) - IS Quarter'!$F$7:$BN$7,H$9,'DRE Contábil (Tri) - IS Quarter'!$F35:$BN35)</f>
        <v>-65.100999999999999</v>
      </c>
      <c r="I35" s="91">
        <f>SUMIF('DRE Contábil (Tri) - IS Quarter'!$F$7:$BN$7,I$9,'DRE Contábil (Tri) - IS Quarter'!$F35:$BN35)</f>
        <v>-69.397999999999996</v>
      </c>
      <c r="J35" s="91">
        <f>SUMIF('DRE Contábil (Tri) - IS Quarter'!$F$7:$BN$7,J$9,'DRE Contábil (Tri) - IS Quarter'!$F35:$BN35)</f>
        <v>-52.459000000000003</v>
      </c>
      <c r="K35" s="91">
        <f>SUMIF('DRE Contábil (Tri) - IS Quarter'!$F$7:$BN$7,K$9,'DRE Contábil (Tri) - IS Quarter'!$F35:$BN35)</f>
        <v>-82.10199999999999</v>
      </c>
      <c r="L35" s="91">
        <f>SUMIF('DRE Contábil (Tri) - IS Quarter'!$F$7:$BN$7,L$9,'DRE Contábil (Tri) - IS Quarter'!$F35:$BN35)</f>
        <v>-91.028999999999996</v>
      </c>
      <c r="M35" s="91">
        <f>SUMIF('DRE Contábil (Tri) - IS Quarter'!$F$7:$BN$7,M$9,'DRE Contábil (Tri) - IS Quarter'!$F35:$BN35)</f>
        <v>-101.197</v>
      </c>
      <c r="N35" s="91">
        <f>SUMIF('DRE Contábil (Tri) - IS Quarter'!$F$7:$BN$7,N$9,'DRE Contábil (Tri) - IS Quarter'!$F35:$BN35)</f>
        <v>-107.432</v>
      </c>
      <c r="O35" s="91">
        <f>SUMIF('DRE Contábil (Tri) - IS Quarter'!$F$7:$BN$7,O$9,'DRE Contábil (Tri) - IS Quarter'!$F35:$BN35)</f>
        <v>-124.899</v>
      </c>
      <c r="P35" s="91">
        <f>SUMIF('DRE Contábil (Tri) - IS Quarter'!$F$7:$BN$7,P$9,'DRE Contábil (Tri) - IS Quarter'!$F35:$BN35)</f>
        <v>-143.226</v>
      </c>
      <c r="Q35" s="91">
        <f>SUMIF('DRE Contábil (Tri) - IS Quarter'!$F$7:$BN$7,Q$9,'DRE Contábil (Tri) - IS Quarter'!$F35:$BN35)</f>
        <v>-144.51100000000002</v>
      </c>
      <c r="R35" s="91">
        <f>SUMIF('DRE Contábil (Tri) - IS Quarter'!$F$7:$BN$7,R$9,'DRE Contábil (Tri) - IS Quarter'!$F35:$BN35)</f>
        <v>-127.899</v>
      </c>
      <c r="S35" s="91">
        <f>SUMIF('DRE Contábil (Tri) - IS Quarter'!$F$7:$BN$7,S$9,'DRE Contábil (Tri) - IS Quarter'!$F35:$BN35)</f>
        <v>-162.05799999999999</v>
      </c>
      <c r="T35" s="91">
        <f>SUMIF('DRE Contábil (Tri) - IS Quarter'!$F$7:$BN$7,T$9,'DRE Contábil (Tri) - IS Quarter'!$F35:$BN35)</f>
        <v>-250.81</v>
      </c>
      <c r="V35" s="1"/>
    </row>
    <row r="36" spans="2:22" x14ac:dyDescent="0.25">
      <c r="C36" s="75" t="s">
        <v>333</v>
      </c>
      <c r="D36" s="75"/>
      <c r="E36" s="75" t="s">
        <v>548</v>
      </c>
      <c r="F36" s="91">
        <f>SUMIF('DRE Contábil (Tri) - IS Quarter'!$F$7:$BN$7,F$9,'DRE Contábil (Tri) - IS Quarter'!$F36:$BN36)</f>
        <v>0</v>
      </c>
      <c r="G36" s="91">
        <f>SUMIF('DRE Contábil (Tri) - IS Quarter'!$F$7:$BN$7,G$9,'DRE Contábil (Tri) - IS Quarter'!$F36:$BN36)</f>
        <v>0</v>
      </c>
      <c r="H36" s="91">
        <f>SUMIF('DRE Contábil (Tri) - IS Quarter'!$F$7:$BN$7,H$9,'DRE Contábil (Tri) - IS Quarter'!$F36:$BN36)</f>
        <v>0</v>
      </c>
      <c r="I36" s="91">
        <f>SUMIF('DRE Contábil (Tri) - IS Quarter'!$F$7:$BN$7,I$9,'DRE Contábil (Tri) - IS Quarter'!$F36:$BN36)</f>
        <v>0</v>
      </c>
      <c r="J36" s="91">
        <f>SUMIF('DRE Contábil (Tri) - IS Quarter'!$F$7:$BN$7,J$9,'DRE Contábil (Tri) - IS Quarter'!$F36:$BN36)</f>
        <v>0</v>
      </c>
      <c r="K36" s="91">
        <f>SUMIF('DRE Contábil (Tri) - IS Quarter'!$F$7:$BN$7,K$9,'DRE Contábil (Tri) - IS Quarter'!$F36:$BN36)</f>
        <v>0</v>
      </c>
      <c r="L36" s="91">
        <f>SUMIF('DRE Contábil (Tri) - IS Quarter'!$F$7:$BN$7,L$9,'DRE Contábil (Tri) - IS Quarter'!$F36:$BN36)</f>
        <v>0</v>
      </c>
      <c r="M36" s="91">
        <f>SUMIF('DRE Contábil (Tri) - IS Quarter'!$F$7:$BN$7,M$9,'DRE Contábil (Tri) - IS Quarter'!$F36:$BN36)</f>
        <v>0</v>
      </c>
      <c r="N36" s="91">
        <f>SUMIF('DRE Contábil (Tri) - IS Quarter'!$F$7:$BN$7,N$9,'DRE Contábil (Tri) - IS Quarter'!$F36:$BN36)</f>
        <v>0</v>
      </c>
      <c r="O36" s="91">
        <f>SUMIF('DRE Contábil (Tri) - IS Quarter'!$F$7:$BN$7,O$9,'DRE Contábil (Tri) - IS Quarter'!$F36:$BN36)</f>
        <v>0</v>
      </c>
      <c r="P36" s="91">
        <f>SUMIF('DRE Contábil (Tri) - IS Quarter'!$F$7:$BN$7,P$9,'DRE Contábil (Tri) - IS Quarter'!$F36:$BN36)</f>
        <v>0</v>
      </c>
      <c r="Q36" s="91">
        <f>SUMIF('DRE Contábil (Tri) - IS Quarter'!$F$7:$BN$7,Q$9,'DRE Contábil (Tri) - IS Quarter'!$F36:$BN36)</f>
        <v>0</v>
      </c>
      <c r="R36" s="91">
        <f>SUMIF('DRE Contábil (Tri) - IS Quarter'!$F$7:$BN$7,R$9,'DRE Contábil (Tri) - IS Quarter'!$F36:$BN36)</f>
        <v>0</v>
      </c>
      <c r="S36" s="91">
        <f>SUMIF('DRE Contábil (Tri) - IS Quarter'!$F$7:$BN$7,S$9,'DRE Contábil (Tri) - IS Quarter'!$F36:$BN36)</f>
        <v>-0.69500000000000006</v>
      </c>
      <c r="T36" s="91">
        <f>SUMIF('DRE Contábil (Tri) - IS Quarter'!$F$7:$BN$7,T$9,'DRE Contábil (Tri) - IS Quarter'!$F36:$BN36)</f>
        <v>-2.4609999999999999</v>
      </c>
      <c r="V36" s="1"/>
    </row>
    <row r="37" spans="2:22" s="1" customFormat="1" x14ac:dyDescent="0.25">
      <c r="B37" s="157" t="s">
        <v>124</v>
      </c>
      <c r="C37" s="158"/>
      <c r="D37" s="158"/>
      <c r="E37" s="157" t="s">
        <v>615</v>
      </c>
      <c r="F37" s="166">
        <f t="shared" ref="F37:T37" si="6">SUM(F33:F36)</f>
        <v>137.84400000000016</v>
      </c>
      <c r="G37" s="166">
        <f t="shared" si="6"/>
        <v>151.15600000000009</v>
      </c>
      <c r="H37" s="166">
        <f t="shared" si="6"/>
        <v>202.22399999999999</v>
      </c>
      <c r="I37" s="166">
        <f t="shared" si="6"/>
        <v>236.03699999999984</v>
      </c>
      <c r="J37" s="166">
        <f t="shared" si="6"/>
        <v>226.61900000000009</v>
      </c>
      <c r="K37" s="166">
        <f t="shared" si="6"/>
        <v>263.40200000000027</v>
      </c>
      <c r="L37" s="166">
        <f t="shared" si="6"/>
        <v>310.64700000000016</v>
      </c>
      <c r="M37" s="166">
        <f t="shared" si="6"/>
        <v>370.91200000000009</v>
      </c>
      <c r="N37" s="166">
        <f t="shared" si="6"/>
        <v>406.55700000000047</v>
      </c>
      <c r="O37" s="166">
        <f t="shared" si="6"/>
        <v>418.7330000000004</v>
      </c>
      <c r="P37" s="166">
        <f t="shared" si="6"/>
        <v>418.08599999999967</v>
      </c>
      <c r="Q37" s="166">
        <f t="shared" si="6"/>
        <v>528.39900000000011</v>
      </c>
      <c r="R37" s="166">
        <f t="shared" si="6"/>
        <v>322.07499999999948</v>
      </c>
      <c r="S37" s="166">
        <f t="shared" si="6"/>
        <v>572.17299999999966</v>
      </c>
      <c r="T37" s="166">
        <f t="shared" si="6"/>
        <v>800.23400000000106</v>
      </c>
    </row>
    <row r="38" spans="2:22" x14ac:dyDescent="0.25">
      <c r="F38" s="8"/>
      <c r="G38" s="8"/>
      <c r="H38" s="8"/>
      <c r="I38" s="8"/>
      <c r="J38" s="8"/>
      <c r="K38" s="8"/>
      <c r="L38" s="8"/>
      <c r="M38" s="8"/>
      <c r="N38" s="8"/>
    </row>
    <row r="39" spans="2:22" x14ac:dyDescent="0.25">
      <c r="C39" s="267"/>
      <c r="D39" s="214"/>
      <c r="E39" s="214"/>
      <c r="F39" s="11"/>
      <c r="G39" s="11"/>
      <c r="H39" s="11"/>
      <c r="L39" s="11"/>
      <c r="M39" s="11"/>
      <c r="N39" s="11"/>
      <c r="O39" s="11"/>
      <c r="P39" s="11"/>
      <c r="Q39" s="11"/>
      <c r="R39" s="11"/>
      <c r="S39" s="11"/>
      <c r="T39" s="11"/>
    </row>
    <row r="40" spans="2:22" ht="24" customHeight="1" x14ac:dyDescent="0.25">
      <c r="C40" s="267"/>
      <c r="D40" s="214"/>
      <c r="E40" s="214"/>
      <c r="F40" s="122"/>
      <c r="G40" s="122"/>
      <c r="H40" s="122"/>
      <c r="L40" s="122"/>
      <c r="M40" s="248"/>
      <c r="N40" s="122"/>
      <c r="O40" s="122"/>
      <c r="P40" s="122"/>
      <c r="Q40" s="122"/>
      <c r="R40" s="122"/>
      <c r="S40" s="122"/>
      <c r="T40" s="122"/>
    </row>
    <row r="41" spans="2:22" x14ac:dyDescent="0.25">
      <c r="F41" s="8"/>
      <c r="G41" s="8"/>
      <c r="H41" s="8"/>
      <c r="L41" s="8"/>
      <c r="M41" s="8"/>
      <c r="N41" s="8"/>
    </row>
    <row r="42" spans="2:22" x14ac:dyDescent="0.25">
      <c r="F42" s="8"/>
      <c r="G42" s="8"/>
      <c r="H42" s="8"/>
      <c r="L42" s="8"/>
      <c r="M42" s="8"/>
      <c r="N42" s="8"/>
    </row>
    <row r="43" spans="2:22" x14ac:dyDescent="0.25">
      <c r="F43" s="8"/>
      <c r="G43" s="8"/>
      <c r="H43" s="8"/>
      <c r="L43" s="8"/>
      <c r="M43" s="8"/>
      <c r="N43" s="8"/>
    </row>
    <row r="44" spans="2:22" x14ac:dyDescent="0.25">
      <c r="F44" s="8"/>
      <c r="G44" s="8"/>
      <c r="H44" s="8"/>
      <c r="I44" s="8"/>
      <c r="J44" s="8"/>
      <c r="K44" s="8"/>
      <c r="L44" s="8"/>
      <c r="M44" s="8"/>
      <c r="N44" s="8"/>
    </row>
    <row r="45" spans="2:22" x14ac:dyDescent="0.25">
      <c r="F45" s="8"/>
      <c r="G45" s="8"/>
      <c r="H45" s="8"/>
      <c r="I45" s="8"/>
      <c r="J45" s="8"/>
      <c r="K45" s="8"/>
      <c r="L45" s="8"/>
      <c r="M45" s="8"/>
      <c r="N45" s="8"/>
    </row>
    <row r="46" spans="2:22" x14ac:dyDescent="0.25">
      <c r="F46" s="8"/>
      <c r="G46" s="8"/>
      <c r="H46" s="8"/>
      <c r="I46" s="8"/>
      <c r="J46" s="8"/>
      <c r="K46" s="8"/>
      <c r="L46" s="8"/>
      <c r="M46" s="8"/>
      <c r="N46" s="8"/>
    </row>
    <row r="47" spans="2:22" x14ac:dyDescent="0.25">
      <c r="F47" s="8"/>
      <c r="G47" s="8"/>
      <c r="H47" s="8"/>
      <c r="I47" s="8"/>
      <c r="J47" s="8"/>
      <c r="K47" s="8"/>
      <c r="L47" s="8"/>
      <c r="M47" s="8"/>
      <c r="N47" s="8"/>
    </row>
    <row r="48" spans="2:22" x14ac:dyDescent="0.25">
      <c r="F48" s="8"/>
      <c r="G48" s="8"/>
      <c r="H48" s="8"/>
      <c r="I48" s="8"/>
      <c r="J48" s="8"/>
      <c r="K48" s="8"/>
      <c r="L48" s="8"/>
      <c r="M48" s="8"/>
      <c r="N48" s="8"/>
    </row>
  </sheetData>
  <mergeCells count="1">
    <mergeCell ref="C39:C40"/>
  </mergeCells>
  <hyperlinks>
    <hyperlink ref="F6" location="'Índice - Index'!A1" display="Index" xr:uid="{92679648-5F03-47F9-8321-E8071F26B084}"/>
    <hyperlink ref="T6" location="'Índice - Index'!A1" display="Index" xr:uid="{D7AAE4EB-D5DE-49AE-9412-BBB765EA8573}"/>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9:H9 K9:O9" numberStoredAsText="1"/>
    <ignoredError sqref="T19 T24:T25 T31 T3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theme="3" tint="0.39997558519241921"/>
    <pageSetUpPr autoPageBreaks="0"/>
  </sheetPr>
  <dimension ref="B2:X44"/>
  <sheetViews>
    <sheetView showGridLines="0" zoomScale="80" zoomScaleNormal="80" workbookViewId="0">
      <pane xSplit="5" ySplit="9" topLeftCell="S10" activePane="bottomRight" state="frozen"/>
      <selection activeCell="D1" sqref="D1"/>
      <selection pane="topRight" activeCell="D1" sqref="D1"/>
      <selection pane="bottomLeft" activeCell="D1" sqref="D1"/>
      <selection pane="bottomRight" activeCell="W9" sqref="W9"/>
    </sheetView>
  </sheetViews>
  <sheetFormatPr defaultColWidth="10.5703125" defaultRowHeight="15" outlineLevelCol="1" x14ac:dyDescent="0.25"/>
  <cols>
    <col min="1" max="1" width="2.7109375" customWidth="1"/>
    <col min="2" max="2" width="1.7109375" customWidth="1" outlineLevel="1"/>
    <col min="3" max="3" width="59.7109375" customWidth="1" outlineLevel="1"/>
    <col min="4" max="4" width="1.7109375" customWidth="1"/>
    <col min="5" max="5" width="45.42578125" customWidth="1" outlineLevel="1"/>
    <col min="24" max="24" width="13.42578125" bestFit="1" customWidth="1"/>
  </cols>
  <sheetData>
    <row r="2" spans="2:24" x14ac:dyDescent="0.25">
      <c r="B2" t="s">
        <v>429</v>
      </c>
    </row>
    <row r="3" spans="2:24" ht="21" x14ac:dyDescent="0.35">
      <c r="C3" s="4"/>
      <c r="D3" s="4"/>
      <c r="E3" s="4"/>
    </row>
    <row r="4" spans="2:24" ht="15" customHeight="1" x14ac:dyDescent="0.25">
      <c r="C4" s="3"/>
      <c r="D4" s="3"/>
      <c r="E4" s="3"/>
    </row>
    <row r="5" spans="2:24" x14ac:dyDescent="0.25">
      <c r="C5" s="2"/>
      <c r="D5" s="2"/>
      <c r="E5" s="2"/>
    </row>
    <row r="6" spans="2:24" x14ac:dyDescent="0.25">
      <c r="F6" s="236" t="s">
        <v>486</v>
      </c>
      <c r="W6" s="236" t="s">
        <v>486</v>
      </c>
    </row>
    <row r="7" spans="2:24" ht="17.25" customHeight="1" x14ac:dyDescent="0.3">
      <c r="B7" s="40" t="s">
        <v>404</v>
      </c>
      <c r="C7" s="40"/>
      <c r="D7" s="40"/>
      <c r="E7" s="40" t="s">
        <v>633</v>
      </c>
    </row>
    <row r="8" spans="2:24" ht="17.25" customHeight="1" x14ac:dyDescent="0.25">
      <c r="B8" s="215" t="s">
        <v>434</v>
      </c>
      <c r="C8" s="216"/>
      <c r="D8" s="216"/>
      <c r="E8" s="215" t="s">
        <v>435</v>
      </c>
      <c r="F8" s="146" t="s">
        <v>595</v>
      </c>
      <c r="G8" s="146" t="s">
        <v>596</v>
      </c>
      <c r="H8" s="146" t="s">
        <v>597</v>
      </c>
      <c r="I8" s="146" t="s">
        <v>598</v>
      </c>
      <c r="J8" s="146" t="s">
        <v>599</v>
      </c>
      <c r="K8" s="146" t="s">
        <v>600</v>
      </c>
      <c r="L8" s="146" t="s">
        <v>601</v>
      </c>
      <c r="M8" s="146" t="s">
        <v>602</v>
      </c>
      <c r="N8" s="146" t="s">
        <v>603</v>
      </c>
      <c r="O8" s="146" t="s">
        <v>604</v>
      </c>
      <c r="P8" s="146" t="s">
        <v>605</v>
      </c>
      <c r="Q8" s="146" t="s">
        <v>606</v>
      </c>
      <c r="R8" s="146" t="s">
        <v>607</v>
      </c>
      <c r="S8" s="146" t="s">
        <v>828</v>
      </c>
      <c r="T8" s="146" t="s">
        <v>847</v>
      </c>
      <c r="U8" s="146" t="s">
        <v>852</v>
      </c>
      <c r="V8" s="146" t="s">
        <v>857</v>
      </c>
      <c r="W8" s="146" t="s">
        <v>863</v>
      </c>
    </row>
    <row r="9" spans="2:24" s="3" customFormat="1" x14ac:dyDescent="0.25">
      <c r="B9" s="154" t="s">
        <v>338</v>
      </c>
      <c r="C9" s="146"/>
      <c r="D9" s="146"/>
      <c r="E9" s="154" t="s">
        <v>433</v>
      </c>
      <c r="F9" s="146" t="s">
        <v>184</v>
      </c>
      <c r="G9" s="146" t="s">
        <v>186</v>
      </c>
      <c r="H9" s="146" t="s">
        <v>199</v>
      </c>
      <c r="I9" s="146" t="s">
        <v>286</v>
      </c>
      <c r="J9" s="146" t="s">
        <v>291</v>
      </c>
      <c r="K9" s="146" t="s">
        <v>293</v>
      </c>
      <c r="L9" s="146" t="s">
        <v>299</v>
      </c>
      <c r="M9" s="146" t="s">
        <v>310</v>
      </c>
      <c r="N9" s="146" t="s">
        <v>323</v>
      </c>
      <c r="O9" s="146" t="s">
        <v>330</v>
      </c>
      <c r="P9" s="146" t="s">
        <v>332</v>
      </c>
      <c r="Q9" s="146" t="s">
        <v>336</v>
      </c>
      <c r="R9" s="146" t="s">
        <v>431</v>
      </c>
      <c r="S9" s="146" t="s">
        <v>829</v>
      </c>
      <c r="T9" s="146" t="s">
        <v>848</v>
      </c>
      <c r="U9" s="146" t="s">
        <v>849</v>
      </c>
      <c r="V9" s="146" t="s">
        <v>856</v>
      </c>
      <c r="W9" s="146" t="s">
        <v>858</v>
      </c>
    </row>
    <row r="10" spans="2:24" s="3" customFormat="1" x14ac:dyDescent="0.25">
      <c r="B10" s="151"/>
      <c r="C10" s="2"/>
      <c r="D10" s="2"/>
      <c r="E10" s="2"/>
      <c r="F10" s="2"/>
      <c r="G10" s="2"/>
      <c r="H10" s="2"/>
      <c r="I10" s="2"/>
      <c r="J10" s="2"/>
      <c r="K10" s="2"/>
      <c r="L10" s="2"/>
      <c r="M10" s="2"/>
      <c r="N10" s="2"/>
      <c r="O10" s="2"/>
      <c r="P10" s="2"/>
      <c r="Q10" s="2"/>
      <c r="R10" s="2"/>
      <c r="S10" s="2"/>
      <c r="T10" s="2"/>
      <c r="U10" s="2"/>
      <c r="V10" s="2"/>
    </row>
    <row r="11" spans="2:24" s="3" customFormat="1" ht="15.75" x14ac:dyDescent="0.25">
      <c r="B11" s="164" t="s">
        <v>125</v>
      </c>
      <c r="C11" s="164"/>
      <c r="D11" s="164"/>
      <c r="E11" s="164" t="s">
        <v>634</v>
      </c>
      <c r="F11" s="149"/>
      <c r="G11" s="149"/>
      <c r="H11" s="149"/>
      <c r="I11" s="149"/>
      <c r="J11" s="149"/>
      <c r="K11" s="149"/>
      <c r="L11" s="149"/>
      <c r="M11" s="149"/>
      <c r="N11" s="149"/>
      <c r="O11" s="149"/>
      <c r="P11" s="149"/>
      <c r="Q11" s="149"/>
      <c r="R11" s="149"/>
      <c r="S11" s="149"/>
      <c r="T11" s="149"/>
      <c r="U11" s="149"/>
      <c r="V11" s="149"/>
      <c r="W11" s="149"/>
    </row>
    <row r="12" spans="2:24" s="3" customFormat="1" x14ac:dyDescent="0.25">
      <c r="B12" s="151"/>
      <c r="C12" s="2"/>
      <c r="D12" s="2"/>
      <c r="E12" s="151"/>
      <c r="F12" s="2"/>
      <c r="G12" s="2"/>
      <c r="H12" s="2"/>
      <c r="I12" s="2"/>
      <c r="J12" s="2"/>
      <c r="K12" s="2"/>
      <c r="L12" s="2"/>
      <c r="M12" s="2"/>
      <c r="N12" s="2"/>
      <c r="O12" s="2"/>
      <c r="P12" s="2"/>
      <c r="Q12" s="2"/>
      <c r="R12" s="2"/>
      <c r="S12" s="2"/>
      <c r="T12" s="2"/>
      <c r="U12" s="2"/>
      <c r="V12" s="2"/>
    </row>
    <row r="13" spans="2:24" s="3" customFormat="1" ht="15" customHeight="1" x14ac:dyDescent="0.25">
      <c r="B13" s="140" t="s">
        <v>212</v>
      </c>
      <c r="C13" s="140"/>
      <c r="D13" s="140"/>
      <c r="E13" s="140" t="s">
        <v>635</v>
      </c>
      <c r="F13" s="48">
        <f t="shared" ref="F13" si="0">SUM(F14:F16)</f>
        <v>234.14385994815245</v>
      </c>
      <c r="G13" s="48">
        <f>SUM(G14:G16)</f>
        <v>236.99364114213495</v>
      </c>
      <c r="H13" s="48">
        <f t="shared" ref="H13:L13" si="1">SUM(H14:H16)</f>
        <v>264.72968115192583</v>
      </c>
      <c r="I13" s="48">
        <f t="shared" si="1"/>
        <v>259.8385978815669</v>
      </c>
      <c r="J13" s="48">
        <f t="shared" si="1"/>
        <v>255.37942635985991</v>
      </c>
      <c r="K13" s="48">
        <f t="shared" si="1"/>
        <v>281.67722642103394</v>
      </c>
      <c r="L13" s="48">
        <f t="shared" si="1"/>
        <v>301.72804806697582</v>
      </c>
      <c r="M13" s="48">
        <f t="shared" ref="M13" si="2">SUM(M14:M16)</f>
        <v>299.86254259188348</v>
      </c>
      <c r="N13" s="48">
        <f t="shared" ref="N13:T13" si="3">SUM(N14:N16)</f>
        <v>315.91536113648829</v>
      </c>
      <c r="O13" s="48">
        <f t="shared" si="3"/>
        <v>345.66626153465933</v>
      </c>
      <c r="P13" s="48">
        <f t="shared" si="3"/>
        <v>380.85130483116012</v>
      </c>
      <c r="Q13" s="48">
        <f t="shared" si="3"/>
        <v>422.05562366272522</v>
      </c>
      <c r="R13" s="48">
        <f t="shared" si="3"/>
        <v>447.51802266823074</v>
      </c>
      <c r="S13" s="48">
        <f t="shared" si="3"/>
        <v>476.81765908535067</v>
      </c>
      <c r="T13" s="48">
        <f t="shared" si="3"/>
        <v>537.65818004886432</v>
      </c>
      <c r="U13" s="48">
        <f t="shared" ref="U13:V13" si="4">SUM(U14:U16)</f>
        <v>557.0063642637225</v>
      </c>
      <c r="V13" s="48">
        <f t="shared" si="4"/>
        <v>549.69365408565886</v>
      </c>
      <c r="W13" s="48">
        <f t="shared" ref="W13" si="5">SUM(W14:W16)</f>
        <v>544.39701847965466</v>
      </c>
    </row>
    <row r="14" spans="2:24" s="1" customFormat="1" ht="15" customHeight="1" x14ac:dyDescent="0.25">
      <c r="C14" s="75" t="s">
        <v>191</v>
      </c>
      <c r="D14" s="75"/>
      <c r="E14" s="75" t="s">
        <v>642</v>
      </c>
      <c r="F14" s="46">
        <v>47.779717574379262</v>
      </c>
      <c r="G14" s="46">
        <v>52.653581420542437</v>
      </c>
      <c r="H14" s="46">
        <v>55.231348275537421</v>
      </c>
      <c r="I14" s="46">
        <v>44.1837118135483</v>
      </c>
      <c r="J14" s="46">
        <v>35.439296541664454</v>
      </c>
      <c r="K14" s="46">
        <v>23.230759091122007</v>
      </c>
      <c r="L14" s="46">
        <v>16.277158153978082</v>
      </c>
      <c r="M14" s="46">
        <v>15.939449157320905</v>
      </c>
      <c r="N14" s="46">
        <v>17.2514292765559</v>
      </c>
      <c r="O14" s="46">
        <v>28.491588435019001</v>
      </c>
      <c r="P14" s="46">
        <v>46.950969693806847</v>
      </c>
      <c r="Q14" s="46">
        <v>69.000734104701451</v>
      </c>
      <c r="R14" s="46">
        <v>89.88641247982244</v>
      </c>
      <c r="S14" s="46">
        <v>111.43790742579678</v>
      </c>
      <c r="T14" s="46">
        <v>134.49502491950747</v>
      </c>
      <c r="U14" s="46">
        <v>139.01704990737599</v>
      </c>
      <c r="V14" s="46">
        <v>140.98746856889983</v>
      </c>
      <c r="W14" s="46">
        <v>143.11927306711573</v>
      </c>
      <c r="X14" s="3"/>
    </row>
    <row r="15" spans="2:24" s="1" customFormat="1" ht="15" customHeight="1" x14ac:dyDescent="0.25">
      <c r="C15" s="75" t="s">
        <v>126</v>
      </c>
      <c r="D15" s="75"/>
      <c r="E15" s="75" t="s">
        <v>643</v>
      </c>
      <c r="F15" s="46">
        <v>140.58238997264399</v>
      </c>
      <c r="G15" s="46">
        <v>135.82748806974999</v>
      </c>
      <c r="H15" s="46">
        <v>157.49436221553501</v>
      </c>
      <c r="I15" s="46">
        <v>163.84984344250799</v>
      </c>
      <c r="J15" s="46">
        <v>173.91865158479834</v>
      </c>
      <c r="K15" s="46">
        <v>203.73506254735054</v>
      </c>
      <c r="L15" s="46">
        <v>206.79499932925719</v>
      </c>
      <c r="M15" s="46">
        <v>215.24101512978797</v>
      </c>
      <c r="N15" s="46">
        <v>216.67586190364301</v>
      </c>
      <c r="O15" s="46">
        <v>242.27854814965599</v>
      </c>
      <c r="P15" s="46">
        <v>263.73126970095575</v>
      </c>
      <c r="Q15" s="46">
        <v>263.75878996924098</v>
      </c>
      <c r="R15" s="46">
        <v>287.6694552748458</v>
      </c>
      <c r="S15" s="46">
        <v>304.38703730628191</v>
      </c>
      <c r="T15" s="46">
        <v>323.04775905961816</v>
      </c>
      <c r="U15" s="46">
        <v>335.44102291355398</v>
      </c>
      <c r="V15" s="46">
        <v>345.13531834246368</v>
      </c>
      <c r="W15" s="46">
        <v>327.26746244797278</v>
      </c>
      <c r="X15" s="264"/>
    </row>
    <row r="16" spans="2:24" s="1" customFormat="1" ht="15" customHeight="1" x14ac:dyDescent="0.25">
      <c r="C16" s="75" t="s">
        <v>127</v>
      </c>
      <c r="D16" s="75"/>
      <c r="E16" s="75" t="s">
        <v>644</v>
      </c>
      <c r="F16" s="46">
        <v>45.781752401129197</v>
      </c>
      <c r="G16" s="46">
        <v>48.512571651842499</v>
      </c>
      <c r="H16" s="46">
        <v>52.003970660853398</v>
      </c>
      <c r="I16" s="46">
        <v>51.805042625510602</v>
      </c>
      <c r="J16" s="46">
        <v>46.021478233397133</v>
      </c>
      <c r="K16" s="46">
        <v>54.711404782561424</v>
      </c>
      <c r="L16" s="46">
        <v>78.655890583740543</v>
      </c>
      <c r="M16" s="46">
        <v>68.68207830477462</v>
      </c>
      <c r="N16" s="46">
        <v>81.988069956289394</v>
      </c>
      <c r="O16" s="46">
        <v>74.896124949984298</v>
      </c>
      <c r="P16" s="46">
        <v>70.169065436397531</v>
      </c>
      <c r="Q16" s="46">
        <v>89.296099588782795</v>
      </c>
      <c r="R16" s="46">
        <v>69.962154913562458</v>
      </c>
      <c r="S16" s="46">
        <v>60.992714353271985</v>
      </c>
      <c r="T16" s="46">
        <v>80.115396069738694</v>
      </c>
      <c r="U16" s="46">
        <v>82.548291442792603</v>
      </c>
      <c r="V16" s="46">
        <v>63.570867174295351</v>
      </c>
      <c r="W16" s="46">
        <v>74.010282964566144</v>
      </c>
      <c r="X16" s="3"/>
    </row>
    <row r="17" spans="2:24" s="1" customFormat="1" ht="15" customHeight="1" x14ac:dyDescent="0.25">
      <c r="B17" s="141" t="s">
        <v>297</v>
      </c>
      <c r="C17" s="141"/>
      <c r="D17" s="141"/>
      <c r="E17" s="141" t="s">
        <v>636</v>
      </c>
      <c r="F17" s="48">
        <v>-28.115055999999999</v>
      </c>
      <c r="G17" s="48">
        <v>-15.32398852</v>
      </c>
      <c r="H17" s="48">
        <v>-33.891980420000003</v>
      </c>
      <c r="I17" s="48">
        <v>-44.665514500000008</v>
      </c>
      <c r="J17" s="48">
        <v>-61.164251460000003</v>
      </c>
      <c r="K17" s="48">
        <v>-88.93208122599998</v>
      </c>
      <c r="L17" s="48">
        <v>-74.121985370000004</v>
      </c>
      <c r="M17" s="48">
        <v>-83.20763535750001</v>
      </c>
      <c r="N17" s="48">
        <v>-54.579525359581801</v>
      </c>
      <c r="O17" s="48">
        <v>-35.660440819999998</v>
      </c>
      <c r="P17" s="48">
        <v>-37.932084549324479</v>
      </c>
      <c r="Q17" s="48">
        <v>-44.907072557290931</v>
      </c>
      <c r="R17" s="48">
        <v>-26.351241225675327</v>
      </c>
      <c r="S17" s="48">
        <v>-40.266378283415598</v>
      </c>
      <c r="T17" s="48">
        <v>-55.090561452952194</v>
      </c>
      <c r="U17" s="48">
        <v>-113.705436942161</v>
      </c>
      <c r="V17" s="48">
        <v>-104.754715314715</v>
      </c>
      <c r="W17" s="48">
        <v>-70.762346098563995</v>
      </c>
      <c r="X17" s="3"/>
    </row>
    <row r="18" spans="2:24" s="1" customFormat="1" ht="15" customHeight="1" x14ac:dyDescent="0.25">
      <c r="B18" s="141" t="s">
        <v>305</v>
      </c>
      <c r="C18" s="141"/>
      <c r="D18" s="141"/>
      <c r="E18" s="141" t="s">
        <v>637</v>
      </c>
      <c r="F18" s="48">
        <f t="shared" ref="F18:Q18" si="6">F17+F13</f>
        <v>206.02880394815244</v>
      </c>
      <c r="G18" s="48">
        <f t="shared" si="6"/>
        <v>221.66965262213495</v>
      </c>
      <c r="H18" s="48">
        <f t="shared" si="6"/>
        <v>230.83770073192582</v>
      </c>
      <c r="I18" s="48">
        <f t="shared" si="6"/>
        <v>215.1730833815669</v>
      </c>
      <c r="J18" s="48">
        <f t="shared" si="6"/>
        <v>194.2151748998599</v>
      </c>
      <c r="K18" s="48">
        <f t="shared" si="6"/>
        <v>192.74514519503396</v>
      </c>
      <c r="L18" s="48">
        <f t="shared" si="6"/>
        <v>227.60606269697581</v>
      </c>
      <c r="M18" s="48">
        <f t="shared" si="6"/>
        <v>216.65490723438347</v>
      </c>
      <c r="N18" s="48">
        <f t="shared" si="6"/>
        <v>261.33583577690649</v>
      </c>
      <c r="O18" s="48">
        <f t="shared" si="6"/>
        <v>310.00582071465931</v>
      </c>
      <c r="P18" s="48">
        <f t="shared" si="6"/>
        <v>342.91922028183563</v>
      </c>
      <c r="Q18" s="48">
        <f t="shared" si="6"/>
        <v>377.14855110543431</v>
      </c>
      <c r="R18" s="48">
        <f t="shared" ref="R18:T18" si="7">R17+R13</f>
        <v>421.16678144255542</v>
      </c>
      <c r="S18" s="48">
        <f t="shared" si="7"/>
        <v>436.55128080193509</v>
      </c>
      <c r="T18" s="48">
        <f t="shared" si="7"/>
        <v>482.56761859591211</v>
      </c>
      <c r="U18" s="48">
        <f t="shared" ref="U18:V18" si="8">U17+U13</f>
        <v>443.30092732156152</v>
      </c>
      <c r="V18" s="48">
        <f t="shared" si="8"/>
        <v>444.93893877094388</v>
      </c>
      <c r="W18" s="48">
        <f t="shared" ref="W18" si="9">W17+W13</f>
        <v>473.6346723810907</v>
      </c>
      <c r="X18" s="3"/>
    </row>
    <row r="19" spans="2:24" s="1" customFormat="1" ht="15" customHeight="1" x14ac:dyDescent="0.25">
      <c r="B19" s="141" t="s">
        <v>215</v>
      </c>
      <c r="C19" s="141"/>
      <c r="D19" s="141"/>
      <c r="E19" s="141" t="s">
        <v>638</v>
      </c>
      <c r="F19" s="48">
        <f t="shared" ref="F19" si="10">SUM(F20:F22)</f>
        <v>72.564093982872208</v>
      </c>
      <c r="G19" s="48">
        <f>SUM(G20:G22)</f>
        <v>86.168146717609289</v>
      </c>
      <c r="H19" s="48">
        <f t="shared" ref="H19:L19" si="11">SUM(H20:H22)</f>
        <v>76.589790353165498</v>
      </c>
      <c r="I19" s="48">
        <f t="shared" si="11"/>
        <v>92.199392557758699</v>
      </c>
      <c r="J19" s="48">
        <f t="shared" si="11"/>
        <v>48.987105541654671</v>
      </c>
      <c r="K19" s="48">
        <f t="shared" si="11"/>
        <v>58.197480447033762</v>
      </c>
      <c r="L19" s="48">
        <f t="shared" si="11"/>
        <v>68.307090379092415</v>
      </c>
      <c r="M19" s="48">
        <f t="shared" ref="M19:N19" si="12">SUM(M20:M22)</f>
        <v>85.800640537548418</v>
      </c>
      <c r="N19" s="48">
        <f t="shared" si="12"/>
        <v>71.555822350165997</v>
      </c>
      <c r="O19" s="48">
        <f t="shared" ref="O19:P19" si="13">SUM(O20:O22)</f>
        <v>72.577461792208098</v>
      </c>
      <c r="P19" s="48">
        <f t="shared" si="13"/>
        <v>96.992915318644151</v>
      </c>
      <c r="Q19" s="48">
        <f t="shared" ref="Q19" si="14">SUM(Q20:Q22)</f>
        <v>88.905412693359196</v>
      </c>
      <c r="R19" s="48">
        <f t="shared" ref="R19:V19" si="15">SUM(R20:R22)</f>
        <v>62.424989218837851</v>
      </c>
      <c r="S19" s="48">
        <f t="shared" si="15"/>
        <v>105.2824231641</v>
      </c>
      <c r="T19" s="48">
        <f t="shared" si="15"/>
        <v>121.79991622700001</v>
      </c>
      <c r="U19" s="48">
        <f t="shared" si="15"/>
        <v>98.829250782000003</v>
      </c>
      <c r="V19" s="48">
        <f t="shared" si="15"/>
        <v>79.695321491100003</v>
      </c>
      <c r="W19" s="48">
        <f t="shared" ref="W19" si="16">SUM(W20:W22)</f>
        <v>79.355996961900004</v>
      </c>
      <c r="X19" s="3"/>
    </row>
    <row r="20" spans="2:24" s="1" customFormat="1" ht="15" customHeight="1" x14ac:dyDescent="0.25">
      <c r="C20" s="75" t="s">
        <v>132</v>
      </c>
      <c r="D20" s="75"/>
      <c r="E20" s="75" t="s">
        <v>467</v>
      </c>
      <c r="F20" s="46">
        <v>50.298999999999999</v>
      </c>
      <c r="G20" s="46">
        <v>50.76</v>
      </c>
      <c r="H20" s="46">
        <v>48.777999999999999</v>
      </c>
      <c r="I20" s="46">
        <v>43.927999999999997</v>
      </c>
      <c r="J20" s="46">
        <v>39.634999999999998</v>
      </c>
      <c r="K20" s="46">
        <v>41.081000000000003</v>
      </c>
      <c r="L20" s="46">
        <v>49.003999999999998</v>
      </c>
      <c r="M20" s="46">
        <v>47.006999999999998</v>
      </c>
      <c r="N20" s="46">
        <v>42.515000000000001</v>
      </c>
      <c r="O20" s="46">
        <v>42.061</v>
      </c>
      <c r="P20" s="46">
        <v>45.914000000000001</v>
      </c>
      <c r="Q20" s="46">
        <v>46.896000000000001</v>
      </c>
      <c r="R20" s="46">
        <v>39.81</v>
      </c>
      <c r="S20" s="46">
        <v>44.417999999999999</v>
      </c>
      <c r="T20" s="46">
        <v>42.527999999999999</v>
      </c>
      <c r="U20" s="46">
        <v>40.707000000000001</v>
      </c>
      <c r="V20" s="46">
        <v>42.811</v>
      </c>
      <c r="W20" s="46">
        <v>39.441000000000003</v>
      </c>
      <c r="X20" s="3"/>
    </row>
    <row r="21" spans="2:24" s="1" customFormat="1" ht="15" customHeight="1" x14ac:dyDescent="0.25">
      <c r="C21" s="75" t="s">
        <v>287</v>
      </c>
      <c r="D21" s="75"/>
      <c r="E21" s="75" t="s">
        <v>645</v>
      </c>
      <c r="F21" s="46">
        <v>14.027300432872201</v>
      </c>
      <c r="G21" s="46">
        <v>28.248764557609299</v>
      </c>
      <c r="H21" s="46">
        <v>19.650745443165501</v>
      </c>
      <c r="I21" s="46">
        <v>42.097728147758701</v>
      </c>
      <c r="J21" s="46">
        <v>4.2902048316546759</v>
      </c>
      <c r="K21" s="46">
        <v>9.057695677033756</v>
      </c>
      <c r="L21" s="46">
        <v>11.386574919092419</v>
      </c>
      <c r="M21" s="46">
        <v>28.588550347548424</v>
      </c>
      <c r="N21" s="46">
        <v>20.931662500165999</v>
      </c>
      <c r="O21" s="46">
        <v>20.7512900322081</v>
      </c>
      <c r="P21" s="46">
        <v>39.062318348644162</v>
      </c>
      <c r="Q21" s="46">
        <v>26.612940193359201</v>
      </c>
      <c r="R21" s="46">
        <v>7.515938918837854</v>
      </c>
      <c r="S21" s="46">
        <v>44.126380244099998</v>
      </c>
      <c r="T21" s="46">
        <v>56.556749877000001</v>
      </c>
      <c r="U21" s="46">
        <v>36.934619081999998</v>
      </c>
      <c r="V21" s="46">
        <v>14.1369945611</v>
      </c>
      <c r="W21" s="46">
        <v>18.237963541900001</v>
      </c>
      <c r="X21" s="3"/>
    </row>
    <row r="22" spans="2:24" s="1" customFormat="1" ht="15" customHeight="1" x14ac:dyDescent="0.25">
      <c r="C22" s="75" t="s">
        <v>334</v>
      </c>
      <c r="D22" s="75"/>
      <c r="E22" s="75" t="s">
        <v>646</v>
      </c>
      <c r="F22" s="46">
        <v>8.237793550000001</v>
      </c>
      <c r="G22" s="46">
        <v>7.1593821599999998</v>
      </c>
      <c r="H22" s="46">
        <v>8.1610449100000011</v>
      </c>
      <c r="I22" s="46">
        <v>6.1736644099999998</v>
      </c>
      <c r="J22" s="46">
        <v>5.0619007099999997</v>
      </c>
      <c r="K22" s="46">
        <v>8.0587847700000008</v>
      </c>
      <c r="L22" s="46">
        <v>7.9165154600000003</v>
      </c>
      <c r="M22" s="46">
        <v>10.205090189999998</v>
      </c>
      <c r="N22" s="46">
        <v>8.1091598499999993</v>
      </c>
      <c r="O22" s="46">
        <v>9.7651717599999994</v>
      </c>
      <c r="P22" s="46">
        <v>12.01659697</v>
      </c>
      <c r="Q22" s="46">
        <v>15.3964725</v>
      </c>
      <c r="R22" s="46">
        <v>15.099050299999998</v>
      </c>
      <c r="S22" s="46">
        <v>16.738042920000002</v>
      </c>
      <c r="T22" s="46">
        <v>22.715166349999997</v>
      </c>
      <c r="U22" s="46">
        <v>21.187631700000001</v>
      </c>
      <c r="V22" s="46">
        <v>22.74732693</v>
      </c>
      <c r="W22" s="46">
        <v>21.677033420000001</v>
      </c>
      <c r="X22" s="3"/>
    </row>
    <row r="23" spans="2:24" s="1" customFormat="1" ht="15" customHeight="1" x14ac:dyDescent="0.25">
      <c r="B23" s="141" t="s">
        <v>216</v>
      </c>
      <c r="C23" s="141"/>
      <c r="D23" s="141"/>
      <c r="E23" s="141" t="s">
        <v>639</v>
      </c>
      <c r="F23" s="48">
        <f t="shared" ref="F23" si="17">F24+F25</f>
        <v>-74.106873018499996</v>
      </c>
      <c r="G23" s="48">
        <f>G24+G25</f>
        <v>-76.304831748299904</v>
      </c>
      <c r="H23" s="48">
        <f t="shared" ref="H23:L23" si="18">H24+H25</f>
        <v>-76.430103502600005</v>
      </c>
      <c r="I23" s="48">
        <f t="shared" si="18"/>
        <v>-81.37183515000001</v>
      </c>
      <c r="J23" s="48">
        <f t="shared" si="18"/>
        <v>-87.942122771800001</v>
      </c>
      <c r="K23" s="48">
        <f t="shared" si="18"/>
        <v>-85.182270377599991</v>
      </c>
      <c r="L23" s="48">
        <f t="shared" si="18"/>
        <v>-87.833666960000002</v>
      </c>
      <c r="M23" s="48">
        <f t="shared" ref="M23:O23" si="19">M24+M25</f>
        <v>-91.435658105900004</v>
      </c>
      <c r="N23" s="48">
        <f t="shared" si="19"/>
        <v>-92.902869933899993</v>
      </c>
      <c r="O23" s="48">
        <f t="shared" si="19"/>
        <v>-103.40400165279999</v>
      </c>
      <c r="P23" s="48">
        <f t="shared" ref="P23:U23" si="20">P24+P25</f>
        <v>-108.75210340109999</v>
      </c>
      <c r="Q23" s="48">
        <f t="shared" si="20"/>
        <v>-118.17666179070001</v>
      </c>
      <c r="R23" s="48">
        <f t="shared" si="20"/>
        <v>-132.6768450353</v>
      </c>
      <c r="S23" s="48">
        <f t="shared" si="20"/>
        <v>-146.88001536359999</v>
      </c>
      <c r="T23" s="48">
        <f t="shared" si="20"/>
        <v>-152.30843105209999</v>
      </c>
      <c r="U23" s="48">
        <f t="shared" si="20"/>
        <v>-168.35980361430001</v>
      </c>
      <c r="V23" s="48">
        <f t="shared" ref="V23" si="21">V24+V25</f>
        <v>-166.18554703999999</v>
      </c>
      <c r="W23" s="48">
        <f t="shared" ref="W23" si="22">W24+W25</f>
        <v>-169.43200698850001</v>
      </c>
      <c r="X23" s="3"/>
    </row>
    <row r="24" spans="2:24" s="1" customFormat="1" ht="15" customHeight="1" x14ac:dyDescent="0.25">
      <c r="C24" s="75" t="s">
        <v>193</v>
      </c>
      <c r="D24" s="75"/>
      <c r="E24" s="75" t="s">
        <v>647</v>
      </c>
      <c r="F24" s="91">
        <v>-49.174999999999997</v>
      </c>
      <c r="G24" s="91">
        <v>-49.930999999999997</v>
      </c>
      <c r="H24" s="91">
        <v>-49.231254300000003</v>
      </c>
      <c r="I24" s="91">
        <v>-52.056445890000006</v>
      </c>
      <c r="J24" s="46">
        <v>-57.647288249999995</v>
      </c>
      <c r="K24" s="46">
        <v>-57.507864849999997</v>
      </c>
      <c r="L24" s="46">
        <v>-59.202941690000003</v>
      </c>
      <c r="M24" s="46">
        <v>-60.999680410000003</v>
      </c>
      <c r="N24" s="46">
        <v>-64.467486019999996</v>
      </c>
      <c r="O24" s="46">
        <v>-66.912641440000002</v>
      </c>
      <c r="P24" s="46">
        <v>-72.112215379999995</v>
      </c>
      <c r="Q24" s="46">
        <v>-76.453633570000008</v>
      </c>
      <c r="R24" s="46">
        <v>-88.705798619999996</v>
      </c>
      <c r="S24" s="46">
        <v>-92.690288100000004</v>
      </c>
      <c r="T24" s="46">
        <v>-94.444895329999994</v>
      </c>
      <c r="U24" s="46">
        <v>-103.13247380000001</v>
      </c>
      <c r="V24" s="46">
        <v>-108.61116475999999</v>
      </c>
      <c r="W24" s="46">
        <v>-109.7777032</v>
      </c>
      <c r="X24" s="3"/>
    </row>
    <row r="25" spans="2:24" s="1" customFormat="1" ht="15" customHeight="1" x14ac:dyDescent="0.25">
      <c r="C25" s="75" t="s">
        <v>194</v>
      </c>
      <c r="D25" s="75"/>
      <c r="E25" s="75" t="s">
        <v>626</v>
      </c>
      <c r="F25" s="91">
        <v>-24.931873018499999</v>
      </c>
      <c r="G25" s="91">
        <v>-26.373831748299899</v>
      </c>
      <c r="H25" s="91">
        <v>-27.198849202600002</v>
      </c>
      <c r="I25" s="91">
        <v>-29.31538926</v>
      </c>
      <c r="J25" s="46">
        <f>-29.7888345218-0.506</f>
        <v>-30.294834521799999</v>
      </c>
      <c r="K25" s="46">
        <v>-27.674405527600001</v>
      </c>
      <c r="L25" s="46">
        <v>-28.630725269999996</v>
      </c>
      <c r="M25" s="46">
        <v>-30.435977695900004</v>
      </c>
      <c r="N25" s="46">
        <v>-28.435383913900001</v>
      </c>
      <c r="O25" s="46">
        <v>-36.491360212799997</v>
      </c>
      <c r="P25" s="46">
        <v>-36.639888021099999</v>
      </c>
      <c r="Q25" s="46">
        <v>-41.723028220700002</v>
      </c>
      <c r="R25" s="46">
        <v>-43.971046415300009</v>
      </c>
      <c r="S25" s="46">
        <v>-54.189727263599998</v>
      </c>
      <c r="T25" s="46">
        <v>-57.863535722099989</v>
      </c>
      <c r="U25" s="46">
        <v>-65.227329814300006</v>
      </c>
      <c r="V25" s="46">
        <v>-57.574382280000002</v>
      </c>
      <c r="W25" s="46">
        <v>-59.654303788500002</v>
      </c>
      <c r="X25" s="3"/>
    </row>
    <row r="26" spans="2:24" ht="15" customHeight="1" x14ac:dyDescent="0.25">
      <c r="C26" s="75" t="s">
        <v>130</v>
      </c>
      <c r="D26" s="75"/>
      <c r="E26" s="75" t="s">
        <v>648</v>
      </c>
      <c r="F26" s="46">
        <v>-11.126202603309199</v>
      </c>
      <c r="G26" s="49">
        <v>-13.992855945626999</v>
      </c>
      <c r="H26" s="46">
        <v>-21.681999999999999</v>
      </c>
      <c r="I26" s="46">
        <v>-20.789000000000001</v>
      </c>
      <c r="J26" s="46">
        <f>-11.848+0.506</f>
        <v>-11.342000000000001</v>
      </c>
      <c r="K26" s="46">
        <v>-27.368346710875802</v>
      </c>
      <c r="L26" s="46">
        <v>-17.072355365020265</v>
      </c>
      <c r="M26" s="46">
        <v>-5.6814956496106417</v>
      </c>
      <c r="N26" s="46">
        <v>-21.009059877898199</v>
      </c>
      <c r="O26" s="46">
        <v>-3.7177880896942899</v>
      </c>
      <c r="P26" s="46">
        <v>-28.998182801330127</v>
      </c>
      <c r="Q26" s="46">
        <v>-26.037311427233231</v>
      </c>
      <c r="R26" s="46">
        <v>-4.7980877</v>
      </c>
      <c r="S26" s="46">
        <v>-32.630079748213099</v>
      </c>
      <c r="T26" s="46">
        <v>-32.179150657591308</v>
      </c>
      <c r="U26" s="46">
        <v>-33.8239727413483</v>
      </c>
      <c r="V26" s="46">
        <v>-32.746970800099703</v>
      </c>
      <c r="W26" s="46">
        <v>-16.731543732336807</v>
      </c>
      <c r="X26" s="3"/>
    </row>
    <row r="27" spans="2:24" ht="15" customHeight="1" x14ac:dyDescent="0.25">
      <c r="C27" s="75" t="s">
        <v>209</v>
      </c>
      <c r="D27" s="75"/>
      <c r="E27" s="75" t="s">
        <v>649</v>
      </c>
      <c r="F27" s="46">
        <v>7.2757713199999996</v>
      </c>
      <c r="G27" s="49">
        <v>-7.5216976000000004</v>
      </c>
      <c r="H27" s="46">
        <v>4.6611806700000002</v>
      </c>
      <c r="I27" s="46">
        <v>3.2265451600000001</v>
      </c>
      <c r="J27" s="46">
        <v>1.5024112999999999</v>
      </c>
      <c r="K27" s="46">
        <v>-7.7221174599999998</v>
      </c>
      <c r="L27" s="46">
        <v>-17.882687350000001</v>
      </c>
      <c r="M27" s="46">
        <v>-16.411127950000001</v>
      </c>
      <c r="N27" s="46">
        <v>6.1924199499999997</v>
      </c>
      <c r="O27" s="46">
        <v>-9.6634750199999999</v>
      </c>
      <c r="P27" s="46">
        <v>-11.345805049999999</v>
      </c>
      <c r="Q27" s="46">
        <v>-7.0109504578098996</v>
      </c>
      <c r="R27" s="46">
        <v>-8.4477112661065608</v>
      </c>
      <c r="S27" s="46">
        <v>-11.758267193893399</v>
      </c>
      <c r="T27" s="46">
        <v>-17.201000000000001</v>
      </c>
      <c r="U27" s="46">
        <v>21.653260719999999</v>
      </c>
      <c r="V27" s="46">
        <v>0.92498165755731954</v>
      </c>
      <c r="W27" s="46">
        <v>-17.63</v>
      </c>
      <c r="X27" s="3"/>
    </row>
    <row r="28" spans="2:24" ht="15" customHeight="1" x14ac:dyDescent="0.25">
      <c r="C28" s="75" t="s">
        <v>396</v>
      </c>
      <c r="D28" s="75"/>
      <c r="E28" s="75" t="s">
        <v>650</v>
      </c>
      <c r="F28" s="46">
        <v>-0.71499999999999997</v>
      </c>
      <c r="G28" s="46">
        <v>-0.127</v>
      </c>
      <c r="H28" s="46">
        <v>-1.4019999999999999</v>
      </c>
      <c r="I28" s="46">
        <v>-0.11</v>
      </c>
      <c r="J28" s="46">
        <v>-0.97299999999999998</v>
      </c>
      <c r="K28" s="46">
        <v>-0.04</v>
      </c>
      <c r="L28" s="46">
        <v>-2.3E-2</v>
      </c>
      <c r="M28" s="46">
        <v>-9.9109999999999996</v>
      </c>
      <c r="N28" s="46">
        <v>-0.309</v>
      </c>
      <c r="O28" s="46">
        <v>-18.027999999999999</v>
      </c>
      <c r="P28" s="46">
        <v>0.55600000000000005</v>
      </c>
      <c r="Q28" s="46">
        <v>-5.7160000000000002</v>
      </c>
      <c r="R28" s="46">
        <v>-9.76</v>
      </c>
      <c r="S28" s="46">
        <v>6.0149999999999997</v>
      </c>
      <c r="T28" s="46">
        <v>3.1230000000000002</v>
      </c>
      <c r="U28" s="46">
        <v>1.31</v>
      </c>
      <c r="V28" s="46">
        <v>0.433</v>
      </c>
      <c r="W28" s="46">
        <v>7.8E-2</v>
      </c>
      <c r="X28" s="3"/>
    </row>
    <row r="29" spans="2:24" s="1" customFormat="1" ht="15" customHeight="1" x14ac:dyDescent="0.25">
      <c r="B29" s="141" t="s">
        <v>217</v>
      </c>
      <c r="C29" s="141"/>
      <c r="D29" s="141"/>
      <c r="E29" s="141" t="s">
        <v>640</v>
      </c>
      <c r="F29" s="48">
        <f t="shared" ref="F29:Q29" si="23">F18+F19+F23+F26+F27+F28</f>
        <v>199.92059362921546</v>
      </c>
      <c r="G29" s="48">
        <f t="shared" si="23"/>
        <v>209.89141404581736</v>
      </c>
      <c r="H29" s="48">
        <f t="shared" si="23"/>
        <v>212.57456825249136</v>
      </c>
      <c r="I29" s="48">
        <f t="shared" si="23"/>
        <v>208.32818594932553</v>
      </c>
      <c r="J29" s="48">
        <f t="shared" si="23"/>
        <v>144.44756896971455</v>
      </c>
      <c r="K29" s="48">
        <f t="shared" si="23"/>
        <v>130.62989109359194</v>
      </c>
      <c r="L29" s="48">
        <f t="shared" si="23"/>
        <v>173.10144340104796</v>
      </c>
      <c r="M29" s="48">
        <f t="shared" si="23"/>
        <v>179.01626606642122</v>
      </c>
      <c r="N29" s="48">
        <f t="shared" si="23"/>
        <v>224.8631482652743</v>
      </c>
      <c r="O29" s="48">
        <f t="shared" si="23"/>
        <v>247.77001774437312</v>
      </c>
      <c r="P29" s="48">
        <f t="shared" si="23"/>
        <v>291.37204434804966</v>
      </c>
      <c r="Q29" s="48">
        <f t="shared" si="23"/>
        <v>309.11304012305038</v>
      </c>
      <c r="R29" s="48">
        <f t="shared" ref="R29:T29" si="24">R18+R19+R23+R26+R27+R28</f>
        <v>327.90912665998673</v>
      </c>
      <c r="S29" s="48">
        <f t="shared" si="24"/>
        <v>356.58034166032849</v>
      </c>
      <c r="T29" s="48">
        <f t="shared" si="24"/>
        <v>405.8019531132208</v>
      </c>
      <c r="U29" s="48">
        <f t="shared" ref="U29:V29" si="25">U18+U19+U23+U26+U27+U28</f>
        <v>362.90966246791322</v>
      </c>
      <c r="V29" s="48">
        <f t="shared" si="25"/>
        <v>327.05972407950156</v>
      </c>
      <c r="W29" s="48">
        <f t="shared" ref="W29" si="26">W18+W19+W23+W26+W27+W28</f>
        <v>349.27511862215385</v>
      </c>
      <c r="X29" s="3"/>
    </row>
    <row r="30" spans="2:24" s="1" customFormat="1" ht="15" customHeight="1" x14ac:dyDescent="0.25">
      <c r="C30" s="75" t="s">
        <v>195</v>
      </c>
      <c r="D30" s="75"/>
      <c r="E30" s="75" t="s">
        <v>651</v>
      </c>
      <c r="F30" s="46">
        <v>-39.554000000000002</v>
      </c>
      <c r="G30" s="46">
        <v>-44.391999999999996</v>
      </c>
      <c r="H30" s="46">
        <v>-47.215672336106508</v>
      </c>
      <c r="I30" s="46">
        <v>-46.652408358860342</v>
      </c>
      <c r="J30" s="46">
        <v>-23.467857219714571</v>
      </c>
      <c r="K30" s="46">
        <v>-38.710755943591899</v>
      </c>
      <c r="L30" s="46">
        <v>-69.514385091047984</v>
      </c>
      <c r="M30" s="46">
        <v>-35.611946476421231</v>
      </c>
      <c r="N30" s="46">
        <v>-62.530634285274402</v>
      </c>
      <c r="O30" s="46">
        <v>-72.013659184372898</v>
      </c>
      <c r="P30" s="46">
        <v>-99.5632597280498</v>
      </c>
      <c r="Q30" s="46">
        <v>-98.865673693050198</v>
      </c>
      <c r="R30" s="46">
        <v>-86.470925279986631</v>
      </c>
      <c r="S30" s="46">
        <v>-91.639629760328503</v>
      </c>
      <c r="T30" s="46">
        <v>-104.2778484432209</v>
      </c>
      <c r="U30" s="46">
        <v>-91.626506508913096</v>
      </c>
      <c r="V30" s="46">
        <v>-72.934888839501838</v>
      </c>
      <c r="W30" s="46">
        <v>-80.485821822153767</v>
      </c>
      <c r="X30" s="3"/>
    </row>
    <row r="31" spans="2:24" s="1" customFormat="1" ht="15" customHeight="1" x14ac:dyDescent="0.25">
      <c r="C31" s="75" t="s">
        <v>196</v>
      </c>
      <c r="D31" s="75"/>
      <c r="E31" s="75" t="s">
        <v>652</v>
      </c>
      <c r="F31" s="91">
        <v>-39.192</v>
      </c>
      <c r="G31" s="91">
        <v>-40.274000000000001</v>
      </c>
      <c r="H31" s="91">
        <v>-42.339745700000002</v>
      </c>
      <c r="I31" s="91">
        <v>-42.010554109999994</v>
      </c>
      <c r="J31" s="46">
        <v>-39.98271175</v>
      </c>
      <c r="K31" s="46">
        <v>-30.303135149999999</v>
      </c>
      <c r="L31" s="46">
        <v>-30.111058310000001</v>
      </c>
      <c r="M31" s="46">
        <v>-37.417319589999998</v>
      </c>
      <c r="N31" s="46">
        <v>-39.926513980000003</v>
      </c>
      <c r="O31" s="46">
        <v>-39.416358559999999</v>
      </c>
      <c r="P31" s="46">
        <v>-40.117784620000002</v>
      </c>
      <c r="Q31" s="46">
        <v>-47.816366430000002</v>
      </c>
      <c r="R31" s="46">
        <v>-57.862201380000002</v>
      </c>
      <c r="S31" s="46">
        <v>-62.758711900000002</v>
      </c>
      <c r="T31" s="46">
        <v>-82.53910467</v>
      </c>
      <c r="U31" s="46">
        <v>-73.330526199999994</v>
      </c>
      <c r="V31" s="46">
        <v>-63.448835240000001</v>
      </c>
      <c r="W31" s="46">
        <v>-66.153296799999993</v>
      </c>
      <c r="X31" s="3"/>
    </row>
    <row r="32" spans="2:24" s="1" customFormat="1" ht="15" customHeight="1" x14ac:dyDescent="0.25">
      <c r="C32" s="75" t="s">
        <v>333</v>
      </c>
      <c r="D32" s="75"/>
      <c r="E32" s="75" t="s">
        <v>548</v>
      </c>
      <c r="F32" s="46">
        <v>0</v>
      </c>
      <c r="G32" s="46">
        <v>0</v>
      </c>
      <c r="H32" s="46">
        <v>0</v>
      </c>
      <c r="I32" s="46">
        <v>0</v>
      </c>
      <c r="J32" s="46">
        <v>0</v>
      </c>
      <c r="K32" s="46">
        <v>0</v>
      </c>
      <c r="L32" s="46">
        <v>0</v>
      </c>
      <c r="M32" s="46">
        <v>0</v>
      </c>
      <c r="N32" s="46">
        <v>0</v>
      </c>
      <c r="O32" s="46">
        <v>0</v>
      </c>
      <c r="P32" s="46">
        <v>-0.23100000000000001</v>
      </c>
      <c r="Q32" s="46">
        <v>-0.46400000000000002</v>
      </c>
      <c r="R32" s="46">
        <v>-0.41399999999999998</v>
      </c>
      <c r="S32" s="46">
        <v>-0.53</v>
      </c>
      <c r="T32" s="46">
        <v>-0.83699999999999997</v>
      </c>
      <c r="U32" s="46">
        <v>-0.68</v>
      </c>
      <c r="V32" s="46">
        <v>-0.65300000000000002</v>
      </c>
      <c r="W32" s="46">
        <v>-0.75800000000000001</v>
      </c>
      <c r="X32" s="3"/>
    </row>
    <row r="33" spans="2:24" ht="15" customHeight="1" x14ac:dyDescent="0.25">
      <c r="B33" s="157" t="s">
        <v>218</v>
      </c>
      <c r="C33" s="157"/>
      <c r="D33" s="157"/>
      <c r="E33" s="157" t="s">
        <v>615</v>
      </c>
      <c r="F33" s="165">
        <f t="shared" ref="F33:Q33" si="27">SUM(F29:F32)</f>
        <v>121.17459362921545</v>
      </c>
      <c r="G33" s="165">
        <f t="shared" si="27"/>
        <v>125.22541404581736</v>
      </c>
      <c r="H33" s="165">
        <f t="shared" si="27"/>
        <v>123.01915021638484</v>
      </c>
      <c r="I33" s="165">
        <f t="shared" si="27"/>
        <v>119.66522348046522</v>
      </c>
      <c r="J33" s="165">
        <f t="shared" si="27"/>
        <v>80.996999999999986</v>
      </c>
      <c r="K33" s="165">
        <f t="shared" si="27"/>
        <v>61.616000000000042</v>
      </c>
      <c r="L33" s="165">
        <f t="shared" si="27"/>
        <v>73.475999999999971</v>
      </c>
      <c r="M33" s="165">
        <f t="shared" si="27"/>
        <v>105.98699999999999</v>
      </c>
      <c r="N33" s="165">
        <f t="shared" si="27"/>
        <v>122.40599999999989</v>
      </c>
      <c r="O33" s="165">
        <f t="shared" si="27"/>
        <v>136.34000000000023</v>
      </c>
      <c r="P33" s="165">
        <f t="shared" si="27"/>
        <v>151.45999999999987</v>
      </c>
      <c r="Q33" s="165">
        <f t="shared" si="27"/>
        <v>161.96700000000016</v>
      </c>
      <c r="R33" s="165">
        <f t="shared" ref="R33:T33" si="28">SUM(R29:R32)</f>
        <v>183.16200000000009</v>
      </c>
      <c r="S33" s="165">
        <f t="shared" si="28"/>
        <v>201.65199999999999</v>
      </c>
      <c r="T33" s="165">
        <f t="shared" si="28"/>
        <v>218.14799999999994</v>
      </c>
      <c r="U33" s="165">
        <f t="shared" ref="U33:V33" si="29">SUM(U29:U32)</f>
        <v>197.2726297590001</v>
      </c>
      <c r="V33" s="165">
        <f t="shared" si="29"/>
        <v>190.02299999999974</v>
      </c>
      <c r="W33" s="165">
        <f t="shared" ref="W33" si="30">SUM(W29:W32)</f>
        <v>201.8780000000001</v>
      </c>
      <c r="X33" s="3"/>
    </row>
    <row r="34" spans="2:24" ht="15" customHeight="1" x14ac:dyDescent="0.25">
      <c r="C34" s="75" t="s">
        <v>211</v>
      </c>
      <c r="D34" s="75"/>
      <c r="E34" s="75" t="s">
        <v>653</v>
      </c>
      <c r="F34" s="46">
        <v>-1.6209999999999987</v>
      </c>
      <c r="G34" s="46">
        <v>7.5</v>
      </c>
      <c r="H34" s="46">
        <v>7.5</v>
      </c>
      <c r="I34" s="46">
        <v>25.936</v>
      </c>
      <c r="J34" s="46">
        <v>0</v>
      </c>
      <c r="K34" s="46">
        <v>0</v>
      </c>
      <c r="L34" s="46">
        <v>0</v>
      </c>
      <c r="M34" s="46">
        <v>0</v>
      </c>
      <c r="N34" s="46">
        <v>0</v>
      </c>
      <c r="O34" s="46">
        <v>0</v>
      </c>
      <c r="P34" s="46">
        <v>0</v>
      </c>
      <c r="Q34" s="46">
        <v>0</v>
      </c>
      <c r="R34" s="46">
        <v>0</v>
      </c>
      <c r="S34" s="46">
        <v>0</v>
      </c>
      <c r="T34" s="46">
        <v>0</v>
      </c>
      <c r="U34" s="46">
        <v>0</v>
      </c>
      <c r="V34" s="46">
        <v>0</v>
      </c>
      <c r="W34" s="46">
        <v>0</v>
      </c>
      <c r="X34" s="3"/>
    </row>
    <row r="35" spans="2:24" x14ac:dyDescent="0.25">
      <c r="B35" s="157" t="s">
        <v>219</v>
      </c>
      <c r="C35" s="157"/>
      <c r="D35" s="157"/>
      <c r="E35" s="157" t="s">
        <v>641</v>
      </c>
      <c r="F35" s="165">
        <f t="shared" ref="F35:J35" si="31">SUM(F33:F34)</f>
        <v>119.55359362921546</v>
      </c>
      <c r="G35" s="165">
        <f t="shared" si="31"/>
        <v>132.72541404581736</v>
      </c>
      <c r="H35" s="165">
        <f t="shared" si="31"/>
        <v>130.51915021638484</v>
      </c>
      <c r="I35" s="165">
        <f t="shared" si="31"/>
        <v>145.60122348046522</v>
      </c>
      <c r="J35" s="165">
        <f t="shared" si="31"/>
        <v>80.996999999999986</v>
      </c>
      <c r="K35" s="165">
        <f>SUM(K33:K34)</f>
        <v>61.616000000000042</v>
      </c>
      <c r="L35" s="165">
        <f t="shared" ref="L35:M35" si="32">SUM(L33:L34)</f>
        <v>73.475999999999971</v>
      </c>
      <c r="M35" s="165">
        <f t="shared" si="32"/>
        <v>105.98699999999999</v>
      </c>
      <c r="N35" s="165">
        <f t="shared" ref="N35:O35" si="33">SUM(N33:N34)</f>
        <v>122.40599999999989</v>
      </c>
      <c r="O35" s="165">
        <f t="shared" si="33"/>
        <v>136.34000000000023</v>
      </c>
      <c r="P35" s="165">
        <f t="shared" ref="P35:U35" si="34">SUM(P33:P34)</f>
        <v>151.45999999999987</v>
      </c>
      <c r="Q35" s="165">
        <f t="shared" si="34"/>
        <v>161.96700000000016</v>
      </c>
      <c r="R35" s="165">
        <f t="shared" si="34"/>
        <v>183.16200000000009</v>
      </c>
      <c r="S35" s="165">
        <f t="shared" si="34"/>
        <v>201.65199999999999</v>
      </c>
      <c r="T35" s="165">
        <f t="shared" si="34"/>
        <v>218.14799999999994</v>
      </c>
      <c r="U35" s="165">
        <f t="shared" si="34"/>
        <v>197.2726297590001</v>
      </c>
      <c r="V35" s="165">
        <f t="shared" ref="V35" si="35">SUM(V33:V34)</f>
        <v>190.02299999999974</v>
      </c>
      <c r="W35" s="165">
        <f t="shared" ref="W35" si="36">SUM(W33:W34)</f>
        <v>201.8780000000001</v>
      </c>
      <c r="X35" s="3"/>
    </row>
    <row r="38" spans="2:24" x14ac:dyDescent="0.25">
      <c r="F38" s="12"/>
      <c r="G38" s="12"/>
      <c r="H38" s="12"/>
      <c r="I38" s="12"/>
      <c r="J38" s="12"/>
      <c r="K38" s="12"/>
      <c r="L38" s="12"/>
      <c r="M38" s="12"/>
      <c r="N38" s="12"/>
      <c r="O38" s="12"/>
      <c r="P38" s="12"/>
      <c r="Q38" s="12"/>
      <c r="R38" s="12"/>
      <c r="S38" s="12"/>
      <c r="T38" s="12"/>
      <c r="U38" s="12"/>
    </row>
    <row r="39" spans="2:24" ht="5.0999999999999996" customHeight="1" x14ac:dyDescent="0.25">
      <c r="F39" s="12"/>
      <c r="G39" s="12"/>
      <c r="H39" s="12"/>
      <c r="I39" s="12"/>
      <c r="J39" s="12"/>
      <c r="K39" s="12"/>
      <c r="L39" s="12"/>
      <c r="M39" s="12"/>
      <c r="N39" s="12"/>
      <c r="O39" s="12"/>
      <c r="P39" s="12"/>
      <c r="Q39" s="12"/>
      <c r="R39" s="12"/>
      <c r="S39" s="12"/>
      <c r="T39" s="12"/>
      <c r="U39" s="12"/>
    </row>
    <row r="40" spans="2:24" x14ac:dyDescent="0.25">
      <c r="B40" s="217" t="s">
        <v>654</v>
      </c>
      <c r="F40" s="213"/>
      <c r="G40" s="213"/>
      <c r="H40" s="213"/>
      <c r="I40" s="213"/>
    </row>
    <row r="42" spans="2:24" x14ac:dyDescent="0.25">
      <c r="B42" s="1" t="s">
        <v>435</v>
      </c>
    </row>
    <row r="43" spans="2:24" ht="5.0999999999999996" customHeight="1" x14ac:dyDescent="0.25"/>
    <row r="44" spans="2:24" x14ac:dyDescent="0.25">
      <c r="B44" s="84" t="s">
        <v>655</v>
      </c>
    </row>
  </sheetData>
  <phoneticPr fontId="34" type="noConversion"/>
  <hyperlinks>
    <hyperlink ref="F6" location="'Índice - Index'!A1" display="Index" xr:uid="{DEA3BF4B-88F7-4F08-A899-01395D724EF5}"/>
    <hyperlink ref="W6" location="'Índice - Index'!A1" display="Index" xr:uid="{C3405491-44EF-4683-A5F0-99531D69B2E4}"/>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13:S13 T13:W1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5F7F-F211-48B1-A378-1B62107FCAB3}">
  <sheetPr codeName="Planilha7">
    <tabColor theme="3" tint="0.39997558519241921"/>
    <pageSetUpPr autoPageBreaks="0"/>
  </sheetPr>
  <dimension ref="B2:U46"/>
  <sheetViews>
    <sheetView showGridLines="0" zoomScale="80" zoomScaleNormal="80" workbookViewId="0">
      <pane xSplit="5" ySplit="9" topLeftCell="N10" activePane="bottomRight" state="frozen"/>
      <selection activeCell="D1" sqref="D1"/>
      <selection pane="topRight" activeCell="D1" sqref="D1"/>
      <selection pane="bottomLeft" activeCell="D1" sqref="D1"/>
      <selection pane="bottomRight" activeCell="R9" sqref="R9"/>
    </sheetView>
  </sheetViews>
  <sheetFormatPr defaultRowHeight="15" outlineLevelCol="1" x14ac:dyDescent="0.25"/>
  <cols>
    <col min="1" max="1" width="2.7109375" customWidth="1"/>
    <col min="2" max="2" width="1.7109375" customWidth="1" outlineLevel="1"/>
    <col min="3" max="3" width="61.5703125" customWidth="1" outlineLevel="1"/>
    <col min="4" max="4" width="1.7109375" customWidth="1"/>
    <col min="5" max="5" width="45.85546875" customWidth="1" outlineLevel="1"/>
    <col min="6" max="12" width="12" customWidth="1"/>
    <col min="13" max="18" width="11.140625" customWidth="1"/>
    <col min="21" max="21" width="13.140625" bestFit="1" customWidth="1"/>
  </cols>
  <sheetData>
    <row r="2" spans="2:21" x14ac:dyDescent="0.25">
      <c r="B2" t="s">
        <v>429</v>
      </c>
    </row>
    <row r="3" spans="2:21" ht="21" x14ac:dyDescent="0.35">
      <c r="C3" s="4"/>
      <c r="D3" s="4"/>
      <c r="E3" s="4"/>
    </row>
    <row r="4" spans="2:21" ht="15" customHeight="1" x14ac:dyDescent="0.25">
      <c r="C4" s="3"/>
      <c r="D4" s="3"/>
      <c r="E4" s="3"/>
    </row>
    <row r="5" spans="2:21" x14ac:dyDescent="0.25">
      <c r="C5" s="2"/>
      <c r="D5" s="2"/>
      <c r="E5" s="2"/>
    </row>
    <row r="6" spans="2:21" x14ac:dyDescent="0.25">
      <c r="F6" s="236" t="s">
        <v>486</v>
      </c>
      <c r="R6" s="252" t="s">
        <v>486</v>
      </c>
    </row>
    <row r="7" spans="2:21" ht="17.25" customHeight="1" x14ac:dyDescent="0.3">
      <c r="B7" s="40" t="s">
        <v>405</v>
      </c>
      <c r="C7" s="40"/>
      <c r="D7" s="40"/>
      <c r="E7" s="40" t="s">
        <v>656</v>
      </c>
    </row>
    <row r="8" spans="2:21" ht="17.25" customHeight="1" x14ac:dyDescent="0.25">
      <c r="B8" s="215" t="s">
        <v>434</v>
      </c>
      <c r="C8" s="216"/>
      <c r="D8" s="216"/>
      <c r="E8" s="215" t="s">
        <v>435</v>
      </c>
      <c r="F8" s="146"/>
      <c r="G8" s="146"/>
      <c r="H8" s="146"/>
      <c r="I8" s="146"/>
      <c r="J8" s="146"/>
      <c r="K8" s="146"/>
      <c r="L8" s="146"/>
      <c r="M8" s="146"/>
      <c r="N8" s="146"/>
      <c r="O8" s="146"/>
      <c r="P8" s="146"/>
      <c r="Q8" s="146"/>
      <c r="R8" s="146"/>
    </row>
    <row r="9" spans="2:21" s="3" customFormat="1" x14ac:dyDescent="0.25">
      <c r="B9" s="154" t="s">
        <v>338</v>
      </c>
      <c r="C9" s="146"/>
      <c r="D9" s="146"/>
      <c r="E9" s="154" t="s">
        <v>433</v>
      </c>
      <c r="F9" s="146" t="s">
        <v>87</v>
      </c>
      <c r="G9" s="146">
        <v>2011</v>
      </c>
      <c r="H9" s="146">
        <v>2012</v>
      </c>
      <c r="I9" s="146">
        <v>2013</v>
      </c>
      <c r="J9" s="146">
        <v>2014</v>
      </c>
      <c r="K9" s="146">
        <v>2015</v>
      </c>
      <c r="L9" s="146">
        <v>2016</v>
      </c>
      <c r="M9" s="146">
        <v>2017</v>
      </c>
      <c r="N9" s="146">
        <v>2018</v>
      </c>
      <c r="O9" s="146" t="s">
        <v>324</v>
      </c>
      <c r="P9" s="146">
        <v>2020</v>
      </c>
      <c r="Q9" s="146">
        <v>2021</v>
      </c>
      <c r="R9" s="146">
        <v>2022</v>
      </c>
    </row>
    <row r="10" spans="2:21" s="3" customFormat="1" x14ac:dyDescent="0.25">
      <c r="B10" s="167"/>
      <c r="C10" s="168"/>
      <c r="D10" s="168"/>
      <c r="E10" s="168"/>
      <c r="F10" s="168"/>
      <c r="G10" s="168"/>
      <c r="H10" s="168"/>
      <c r="I10" s="168"/>
      <c r="J10" s="168"/>
      <c r="K10" s="168"/>
      <c r="L10" s="168"/>
      <c r="M10" s="168"/>
      <c r="N10" s="168"/>
      <c r="O10" s="168"/>
      <c r="P10" s="168"/>
      <c r="Q10" s="168"/>
      <c r="R10" s="168"/>
    </row>
    <row r="11" spans="2:21" s="3" customFormat="1" ht="15" customHeight="1" x14ac:dyDescent="0.25">
      <c r="B11" s="164" t="s">
        <v>125</v>
      </c>
      <c r="C11" s="164"/>
      <c r="D11" s="164"/>
      <c r="E11" s="164" t="s">
        <v>634</v>
      </c>
      <c r="F11" s="149"/>
      <c r="G11" s="149"/>
      <c r="H11" s="149"/>
      <c r="I11" s="149"/>
      <c r="J11" s="149"/>
      <c r="K11" s="149"/>
      <c r="L11" s="149"/>
      <c r="M11" s="149"/>
      <c r="N11" s="149"/>
      <c r="O11" s="149"/>
      <c r="P11" s="149"/>
      <c r="Q11" s="149"/>
      <c r="R11" s="149"/>
    </row>
    <row r="12" spans="2:21" s="3" customFormat="1" ht="15" customHeight="1" x14ac:dyDescent="0.25">
      <c r="B12" s="167"/>
      <c r="C12" s="168"/>
      <c r="D12" s="168"/>
      <c r="E12" s="167"/>
      <c r="F12" s="168"/>
      <c r="G12" s="168"/>
      <c r="H12" s="168"/>
      <c r="I12" s="168"/>
      <c r="J12" s="168"/>
      <c r="K12" s="168"/>
      <c r="L12" s="168"/>
      <c r="M12" s="168"/>
      <c r="N12" s="168"/>
      <c r="O12" s="168"/>
      <c r="P12" s="168"/>
      <c r="Q12" s="168"/>
      <c r="R12" s="168"/>
    </row>
    <row r="13" spans="2:21" s="1" customFormat="1" ht="15" customHeight="1" x14ac:dyDescent="0.25">
      <c r="B13" s="140" t="s">
        <v>212</v>
      </c>
      <c r="C13" s="140"/>
      <c r="D13" s="140"/>
      <c r="E13" s="140" t="s">
        <v>635</v>
      </c>
      <c r="F13" s="90">
        <f t="shared" ref="F13:M13" si="0">SUM(F14:F16)</f>
        <v>465.1</v>
      </c>
      <c r="G13" s="90">
        <f t="shared" si="0"/>
        <v>559.5</v>
      </c>
      <c r="H13" s="90">
        <f t="shared" si="0"/>
        <v>580.1</v>
      </c>
      <c r="I13" s="90">
        <f t="shared" si="0"/>
        <v>642.20000000000005</v>
      </c>
      <c r="J13" s="90">
        <f t="shared" si="0"/>
        <v>748.09999999999991</v>
      </c>
      <c r="K13" s="90">
        <f>SUM(K14:K16)-0.2</f>
        <v>978.39999999999986</v>
      </c>
      <c r="L13" s="90">
        <f t="shared" si="0"/>
        <v>1016.7</v>
      </c>
      <c r="M13" s="90">
        <f t="shared" si="0"/>
        <v>1069.2</v>
      </c>
      <c r="N13" s="90">
        <f>SUM(N14:N16)</f>
        <v>958.59717699434316</v>
      </c>
      <c r="O13" s="90">
        <f>SUM(O14:O16)</f>
        <v>995.70578012378053</v>
      </c>
      <c r="P13" s="90">
        <f>SUM(P14:P16)</f>
        <v>1138.6472434397531</v>
      </c>
      <c r="Q13" s="90">
        <f>SUM(Q14:Q16)</f>
        <v>1464.5108390650325</v>
      </c>
      <c r="R13" s="90">
        <f>SUM(R14:R16)</f>
        <v>2019.0002260661681</v>
      </c>
    </row>
    <row r="14" spans="2:21" s="1" customFormat="1" ht="15" customHeight="1" x14ac:dyDescent="0.25">
      <c r="C14" s="75" t="s">
        <v>663</v>
      </c>
      <c r="D14" s="75"/>
      <c r="E14" s="75" t="s">
        <v>666</v>
      </c>
      <c r="F14" s="91">
        <v>0</v>
      </c>
      <c r="G14" s="91">
        <v>156.19999999999999</v>
      </c>
      <c r="H14" s="91">
        <v>124</v>
      </c>
      <c r="I14" s="91">
        <v>136</v>
      </c>
      <c r="J14" s="91">
        <v>199.2</v>
      </c>
      <c r="K14" s="91">
        <v>259.7</v>
      </c>
      <c r="L14" s="91">
        <v>314.89999999999998</v>
      </c>
      <c r="M14" s="91">
        <v>256.89999999999998</v>
      </c>
      <c r="N14" s="91">
        <v>177.53938288069938</v>
      </c>
      <c r="O14" s="91">
        <v>199.84835908400743</v>
      </c>
      <c r="P14" s="91">
        <v>90.886662944085444</v>
      </c>
      <c r="Q14" s="91">
        <v>161.69472151008324</v>
      </c>
      <c r="R14" s="91">
        <f>SUM('DRE Ger. (Tri) - IS Mngmt Q'!R14:U14)</f>
        <v>474.83639473250264</v>
      </c>
    </row>
    <row r="15" spans="2:21" ht="15" customHeight="1" x14ac:dyDescent="0.25">
      <c r="B15" s="1"/>
      <c r="C15" s="75" t="s">
        <v>126</v>
      </c>
      <c r="D15" s="75"/>
      <c r="E15" s="75" t="s">
        <v>643</v>
      </c>
      <c r="F15" s="91">
        <v>421.5</v>
      </c>
      <c r="G15" s="91">
        <v>352.6</v>
      </c>
      <c r="H15" s="91">
        <v>370.2</v>
      </c>
      <c r="I15" s="91">
        <v>419.6</v>
      </c>
      <c r="J15" s="91">
        <v>440.4</v>
      </c>
      <c r="K15" s="91">
        <v>523.1</v>
      </c>
      <c r="L15" s="91">
        <v>532.70000000000005</v>
      </c>
      <c r="M15" s="91">
        <v>586.5</v>
      </c>
      <c r="N15" s="91">
        <v>582.87304617286577</v>
      </c>
      <c r="O15" s="91">
        <v>597.75408370043726</v>
      </c>
      <c r="P15" s="91">
        <v>799.68972859119401</v>
      </c>
      <c r="Q15" s="91">
        <v>986.44446972349533</v>
      </c>
      <c r="R15" s="91">
        <f>SUM('DRE Ger. (Tri) - IS Mngmt Q'!R15:U15)</f>
        <v>1250.5452745542998</v>
      </c>
      <c r="U15" s="1"/>
    </row>
    <row r="16" spans="2:21" ht="15" customHeight="1" x14ac:dyDescent="0.25">
      <c r="B16" s="1"/>
      <c r="C16" s="75" t="s">
        <v>127</v>
      </c>
      <c r="D16" s="75"/>
      <c r="E16" s="75" t="s">
        <v>644</v>
      </c>
      <c r="F16" s="91">
        <v>43.6</v>
      </c>
      <c r="G16" s="91">
        <v>50.7</v>
      </c>
      <c r="H16" s="91">
        <v>85.9</v>
      </c>
      <c r="I16" s="91">
        <v>86.6</v>
      </c>
      <c r="J16" s="91">
        <v>108.5</v>
      </c>
      <c r="K16" s="91">
        <v>195.8</v>
      </c>
      <c r="L16" s="91">
        <v>169.1</v>
      </c>
      <c r="M16" s="91">
        <v>225.8</v>
      </c>
      <c r="N16" s="91">
        <v>198.18474794077801</v>
      </c>
      <c r="O16" s="91">
        <v>198.10333733933581</v>
      </c>
      <c r="P16" s="91">
        <v>248.07085190447373</v>
      </c>
      <c r="Q16" s="91">
        <v>316.3716478314542</v>
      </c>
      <c r="R16" s="91">
        <f>SUM('DRE Ger. (Tri) - IS Mngmt Q'!R16:U16)</f>
        <v>293.61855677936575</v>
      </c>
      <c r="U16" s="1"/>
    </row>
    <row r="17" spans="2:21" s="1" customFormat="1" ht="15" customHeight="1" x14ac:dyDescent="0.25">
      <c r="B17" s="141" t="s">
        <v>664</v>
      </c>
      <c r="C17" s="141"/>
      <c r="D17" s="141"/>
      <c r="E17" s="141" t="s">
        <v>665</v>
      </c>
      <c r="F17" s="90">
        <v>-44.4</v>
      </c>
      <c r="G17" s="90">
        <v>-52.4</v>
      </c>
      <c r="H17" s="90">
        <v>-110.8</v>
      </c>
      <c r="I17" s="90">
        <v>-92.8</v>
      </c>
      <c r="J17" s="90">
        <v>-100.8</v>
      </c>
      <c r="K17" s="90">
        <v>-168.7</v>
      </c>
      <c r="L17" s="90">
        <v>-208.6</v>
      </c>
      <c r="M17" s="90">
        <v>-220.22321385999999</v>
      </c>
      <c r="N17" s="90">
        <v>-118.211</v>
      </c>
      <c r="O17" s="90">
        <v>-121.99653943999999</v>
      </c>
      <c r="P17" s="90">
        <v>-307.4259534135</v>
      </c>
      <c r="Q17" s="90">
        <v>-173.07912328619724</v>
      </c>
      <c r="R17" s="90">
        <f>SUM('DRE Ger. (Tri) - IS Mngmt Q'!R17:U17)</f>
        <v>-235.4136179042041</v>
      </c>
    </row>
    <row r="18" spans="2:21" s="1" customFormat="1" ht="15" customHeight="1" x14ac:dyDescent="0.25">
      <c r="B18" s="141" t="s">
        <v>305</v>
      </c>
      <c r="C18" s="141"/>
      <c r="D18" s="141"/>
      <c r="E18" s="141" t="s">
        <v>637</v>
      </c>
      <c r="F18" s="90">
        <f>F13+F17</f>
        <v>420.70000000000005</v>
      </c>
      <c r="G18" s="90">
        <f t="shared" ref="G18:N18" si="1">G13+G17</f>
        <v>507.1</v>
      </c>
      <c r="H18" s="90">
        <f t="shared" si="1"/>
        <v>469.3</v>
      </c>
      <c r="I18" s="90">
        <f t="shared" si="1"/>
        <v>549.40000000000009</v>
      </c>
      <c r="J18" s="90">
        <f t="shared" si="1"/>
        <v>647.29999999999995</v>
      </c>
      <c r="K18" s="90">
        <f t="shared" si="1"/>
        <v>809.69999999999982</v>
      </c>
      <c r="L18" s="90">
        <f t="shared" si="1"/>
        <v>808.1</v>
      </c>
      <c r="M18" s="90">
        <f t="shared" si="1"/>
        <v>848.97678614000006</v>
      </c>
      <c r="N18" s="90">
        <f t="shared" si="1"/>
        <v>840.38617699434315</v>
      </c>
      <c r="O18" s="90">
        <f>O13+O17</f>
        <v>873.70924068378054</v>
      </c>
      <c r="P18" s="90">
        <f>P13+P17</f>
        <v>831.22129002625309</v>
      </c>
      <c r="Q18" s="90">
        <f>Q13+Q17</f>
        <v>1291.4317157788353</v>
      </c>
      <c r="R18" s="90">
        <f>R13+R17</f>
        <v>1783.586608161964</v>
      </c>
    </row>
    <row r="19" spans="2:21" s="1" customFormat="1" ht="15" customHeight="1" x14ac:dyDescent="0.25">
      <c r="B19" s="141" t="s">
        <v>215</v>
      </c>
      <c r="C19" s="141"/>
      <c r="D19" s="141"/>
      <c r="E19" s="141" t="s">
        <v>638</v>
      </c>
      <c r="F19" s="90">
        <f t="shared" ref="F19:N19" si="2">SUM(F20:F22)</f>
        <v>108.1</v>
      </c>
      <c r="G19" s="90">
        <v>125.4</v>
      </c>
      <c r="H19" s="90">
        <f>SUM(H20:H22)-0.1</f>
        <v>137.4</v>
      </c>
      <c r="I19" s="90">
        <f>SUM(I20:I22)-0.1</f>
        <v>156.9</v>
      </c>
      <c r="J19" s="90">
        <f t="shared" si="2"/>
        <v>177.10000000000002</v>
      </c>
      <c r="K19" s="90">
        <f t="shared" si="2"/>
        <v>199.10000000000002</v>
      </c>
      <c r="L19" s="90">
        <f t="shared" si="2"/>
        <v>256.5</v>
      </c>
      <c r="M19" s="90">
        <f t="shared" si="2"/>
        <v>306.90600000000006</v>
      </c>
      <c r="N19" s="90">
        <f t="shared" si="2"/>
        <v>349.83969502999997</v>
      </c>
      <c r="O19" s="90">
        <f>SUM(O20:O22)</f>
        <v>327.52142361140562</v>
      </c>
      <c r="P19" s="90">
        <f>SUM(P20:P22)</f>
        <v>261.2923169053293</v>
      </c>
      <c r="Q19" s="90">
        <f>SUM(Q20:Q22)</f>
        <v>330.0316121543774</v>
      </c>
      <c r="R19" s="90">
        <f>SUM(R20:R22)</f>
        <v>388.33657939193785</v>
      </c>
    </row>
    <row r="20" spans="2:21" s="1" customFormat="1" ht="15" customHeight="1" x14ac:dyDescent="0.25">
      <c r="C20" s="75" t="s">
        <v>132</v>
      </c>
      <c r="D20" s="75"/>
      <c r="E20" s="75" t="s">
        <v>467</v>
      </c>
      <c r="F20" s="91">
        <v>69.8</v>
      </c>
      <c r="G20" s="91">
        <v>90.7</v>
      </c>
      <c r="H20" s="91">
        <v>104.2</v>
      </c>
      <c r="I20" s="91">
        <v>118.5</v>
      </c>
      <c r="J20" s="91">
        <v>130.9</v>
      </c>
      <c r="K20" s="91">
        <v>150.5</v>
      </c>
      <c r="L20" s="91">
        <v>199</v>
      </c>
      <c r="M20" s="91">
        <v>212.35400000000001</v>
      </c>
      <c r="N20" s="91">
        <v>224.93199999999999</v>
      </c>
      <c r="O20" s="91">
        <v>193.76499999999999</v>
      </c>
      <c r="P20" s="91">
        <v>176.727</v>
      </c>
      <c r="Q20" s="91">
        <v>177.386</v>
      </c>
      <c r="R20" s="91">
        <f>SUM('DRE Ger. (Tri) - IS Mngmt Q'!R20:U20)</f>
        <v>167.46299999999999</v>
      </c>
    </row>
    <row r="21" spans="2:21" s="1" customFormat="1" ht="15" customHeight="1" x14ac:dyDescent="0.25">
      <c r="C21" s="75" t="s">
        <v>287</v>
      </c>
      <c r="D21" s="75"/>
      <c r="E21" s="75" t="s">
        <v>645</v>
      </c>
      <c r="F21" s="91">
        <v>12.7</v>
      </c>
      <c r="G21" s="91">
        <v>14.4</v>
      </c>
      <c r="H21" s="91">
        <v>15</v>
      </c>
      <c r="I21" s="91">
        <v>14.5</v>
      </c>
      <c r="J21" s="91">
        <v>20.3</v>
      </c>
      <c r="K21" s="91">
        <v>21.3</v>
      </c>
      <c r="L21" s="91">
        <v>22.1</v>
      </c>
      <c r="M21" s="91">
        <v>56.82</v>
      </c>
      <c r="N21" s="91">
        <v>88.834000000000003</v>
      </c>
      <c r="O21" s="91">
        <v>104.02453858140564</v>
      </c>
      <c r="P21" s="91">
        <v>53.323025775329278</v>
      </c>
      <c r="Q21" s="91">
        <v>107.35821107437742</v>
      </c>
      <c r="R21" s="91">
        <f>SUM('DRE Ger. (Tri) - IS Mngmt Q'!R21:U21)</f>
        <v>145.13368812193784</v>
      </c>
    </row>
    <row r="22" spans="2:21" s="1" customFormat="1" ht="15" customHeight="1" x14ac:dyDescent="0.25">
      <c r="C22" s="75" t="s">
        <v>334</v>
      </c>
      <c r="D22" s="75"/>
      <c r="E22" s="75" t="s">
        <v>646</v>
      </c>
      <c r="F22" s="91">
        <v>25.6</v>
      </c>
      <c r="G22" s="91">
        <v>20.3</v>
      </c>
      <c r="H22" s="91">
        <v>18.3</v>
      </c>
      <c r="I22" s="91">
        <v>24</v>
      </c>
      <c r="J22" s="91">
        <v>25.9</v>
      </c>
      <c r="K22" s="91">
        <v>27.3</v>
      </c>
      <c r="L22" s="91">
        <v>35.4</v>
      </c>
      <c r="M22" s="91">
        <v>37.731999999999999</v>
      </c>
      <c r="N22" s="91">
        <v>36.073695030000003</v>
      </c>
      <c r="O22" s="91">
        <v>29.731885030000001</v>
      </c>
      <c r="P22" s="91">
        <v>31.242291130000002</v>
      </c>
      <c r="Q22" s="91">
        <v>45.287401080000002</v>
      </c>
      <c r="R22" s="91">
        <f>SUM('DRE Ger. (Tri) - IS Mngmt Q'!R22:U22)</f>
        <v>75.739891270000001</v>
      </c>
    </row>
    <row r="23" spans="2:21" s="1" customFormat="1" ht="15" customHeight="1" x14ac:dyDescent="0.25">
      <c r="B23" s="141" t="s">
        <v>216</v>
      </c>
      <c r="C23" s="141"/>
      <c r="D23" s="141"/>
      <c r="E23" s="141" t="s">
        <v>639</v>
      </c>
      <c r="F23" s="90">
        <f t="shared" ref="F23:N23" si="3">F25+F24</f>
        <v>-149.80000000000001</v>
      </c>
      <c r="G23" s="90">
        <f>G25+G24</f>
        <v>-178.9</v>
      </c>
      <c r="H23" s="90">
        <f t="shared" si="3"/>
        <v>-202.1</v>
      </c>
      <c r="I23" s="90">
        <f t="shared" si="3"/>
        <v>-219.3</v>
      </c>
      <c r="J23" s="90">
        <f t="shared" si="3"/>
        <v>-238.7</v>
      </c>
      <c r="K23" s="90">
        <f t="shared" si="3"/>
        <v>-268.5</v>
      </c>
      <c r="L23" s="90">
        <f t="shared" si="3"/>
        <v>-288.5</v>
      </c>
      <c r="M23" s="90">
        <f t="shared" si="3"/>
        <v>-290.89999999999998</v>
      </c>
      <c r="N23" s="90">
        <f t="shared" si="3"/>
        <v>-285.584303154</v>
      </c>
      <c r="O23" s="90">
        <f>O25+O24</f>
        <v>-306.73431388573334</v>
      </c>
      <c r="P23" s="90">
        <f>P25+P24</f>
        <v>-352.39408073530001</v>
      </c>
      <c r="Q23" s="90">
        <f>Q25+Q24</f>
        <v>-423.23563677850001</v>
      </c>
      <c r="R23" s="90">
        <f>R25+R24</f>
        <v>-600.22509506529991</v>
      </c>
    </row>
    <row r="24" spans="2:21" ht="15" customHeight="1" x14ac:dyDescent="0.25">
      <c r="B24" s="1"/>
      <c r="C24" s="75" t="s">
        <v>193</v>
      </c>
      <c r="D24" s="75"/>
      <c r="E24" s="75" t="s">
        <v>647</v>
      </c>
      <c r="F24" s="91">
        <v>-92.1</v>
      </c>
      <c r="G24" s="91">
        <v>-114</v>
      </c>
      <c r="H24" s="91">
        <v>-130.6</v>
      </c>
      <c r="I24" s="91">
        <v>-140.9</v>
      </c>
      <c r="J24" s="91">
        <v>-152</v>
      </c>
      <c r="K24" s="91">
        <v>-174.8</v>
      </c>
      <c r="L24" s="91">
        <v>-183.9</v>
      </c>
      <c r="M24" s="91">
        <v>-184.9</v>
      </c>
      <c r="N24" s="91">
        <v>-195.33540973999999</v>
      </c>
      <c r="O24" s="91">
        <v>-200.39428410633334</v>
      </c>
      <c r="P24" s="91">
        <v>-235.35777519999999</v>
      </c>
      <c r="Q24" s="91">
        <v>-279.94597641000001</v>
      </c>
      <c r="R24" s="91">
        <f>SUM('DRE Ger. (Tri) - IS Mngmt Q'!R24:U24)</f>
        <v>-378.97345584999999</v>
      </c>
      <c r="U24" s="1"/>
    </row>
    <row r="25" spans="2:21" ht="15" customHeight="1" x14ac:dyDescent="0.25">
      <c r="B25" s="1"/>
      <c r="C25" s="75" t="s">
        <v>194</v>
      </c>
      <c r="D25" s="75"/>
      <c r="E25" s="75" t="s">
        <v>626</v>
      </c>
      <c r="F25" s="91">
        <v>-57.7</v>
      </c>
      <c r="G25" s="91">
        <v>-64.900000000000006</v>
      </c>
      <c r="H25" s="91">
        <v>-71.5</v>
      </c>
      <c r="I25" s="91">
        <v>-78.400000000000006</v>
      </c>
      <c r="J25" s="91">
        <v>-86.7</v>
      </c>
      <c r="K25" s="91">
        <v>-93.7</v>
      </c>
      <c r="L25" s="91">
        <v>-104.6</v>
      </c>
      <c r="M25" s="91">
        <v>-106</v>
      </c>
      <c r="N25" s="91">
        <v>-90.248893413999994</v>
      </c>
      <c r="O25" s="91">
        <v>-106.3400297794</v>
      </c>
      <c r="P25" s="91">
        <v>-117.03630553529999</v>
      </c>
      <c r="Q25" s="91">
        <v>-143.28966036849999</v>
      </c>
      <c r="R25" s="91">
        <f>SUM('DRE Ger. (Tri) - IS Mngmt Q'!R25:U25)</f>
        <v>-221.25163921529997</v>
      </c>
      <c r="U25" s="1"/>
    </row>
    <row r="26" spans="2:21" s="1" customFormat="1" ht="15" customHeight="1" x14ac:dyDescent="0.25">
      <c r="B26"/>
      <c r="C26" s="75" t="s">
        <v>130</v>
      </c>
      <c r="D26" s="75"/>
      <c r="E26" s="75" t="s">
        <v>648</v>
      </c>
      <c r="F26" s="91">
        <v>-34.200000000000003</v>
      </c>
      <c r="G26" s="91">
        <v>-40.299999999999997</v>
      </c>
      <c r="H26" s="91">
        <v>-38.5</v>
      </c>
      <c r="I26" s="91">
        <v>-41.4</v>
      </c>
      <c r="J26" s="91">
        <v>-40.1</v>
      </c>
      <c r="K26" s="91">
        <v>-57.5</v>
      </c>
      <c r="L26" s="91">
        <v>-37.299999999999997</v>
      </c>
      <c r="M26" s="91">
        <v>-69.514007586988342</v>
      </c>
      <c r="N26" s="91">
        <v>-78.37</v>
      </c>
      <c r="O26" s="91">
        <v>-69.070379015786102</v>
      </c>
      <c r="P26" s="91">
        <v>-61.463835205506733</v>
      </c>
      <c r="Q26" s="91">
        <v>-79.762342196155856</v>
      </c>
      <c r="R26" s="91">
        <f>SUM('DRE Ger. (Tri) - IS Mngmt Q'!R26:U26)</f>
        <v>-103.43129084715271</v>
      </c>
    </row>
    <row r="27" spans="2:21" s="1" customFormat="1" ht="15" customHeight="1" x14ac:dyDescent="0.25">
      <c r="B27"/>
      <c r="C27" s="75" t="s">
        <v>209</v>
      </c>
      <c r="D27" s="75"/>
      <c r="E27" s="75" t="s">
        <v>649</v>
      </c>
      <c r="F27" s="91">
        <v>7</v>
      </c>
      <c r="G27" s="91">
        <v>-0.4</v>
      </c>
      <c r="H27" s="91">
        <v>6</v>
      </c>
      <c r="I27" s="91">
        <v>-0.7</v>
      </c>
      <c r="J27" s="91">
        <v>-10.7</v>
      </c>
      <c r="K27" s="91">
        <v>-29</v>
      </c>
      <c r="L27" s="91">
        <v>-14.5</v>
      </c>
      <c r="M27" s="91">
        <v>13.646999999999998</v>
      </c>
      <c r="N27" s="91">
        <v>4.4761116600000008</v>
      </c>
      <c r="O27" s="91">
        <v>7.6417258300000004</v>
      </c>
      <c r="P27" s="91">
        <v>-40.513521460000007</v>
      </c>
      <c r="Q27" s="91">
        <v>-21.850098477809901</v>
      </c>
      <c r="R27" s="91">
        <f>SUM('DRE Ger. (Tri) - IS Mngmt Q'!R27:U27)</f>
        <v>-15.753717739999963</v>
      </c>
    </row>
    <row r="28" spans="2:21" s="1" customFormat="1" ht="15" customHeight="1" x14ac:dyDescent="0.25">
      <c r="B28"/>
      <c r="C28" s="75" t="s">
        <v>396</v>
      </c>
      <c r="D28" s="75"/>
      <c r="E28" s="75" t="s">
        <v>650</v>
      </c>
      <c r="F28" s="91">
        <v>-2.4</v>
      </c>
      <c r="G28" s="91">
        <v>-5.9</v>
      </c>
      <c r="H28" s="91">
        <v>-6.6</v>
      </c>
      <c r="I28" s="91">
        <v>-1.8</v>
      </c>
      <c r="J28" s="91">
        <v>-2.2999999999999998</v>
      </c>
      <c r="K28" s="91">
        <v>-6.2</v>
      </c>
      <c r="L28" s="91">
        <v>-12.2</v>
      </c>
      <c r="M28" s="91">
        <v>-36.896000000000001</v>
      </c>
      <c r="N28" s="91">
        <v>-21.411000000000001</v>
      </c>
      <c r="O28" s="91">
        <v>-2.3540000000000001</v>
      </c>
      <c r="P28" s="91">
        <v>-10.946999999999999</v>
      </c>
      <c r="Q28" s="91">
        <v>-23.497</v>
      </c>
      <c r="R28" s="91">
        <f>SUM('DRE Ger. (Tri) - IS Mngmt Q'!R28:U28)</f>
        <v>0.68800000000000017</v>
      </c>
    </row>
    <row r="29" spans="2:21" s="1" customFormat="1" ht="15" customHeight="1" x14ac:dyDescent="0.25">
      <c r="B29" s="141" t="s">
        <v>217</v>
      </c>
      <c r="C29" s="141"/>
      <c r="D29" s="141"/>
      <c r="E29" s="141" t="s">
        <v>640</v>
      </c>
      <c r="F29" s="108">
        <f t="shared" ref="F29:M29" si="4">F28+F27+F26+F23+F19+F18</f>
        <v>349.40000000000003</v>
      </c>
      <c r="G29" s="108">
        <f t="shared" si="4"/>
        <v>407</v>
      </c>
      <c r="H29" s="108">
        <f t="shared" si="4"/>
        <v>365.5</v>
      </c>
      <c r="I29" s="108">
        <f t="shared" si="4"/>
        <v>443.10000000000014</v>
      </c>
      <c r="J29" s="108">
        <f t="shared" si="4"/>
        <v>532.59999999999991</v>
      </c>
      <c r="K29" s="108">
        <f t="shared" si="4"/>
        <v>647.59999999999991</v>
      </c>
      <c r="L29" s="108">
        <f t="shared" si="4"/>
        <v>712.1</v>
      </c>
      <c r="M29" s="108">
        <f t="shared" si="4"/>
        <v>772.21977855301179</v>
      </c>
      <c r="N29" s="108">
        <f>N28+N27+N26+N23+N19+N18</f>
        <v>809.33668053034307</v>
      </c>
      <c r="O29" s="108">
        <f>O28+O27+O26+O23+O19+O18</f>
        <v>830.71369722366671</v>
      </c>
      <c r="P29" s="108">
        <f>P28+P27+P26+P23+P19+P18</f>
        <v>627.19516953077573</v>
      </c>
      <c r="Q29" s="108">
        <f>Q28+Q27+Q26+Q23+Q19+Q18</f>
        <v>1073.1182504807468</v>
      </c>
      <c r="R29" s="108">
        <f>R28+R27+R26+R23+R19+R18</f>
        <v>1453.2010839014492</v>
      </c>
    </row>
    <row r="30" spans="2:21" s="1" customFormat="1" ht="15" customHeight="1" x14ac:dyDescent="0.25">
      <c r="C30" s="75" t="s">
        <v>195</v>
      </c>
      <c r="D30" s="75"/>
      <c r="E30" s="75" t="s">
        <v>651</v>
      </c>
      <c r="F30" s="91">
        <v>-82.1</v>
      </c>
      <c r="G30" s="91">
        <v>-101.6</v>
      </c>
      <c r="H30" s="91">
        <v>-86.4</v>
      </c>
      <c r="I30" s="91">
        <v>-97.6</v>
      </c>
      <c r="J30" s="91">
        <v>-131.1</v>
      </c>
      <c r="K30" s="91">
        <v>-174.6</v>
      </c>
      <c r="L30" s="91">
        <v>-193.71287156711188</v>
      </c>
      <c r="M30" s="91">
        <v>-197.3</v>
      </c>
      <c r="N30" s="91">
        <v>-192.97547526334162</v>
      </c>
      <c r="O30" s="91">
        <v>-177.81447847146674</v>
      </c>
      <c r="P30" s="91">
        <v>-167.3049447307757</v>
      </c>
      <c r="Q30" s="91">
        <v>-332.97322689074724</v>
      </c>
      <c r="R30" s="91">
        <f>SUM('DRE Ger. (Tri) - IS Mngmt Q'!R30:U30)</f>
        <v>-374.01490999244919</v>
      </c>
    </row>
    <row r="31" spans="2:21" s="27" customFormat="1" ht="15" customHeight="1" x14ac:dyDescent="0.25">
      <c r="B31" s="1"/>
      <c r="C31" s="75" t="s">
        <v>196</v>
      </c>
      <c r="D31" s="75"/>
      <c r="E31" s="75" t="s">
        <v>652</v>
      </c>
      <c r="F31" s="112">
        <v>-65.099999999999994</v>
      </c>
      <c r="G31" s="112">
        <v>-69.400000000000006</v>
      </c>
      <c r="H31" s="112">
        <v>-52.5</v>
      </c>
      <c r="I31" s="112">
        <v>-82.1</v>
      </c>
      <c r="J31" s="112">
        <v>-91</v>
      </c>
      <c r="K31" s="112">
        <v>-101.2</v>
      </c>
      <c r="L31" s="112">
        <v>-107.4</v>
      </c>
      <c r="M31" s="112">
        <v>-141.9</v>
      </c>
      <c r="N31" s="112">
        <v>-158.60659025999999</v>
      </c>
      <c r="O31" s="112">
        <v>-163.81610229</v>
      </c>
      <c r="P31" s="112">
        <v>-137.81422480000001</v>
      </c>
      <c r="Q31" s="112">
        <v>-167.27702359</v>
      </c>
      <c r="R31" s="112">
        <f>SUM('DRE Ger. (Tri) - IS Mngmt Q'!R31:U31)</f>
        <v>-276.49054415000001</v>
      </c>
      <c r="U31" s="1"/>
    </row>
    <row r="32" spans="2:21" s="27" customFormat="1" ht="15" customHeight="1" x14ac:dyDescent="0.25">
      <c r="B32" s="1"/>
      <c r="C32" s="75" t="s">
        <v>333</v>
      </c>
      <c r="D32" s="75"/>
      <c r="E32" s="75" t="s">
        <v>548</v>
      </c>
      <c r="F32" s="112">
        <v>0</v>
      </c>
      <c r="G32" s="112">
        <v>0</v>
      </c>
      <c r="H32" s="112">
        <v>0</v>
      </c>
      <c r="I32" s="112">
        <v>0</v>
      </c>
      <c r="J32" s="112">
        <v>0</v>
      </c>
      <c r="K32" s="112">
        <v>0</v>
      </c>
      <c r="L32" s="112">
        <v>0</v>
      </c>
      <c r="M32" s="112">
        <v>0</v>
      </c>
      <c r="N32" s="112">
        <v>0</v>
      </c>
      <c r="O32" s="112">
        <v>0</v>
      </c>
      <c r="P32" s="112">
        <v>0</v>
      </c>
      <c r="Q32" s="112">
        <v>-0.69499999999999995</v>
      </c>
      <c r="R32" s="112">
        <f>SUM('DRE Ger. (Tri) - IS Mngmt Q'!R32:U32)</f>
        <v>-2.4609999999999999</v>
      </c>
      <c r="U32" s="1"/>
    </row>
    <row r="33" spans="2:21" ht="15" customHeight="1" x14ac:dyDescent="0.25">
      <c r="B33" s="157" t="s">
        <v>218</v>
      </c>
      <c r="C33" s="157"/>
      <c r="D33" s="157"/>
      <c r="E33" s="157" t="s">
        <v>615</v>
      </c>
      <c r="F33" s="165">
        <f>SUM(F29:F32)</f>
        <v>202.20000000000007</v>
      </c>
      <c r="G33" s="165">
        <f t="shared" ref="G33:O33" si="5">SUM(G29:G32)</f>
        <v>235.99999999999997</v>
      </c>
      <c r="H33" s="165">
        <f t="shared" si="5"/>
        <v>226.60000000000002</v>
      </c>
      <c r="I33" s="165">
        <f t="shared" si="5"/>
        <v>263.40000000000009</v>
      </c>
      <c r="J33" s="165">
        <f t="shared" si="5"/>
        <v>310.49999999999989</v>
      </c>
      <c r="K33" s="165">
        <f t="shared" si="5"/>
        <v>371.7999999999999</v>
      </c>
      <c r="L33" s="165">
        <f t="shared" si="5"/>
        <v>410.9871284328882</v>
      </c>
      <c r="M33" s="165">
        <f t="shared" si="5"/>
        <v>433.01977855301186</v>
      </c>
      <c r="N33" s="165">
        <f t="shared" si="5"/>
        <v>457.75461500700146</v>
      </c>
      <c r="O33" s="165">
        <f t="shared" si="5"/>
        <v>489.0831164622</v>
      </c>
      <c r="P33" s="165">
        <f>SUM(P29:P32)</f>
        <v>322.07600000000002</v>
      </c>
      <c r="Q33" s="165">
        <f>SUM(Q29:Q32)</f>
        <v>572.17299999999955</v>
      </c>
      <c r="R33" s="165">
        <f>SUM(R29:R32)</f>
        <v>800.23462975899997</v>
      </c>
      <c r="U33" s="1"/>
    </row>
    <row r="34" spans="2:21" ht="15.75" customHeight="1" x14ac:dyDescent="0.25">
      <c r="C34" s="126"/>
      <c r="D34" s="126"/>
      <c r="E34" s="126"/>
    </row>
    <row r="35" spans="2:21" x14ac:dyDescent="0.25">
      <c r="C35" s="110"/>
      <c r="D35" s="110"/>
      <c r="E35" s="110"/>
    </row>
    <row r="36" spans="2:21" x14ac:dyDescent="0.25">
      <c r="B36" s="1" t="s">
        <v>434</v>
      </c>
      <c r="C36" s="110"/>
      <c r="D36" s="110"/>
      <c r="E36" s="110"/>
    </row>
    <row r="37" spans="2:21" ht="5.0999999999999996" customHeight="1" x14ac:dyDescent="0.25">
      <c r="C37" s="110"/>
      <c r="D37" s="110"/>
      <c r="E37" s="110"/>
    </row>
    <row r="38" spans="2:21" x14ac:dyDescent="0.25">
      <c r="B38" s="83" t="s">
        <v>657</v>
      </c>
    </row>
    <row r="39" spans="2:21" x14ac:dyDescent="0.25">
      <c r="B39" s="84" t="s">
        <v>658</v>
      </c>
    </row>
    <row r="40" spans="2:21" x14ac:dyDescent="0.25">
      <c r="B40" s="84" t="s">
        <v>659</v>
      </c>
    </row>
    <row r="42" spans="2:21" x14ac:dyDescent="0.25">
      <c r="B42" s="1" t="s">
        <v>435</v>
      </c>
    </row>
    <row r="43" spans="2:21" ht="5.0999999999999996" customHeight="1" x14ac:dyDescent="0.25"/>
    <row r="44" spans="2:21" x14ac:dyDescent="0.25">
      <c r="B44" s="83" t="s">
        <v>660</v>
      </c>
    </row>
    <row r="45" spans="2:21" x14ac:dyDescent="0.25">
      <c r="B45" s="84" t="s">
        <v>661</v>
      </c>
    </row>
    <row r="46" spans="2:21" x14ac:dyDescent="0.25">
      <c r="B46" s="84" t="s">
        <v>662</v>
      </c>
    </row>
  </sheetData>
  <hyperlinks>
    <hyperlink ref="F6" location="'Índice - Index'!A1" display="Index" xr:uid="{F4E18D6F-FF51-4CCF-9F4D-DBB8E9B25E5D}"/>
    <hyperlink ref="R6" location="'Índice - Index'!A1" display="Index" xr:uid="{9E699D62-A2B0-4CC7-B59C-1F9D1764F01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9" numberStoredAsText="1"/>
    <ignoredError sqref="E13:J13 R14:R32 L13:Q13" formulaRange="1"/>
    <ignoredError sqref="K13"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BEF9-558C-466F-A9DD-F72C47A0E47D}">
  <sheetPr codeName="Planilha8">
    <tabColor theme="3" tint="0.39997558519241921"/>
    <pageSetUpPr autoPageBreaks="0"/>
  </sheetPr>
  <dimension ref="B2:P29"/>
  <sheetViews>
    <sheetView showGridLines="0" zoomScale="80" zoomScaleNormal="80" workbookViewId="0">
      <pane xSplit="5" ySplit="9" topLeftCell="K10" activePane="bottomRight" state="frozen"/>
      <selection pane="topRight" activeCell="F1" sqref="F1"/>
      <selection pane="bottomLeft" activeCell="A10" sqref="A10"/>
      <selection pane="bottomRight" activeCell="O9" sqref="O9"/>
    </sheetView>
  </sheetViews>
  <sheetFormatPr defaultColWidth="12" defaultRowHeight="15" outlineLevelCol="1" x14ac:dyDescent="0.25"/>
  <cols>
    <col min="1" max="1" width="2.7109375" customWidth="1"/>
    <col min="2" max="2" width="1.7109375" customWidth="1" outlineLevel="1"/>
    <col min="3" max="3" width="56.28515625" customWidth="1" outlineLevel="1"/>
    <col min="4" max="4" width="1.7109375" customWidth="1"/>
    <col min="5" max="5" width="49.28515625" bestFit="1" customWidth="1" outlineLevel="1"/>
    <col min="6" max="10" width="11.7109375" customWidth="1"/>
    <col min="12" max="13" width="11.7109375" customWidth="1"/>
    <col min="16" max="16" width="13.42578125" bestFit="1" customWidth="1"/>
  </cols>
  <sheetData>
    <row r="2" spans="2:16" x14ac:dyDescent="0.25">
      <c r="B2" t="s">
        <v>429</v>
      </c>
    </row>
    <row r="3" spans="2:16" ht="21" x14ac:dyDescent="0.35">
      <c r="C3" s="4"/>
      <c r="D3" s="4"/>
      <c r="E3" s="4"/>
    </row>
    <row r="4" spans="2:16" ht="15" customHeight="1" x14ac:dyDescent="0.25">
      <c r="C4" s="3"/>
      <c r="D4" s="3"/>
      <c r="E4" s="3"/>
    </row>
    <row r="5" spans="2:16" x14ac:dyDescent="0.25">
      <c r="C5" s="2"/>
      <c r="D5" s="2"/>
      <c r="E5" s="2"/>
    </row>
    <row r="6" spans="2:16" x14ac:dyDescent="0.25">
      <c r="F6" s="6"/>
      <c r="O6" s="252" t="s">
        <v>486</v>
      </c>
    </row>
    <row r="7" spans="2:16" ht="18.75" x14ac:dyDescent="0.3">
      <c r="B7" s="40" t="s">
        <v>399</v>
      </c>
      <c r="C7" s="40"/>
      <c r="D7" s="40"/>
      <c r="E7" s="40" t="s">
        <v>667</v>
      </c>
    </row>
    <row r="8" spans="2:16" ht="18.75" x14ac:dyDescent="0.25">
      <c r="B8" s="215" t="s">
        <v>434</v>
      </c>
      <c r="C8" s="216"/>
      <c r="D8" s="216"/>
      <c r="E8" s="215" t="s">
        <v>435</v>
      </c>
      <c r="F8" s="218" t="s">
        <v>322</v>
      </c>
      <c r="G8" s="218" t="s">
        <v>329</v>
      </c>
      <c r="H8" s="218" t="s">
        <v>513</v>
      </c>
      <c r="I8" s="218" t="s">
        <v>514</v>
      </c>
      <c r="J8" s="218" t="s">
        <v>430</v>
      </c>
      <c r="K8" s="218" t="s">
        <v>827</v>
      </c>
      <c r="L8" s="218" t="s">
        <v>845</v>
      </c>
      <c r="M8" s="218" t="s">
        <v>851</v>
      </c>
      <c r="N8" s="218" t="s">
        <v>855</v>
      </c>
      <c r="O8" s="218" t="s">
        <v>862</v>
      </c>
    </row>
    <row r="9" spans="2:16" s="3" customFormat="1" x14ac:dyDescent="0.25">
      <c r="B9" s="154" t="s">
        <v>338</v>
      </c>
      <c r="C9" s="146"/>
      <c r="D9" s="146"/>
      <c r="E9" s="154" t="s">
        <v>433</v>
      </c>
      <c r="F9" s="155" t="s">
        <v>322</v>
      </c>
      <c r="G9" s="155" t="s">
        <v>329</v>
      </c>
      <c r="H9" s="155" t="s">
        <v>331</v>
      </c>
      <c r="I9" s="155" t="s">
        <v>335</v>
      </c>
      <c r="J9" s="155" t="s">
        <v>430</v>
      </c>
      <c r="K9" s="155" t="s">
        <v>827</v>
      </c>
      <c r="L9" s="155" t="s">
        <v>846</v>
      </c>
      <c r="M9" s="155" t="s">
        <v>853</v>
      </c>
      <c r="N9" s="155" t="s">
        <v>855</v>
      </c>
      <c r="O9" s="155" t="s">
        <v>862</v>
      </c>
    </row>
    <row r="10" spans="2:16" x14ac:dyDescent="0.25">
      <c r="F10" s="9"/>
      <c r="G10" s="9"/>
      <c r="H10" s="9"/>
      <c r="I10" s="9"/>
      <c r="J10" s="9"/>
      <c r="K10" s="9"/>
      <c r="L10" s="9"/>
      <c r="M10" s="9"/>
      <c r="N10" s="9"/>
      <c r="O10" s="9"/>
    </row>
    <row r="11" spans="2:16" x14ac:dyDescent="0.25">
      <c r="B11" s="148" t="s">
        <v>387</v>
      </c>
      <c r="C11" s="169"/>
      <c r="D11" s="169"/>
      <c r="E11" s="148" t="s">
        <v>668</v>
      </c>
      <c r="F11" s="150"/>
      <c r="G11" s="150"/>
      <c r="H11" s="150"/>
      <c r="I11" s="150"/>
      <c r="J11" s="150"/>
      <c r="K11" s="150"/>
      <c r="L11" s="150"/>
      <c r="M11" s="150"/>
      <c r="N11" s="150"/>
      <c r="O11" s="150"/>
    </row>
    <row r="13" spans="2:16" ht="15" customHeight="1" x14ac:dyDescent="0.25">
      <c r="C13" s="75" t="s">
        <v>840</v>
      </c>
      <c r="D13" s="75"/>
      <c r="E13" s="75" t="s">
        <v>842</v>
      </c>
      <c r="F13" s="249">
        <v>4.0999999999999996</v>
      </c>
      <c r="G13" s="249">
        <v>-46.5</v>
      </c>
      <c r="H13" s="249">
        <v>-35.722000000000001</v>
      </c>
      <c r="I13" s="249">
        <v>-42.185000000000002</v>
      </c>
      <c r="J13" s="249">
        <v>-10.3</v>
      </c>
      <c r="K13" s="249">
        <v>18.5</v>
      </c>
      <c r="L13" s="249">
        <v>-52.908999999999999</v>
      </c>
      <c r="M13" s="249">
        <v>-119.17100000000001</v>
      </c>
      <c r="N13" s="249">
        <v>-104.705</v>
      </c>
      <c r="O13" s="249">
        <v>-68.878</v>
      </c>
    </row>
    <row r="14" spans="2:16" ht="15" customHeight="1" x14ac:dyDescent="0.25">
      <c r="C14" s="75" t="s">
        <v>841</v>
      </c>
      <c r="D14" s="75"/>
      <c r="E14" s="75" t="s">
        <v>843</v>
      </c>
      <c r="F14" s="249">
        <v>-38.5</v>
      </c>
      <c r="G14" s="249">
        <v>0</v>
      </c>
      <c r="H14" s="249">
        <v>0</v>
      </c>
      <c r="I14" s="249">
        <v>0</v>
      </c>
      <c r="J14" s="249">
        <v>-16.2</v>
      </c>
      <c r="K14" s="249">
        <v>-50</v>
      </c>
      <c r="L14" s="249">
        <v>0</v>
      </c>
      <c r="M14" s="249">
        <v>0</v>
      </c>
      <c r="N14" s="249">
        <v>0</v>
      </c>
      <c r="O14" s="249">
        <v>0</v>
      </c>
    </row>
    <row r="15" spans="2:16" ht="5.0999999999999996" customHeight="1" x14ac:dyDescent="0.25">
      <c r="B15" s="27"/>
      <c r="C15" s="27"/>
      <c r="D15" s="27"/>
      <c r="E15" s="27"/>
      <c r="F15" s="249"/>
      <c r="G15" s="249"/>
      <c r="H15" s="249"/>
      <c r="I15" s="249"/>
      <c r="J15" s="249"/>
      <c r="K15" s="249"/>
      <c r="L15" s="249"/>
      <c r="M15" s="249"/>
      <c r="N15" s="249"/>
      <c r="O15" s="249"/>
    </row>
    <row r="16" spans="2:16" s="1" customFormat="1" ht="15" customHeight="1" x14ac:dyDescent="0.25">
      <c r="B16" s="170" t="s">
        <v>128</v>
      </c>
      <c r="C16" s="171"/>
      <c r="D16" s="171"/>
      <c r="E16" s="170" t="s">
        <v>669</v>
      </c>
      <c r="F16" s="250">
        <f t="shared" ref="F16:J16" si="0">SUM(F13:F14)</f>
        <v>-34.4</v>
      </c>
      <c r="G16" s="250">
        <f t="shared" si="0"/>
        <v>-46.5</v>
      </c>
      <c r="H16" s="250">
        <f t="shared" si="0"/>
        <v>-35.722000000000001</v>
      </c>
      <c r="I16" s="250">
        <f t="shared" si="0"/>
        <v>-42.185000000000002</v>
      </c>
      <c r="J16" s="250">
        <f t="shared" si="0"/>
        <v>-26.5</v>
      </c>
      <c r="K16" s="250">
        <f>SUM(K13:K14)</f>
        <v>-31.5</v>
      </c>
      <c r="L16" s="250">
        <f>SUM(L13:L14)</f>
        <v>-52.908999999999999</v>
      </c>
      <c r="M16" s="250">
        <f>SUM(M13:M14)</f>
        <v>-119.17100000000001</v>
      </c>
      <c r="N16" s="250">
        <f>SUM(N13:N14)</f>
        <v>-104.705</v>
      </c>
      <c r="O16" s="250">
        <f>SUM(O13:O14)</f>
        <v>-68.878</v>
      </c>
      <c r="P16"/>
    </row>
    <row r="17" spans="2:16" s="136" customFormat="1" ht="15" customHeight="1" x14ac:dyDescent="0.25">
      <c r="B17" s="173" t="s">
        <v>388</v>
      </c>
      <c r="C17" s="174"/>
      <c r="D17" s="174"/>
      <c r="E17" s="173" t="s">
        <v>670</v>
      </c>
      <c r="F17" s="175">
        <f xml:space="preserve"> ( - F16 / 'Carteira Expandida - Exp Port'!N13 ) * 4</f>
        <v>6.4084672624747912E-3</v>
      </c>
      <c r="G17" s="175">
        <f xml:space="preserve"> ( - G16 / 'Carteira Expandida - Exp Port'!O13 ) * 4</f>
        <v>8.913556172544624E-3</v>
      </c>
      <c r="H17" s="175">
        <f xml:space="preserve"> ( - H16 / 'Carteira Expandida - Exp Port'!P13 ) * 4</f>
        <v>6.5231268193092712E-3</v>
      </c>
      <c r="I17" s="175">
        <f xml:space="preserve"> ( - I16 / 'Carteira Expandida - Exp Port'!Q13 ) * 4</f>
        <v>7.2566363380812344E-3</v>
      </c>
      <c r="J17" s="175">
        <f xml:space="preserve"> ( - J16 / 'Carteira Expandida - Exp Port'!R13 ) * 4</f>
        <v>4.5958332046608331E-3</v>
      </c>
      <c r="K17" s="175">
        <f xml:space="preserve"> ( - K16 / 'Carteira Expandida - Exp Port'!S13 ) * 4</f>
        <v>5.1788171683697613E-3</v>
      </c>
      <c r="L17" s="175">
        <f xml:space="preserve"> ( - L16 / 'Carteira Expandida - Exp Port'!T13 ) * 4</f>
        <v>8.2553738452741336E-3</v>
      </c>
      <c r="M17" s="175">
        <f xml:space="preserve"> ( - M16 / 'Carteira Expandida - Exp Port'!U13 ) * 4</f>
        <v>1.8497727437174861E-2</v>
      </c>
      <c r="N17" s="175">
        <f xml:space="preserve"> ( - N16 / 'Carteira Expandida - Exp Port'!V13 ) * 4</f>
        <v>1.7405297676972957E-2</v>
      </c>
      <c r="O17" s="175">
        <f xml:space="preserve"> ( - O16 / 'Carteira Expandida - Exp Port'!W13 ) * 4</f>
        <v>1.1727349918875115E-2</v>
      </c>
      <c r="P17"/>
    </row>
    <row r="18" spans="2:16" ht="5.0999999999999996" customHeight="1" x14ac:dyDescent="0.25">
      <c r="B18" s="27"/>
      <c r="C18" s="27"/>
      <c r="D18" s="27"/>
      <c r="E18" s="27"/>
      <c r="F18" s="130"/>
      <c r="G18" s="130"/>
      <c r="H18" s="130"/>
      <c r="I18" s="130"/>
      <c r="J18" s="130"/>
      <c r="K18" s="130"/>
      <c r="L18" s="130"/>
      <c r="M18" s="130"/>
      <c r="N18" s="130"/>
      <c r="O18" s="130"/>
    </row>
    <row r="19" spans="2:16" ht="15" customHeight="1" x14ac:dyDescent="0.25">
      <c r="C19" s="75" t="s">
        <v>389</v>
      </c>
      <c r="D19" s="75"/>
      <c r="E19" s="75" t="s">
        <v>673</v>
      </c>
      <c r="F19" s="249">
        <v>-20.381760149581801</v>
      </c>
      <c r="G19" s="249">
        <v>-3.6649577899999999</v>
      </c>
      <c r="H19" s="249">
        <v>-4.7915168893244786</v>
      </c>
      <c r="I19" s="249">
        <v>-7.0511825326499302</v>
      </c>
      <c r="J19" s="249">
        <v>-0.17538446567532856</v>
      </c>
      <c r="K19" s="249">
        <v>-9.2987857934156004</v>
      </c>
      <c r="L19" s="249">
        <v>-7.19461767295219</v>
      </c>
      <c r="M19" s="249">
        <v>0.23342337783881068</v>
      </c>
      <c r="N19" s="249">
        <v>-2.4026914147146301</v>
      </c>
      <c r="O19" s="249">
        <v>-12.454389568564002</v>
      </c>
    </row>
    <row r="20" spans="2:16" ht="15" customHeight="1" x14ac:dyDescent="0.25">
      <c r="C20" s="75" t="s">
        <v>390</v>
      </c>
      <c r="D20" s="75"/>
      <c r="E20" s="75" t="s">
        <v>674</v>
      </c>
      <c r="F20" s="249">
        <v>0.25123478999999999</v>
      </c>
      <c r="G20" s="249">
        <v>14.539516969999999</v>
      </c>
      <c r="H20" s="249">
        <v>2.5814323399999997</v>
      </c>
      <c r="I20" s="249">
        <v>4.3291099753589997</v>
      </c>
      <c r="J20" s="249">
        <v>0.31014323999999999</v>
      </c>
      <c r="K20" s="249">
        <v>0.49240750999999999</v>
      </c>
      <c r="L20" s="249">
        <v>5.0130562200000002</v>
      </c>
      <c r="M20" s="249">
        <v>5.2321396800000004</v>
      </c>
      <c r="N20" s="249">
        <v>2.3529760999999998</v>
      </c>
      <c r="O20" s="249">
        <v>10.57004347</v>
      </c>
    </row>
    <row r="21" spans="2:16" ht="15" customHeight="1" x14ac:dyDescent="0.25">
      <c r="B21" s="27"/>
      <c r="C21" s="27"/>
      <c r="D21" s="27"/>
      <c r="E21" s="27"/>
      <c r="F21" s="130"/>
      <c r="G21" s="130"/>
      <c r="H21" s="130"/>
      <c r="I21" s="130"/>
      <c r="J21" s="130"/>
      <c r="K21" s="130"/>
      <c r="L21" s="130"/>
      <c r="M21" s="130"/>
      <c r="N21" s="130"/>
      <c r="O21" s="130"/>
    </row>
    <row r="22" spans="2:16" s="1" customFormat="1" ht="15" customHeight="1" x14ac:dyDescent="0.25">
      <c r="B22" s="170" t="s">
        <v>298</v>
      </c>
      <c r="C22" s="171"/>
      <c r="D22" s="171"/>
      <c r="E22" s="171"/>
      <c r="F22" s="250">
        <f t="shared" ref="F22:L22" si="1">F16+SUM(F19:F20)</f>
        <v>-54.530525359581802</v>
      </c>
      <c r="G22" s="250">
        <f t="shared" si="1"/>
        <v>-35.625440820000001</v>
      </c>
      <c r="H22" s="250">
        <f t="shared" si="1"/>
        <v>-37.932084549324479</v>
      </c>
      <c r="I22" s="250">
        <f t="shared" si="1"/>
        <v>-44.907072557290931</v>
      </c>
      <c r="J22" s="250">
        <f t="shared" si="1"/>
        <v>-26.36524122567533</v>
      </c>
      <c r="K22" s="250">
        <f t="shared" si="1"/>
        <v>-40.306378283415597</v>
      </c>
      <c r="L22" s="250">
        <f t="shared" si="1"/>
        <v>-55.090561452952187</v>
      </c>
      <c r="M22" s="250">
        <f t="shared" ref="M22:N22" si="2">M16+SUM(M19:M20)</f>
        <v>-113.7054369421612</v>
      </c>
      <c r="N22" s="250">
        <f t="shared" si="2"/>
        <v>-104.75471531471463</v>
      </c>
      <c r="O22" s="250">
        <f t="shared" ref="O22" si="3">O16+SUM(O19:O20)</f>
        <v>-70.762346098563995</v>
      </c>
      <c r="P22"/>
    </row>
    <row r="23" spans="2:16" ht="5.0999999999999996" customHeight="1" x14ac:dyDescent="0.25">
      <c r="F23" s="130"/>
      <c r="G23" s="130"/>
      <c r="H23" s="130"/>
      <c r="I23" s="130"/>
      <c r="J23" s="130"/>
      <c r="K23" s="130"/>
      <c r="L23" s="130"/>
      <c r="M23" s="130"/>
      <c r="N23" s="130"/>
      <c r="O23" s="130"/>
    </row>
    <row r="24" spans="2:16" ht="15" customHeight="1" x14ac:dyDescent="0.25">
      <c r="C24" s="75" t="s">
        <v>391</v>
      </c>
      <c r="D24" s="75"/>
      <c r="E24" s="75" t="s">
        <v>675</v>
      </c>
      <c r="F24" s="249">
        <v>5.4390000000000001</v>
      </c>
      <c r="G24" s="249">
        <v>2.0750000000000002</v>
      </c>
      <c r="H24" s="249">
        <v>-9.6969999999999992</v>
      </c>
      <c r="I24" s="249">
        <v>6.43</v>
      </c>
      <c r="J24" s="249">
        <v>2.0539999999999998</v>
      </c>
      <c r="K24" s="249">
        <v>-3.0880000000000001</v>
      </c>
      <c r="L24" s="249">
        <v>3.8282544399999998</v>
      </c>
      <c r="M24" s="249">
        <v>1.4380398400000001</v>
      </c>
      <c r="N24" s="249">
        <v>6.4439974900000001</v>
      </c>
      <c r="O24" s="249">
        <v>1.30053072999999</v>
      </c>
    </row>
    <row r="25" spans="2:16" ht="15" customHeight="1" x14ac:dyDescent="0.25">
      <c r="C25" s="75" t="s">
        <v>392</v>
      </c>
      <c r="D25" s="75"/>
      <c r="E25" s="75" t="s">
        <v>676</v>
      </c>
      <c r="F25" s="249">
        <v>-0.20681145000000001</v>
      </c>
      <c r="G25" s="249">
        <v>-18.210893289999998</v>
      </c>
      <c r="H25" s="249">
        <v>-6.9206919999999922E-2</v>
      </c>
      <c r="I25" s="249">
        <v>-5.6625179000000001</v>
      </c>
      <c r="J25" s="249">
        <v>-10.266460449066599</v>
      </c>
      <c r="K25" s="249">
        <v>-4.7471868581445396</v>
      </c>
      <c r="L25" s="249">
        <v>-0.37248548981594898</v>
      </c>
      <c r="M25" s="249">
        <v>-2.7292920938654168</v>
      </c>
      <c r="N25" s="249">
        <v>-0.63105507966010288</v>
      </c>
      <c r="O25" s="249">
        <v>-0.85321958200834191</v>
      </c>
    </row>
    <row r="26" spans="2:16" ht="15" customHeight="1" x14ac:dyDescent="0.25">
      <c r="B26" s="27"/>
      <c r="C26" s="27"/>
      <c r="D26" s="27"/>
      <c r="E26" s="27"/>
      <c r="F26" s="130"/>
      <c r="G26" s="130"/>
      <c r="H26" s="130"/>
      <c r="I26" s="130"/>
      <c r="J26" s="130"/>
      <c r="K26" s="130"/>
      <c r="L26" s="130"/>
      <c r="M26" s="130"/>
      <c r="N26" s="130"/>
      <c r="O26" s="130"/>
    </row>
    <row r="27" spans="2:16" s="1" customFormat="1" ht="15" customHeight="1" x14ac:dyDescent="0.25">
      <c r="B27" s="170" t="s">
        <v>393</v>
      </c>
      <c r="C27" s="171"/>
      <c r="D27" s="171"/>
      <c r="E27" s="170" t="s">
        <v>671</v>
      </c>
      <c r="F27" s="250">
        <f t="shared" ref="F27:J27" si="4">F22+SUM(F24:F25)</f>
        <v>-49.298336809581798</v>
      </c>
      <c r="G27" s="250">
        <f t="shared" si="4"/>
        <v>-51.76133411</v>
      </c>
      <c r="H27" s="250">
        <f t="shared" si="4"/>
        <v>-47.698291469324474</v>
      </c>
      <c r="I27" s="250">
        <f t="shared" si="4"/>
        <v>-44.139590457290929</v>
      </c>
      <c r="J27" s="250">
        <f t="shared" si="4"/>
        <v>-34.577701674741931</v>
      </c>
      <c r="K27" s="250">
        <f>K22+SUM(K24:K25)</f>
        <v>-48.141565141560136</v>
      </c>
      <c r="L27" s="250">
        <f>L22+SUM(L24:L25)</f>
        <v>-51.634792502768136</v>
      </c>
      <c r="M27" s="250">
        <f>M22+SUM(M24:M25)</f>
        <v>-114.99668919602662</v>
      </c>
      <c r="N27" s="250">
        <f>N22+SUM(N24:N25)</f>
        <v>-98.94177290437473</v>
      </c>
      <c r="O27" s="250">
        <f>O22+SUM(O24:O25)</f>
        <v>-70.315034950572354</v>
      </c>
      <c r="P27"/>
    </row>
    <row r="28" spans="2:16" s="136" customFormat="1" ht="15" customHeight="1" x14ac:dyDescent="0.25">
      <c r="B28" s="173" t="s">
        <v>394</v>
      </c>
      <c r="C28" s="174"/>
      <c r="D28" s="174"/>
      <c r="E28" s="173" t="s">
        <v>672</v>
      </c>
      <c r="F28" s="175">
        <f xml:space="preserve"> ( - F27 / 'Carteira Expandida - Exp Port'!N28 ) * 4</f>
        <v>5.5571215964486673E-3</v>
      </c>
      <c r="G28" s="175">
        <f xml:space="preserve"> ( - G27 / 'Carteira Expandida - Exp Port'!O28 ) * 4</f>
        <v>5.8816185810793157E-3</v>
      </c>
      <c r="H28" s="175">
        <f xml:space="preserve"> ( - H27 / 'Carteira Expandida - Exp Port'!P28 ) * 4</f>
        <v>5.1184224717100921E-3</v>
      </c>
      <c r="I28" s="175">
        <f xml:space="preserve"> ( - I27 / 'Carteira Expandida - Exp Port'!Q28 ) * 4</f>
        <v>4.6813247938605812E-3</v>
      </c>
      <c r="J28" s="175">
        <f xml:space="preserve"> ( - J27 / 'Carteira Expandida - Exp Port'!R28 ) * 4</f>
        <v>3.6820304034974978E-3</v>
      </c>
      <c r="K28" s="175">
        <f xml:space="preserve"> ( - K27 / 'Carteira Expandida - Exp Port'!S28 ) * 4</f>
        <v>4.8173844706528831E-3</v>
      </c>
      <c r="L28" s="175">
        <f xml:space="preserve"> ( - L27 / 'Carteira Expandida - Exp Port'!T28 ) * 4</f>
        <v>4.9726285433857589E-3</v>
      </c>
      <c r="M28" s="175">
        <f xml:space="preserve"> ( - M27 / 'Carteira Expandida - Exp Port'!U28 ) * 4</f>
        <v>1.0634194618778769E-2</v>
      </c>
      <c r="N28" s="175">
        <f xml:space="preserve"> ( - N27 / 'Carteira Expandida - Exp Port'!V28 ) * 4</f>
        <v>9.0663201499413225E-3</v>
      </c>
      <c r="O28" s="175">
        <f xml:space="preserve"> ( - O27 / 'Carteira Expandida - Exp Port'!W28 ) * 4</f>
        <v>6.4917348901694172E-3</v>
      </c>
      <c r="P28"/>
    </row>
    <row r="29" spans="2:16" ht="15" customHeight="1" x14ac:dyDescent="0.25">
      <c r="C29" s="27"/>
      <c r="D29" s="27"/>
      <c r="E29" s="27"/>
    </row>
  </sheetData>
  <phoneticPr fontId="34" type="noConversion"/>
  <hyperlinks>
    <hyperlink ref="O6" location="'Índice - Index'!A1" display="Index" xr:uid="{4D5BA299-AC9C-49C5-8874-10086DD32737}"/>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23FF-3C96-43EC-8F29-9AF6131E49AE}">
  <sheetPr codeName="Planilha9">
    <tabColor theme="3" tint="0.39997558519241921"/>
    <pageSetUpPr autoPageBreaks="0"/>
  </sheetPr>
  <dimension ref="B2:Z133"/>
  <sheetViews>
    <sheetView showGridLines="0" zoomScale="80" zoomScaleNormal="80" workbookViewId="0">
      <pane xSplit="5" ySplit="9" topLeftCell="S10" activePane="bottomRight" state="frozen"/>
      <selection activeCell="D1" sqref="D1"/>
      <selection pane="topRight" activeCell="D1" sqref="D1"/>
      <selection pane="bottomLeft" activeCell="D1" sqref="D1"/>
      <selection pane="bottomRight" activeCell="W9" sqref="W9"/>
    </sheetView>
  </sheetViews>
  <sheetFormatPr defaultColWidth="12" defaultRowHeight="15" outlineLevelCol="1" x14ac:dyDescent="0.25"/>
  <cols>
    <col min="1" max="1" width="2.7109375" customWidth="1"/>
    <col min="2" max="2" width="1.7109375" customWidth="1" outlineLevel="1"/>
    <col min="3" max="3" width="60.7109375" customWidth="1" outlineLevel="1"/>
    <col min="4" max="4" width="1.7109375" customWidth="1"/>
    <col min="5" max="5" width="60.7109375" customWidth="1" outlineLevel="1"/>
    <col min="6" max="18" width="11.7109375" customWidth="1"/>
    <col min="20" max="21" width="11.7109375" customWidth="1"/>
    <col min="24" max="24" width="13.140625" bestFit="1" customWidth="1"/>
  </cols>
  <sheetData>
    <row r="2" spans="2:24" x14ac:dyDescent="0.25">
      <c r="B2" t="s">
        <v>429</v>
      </c>
    </row>
    <row r="3" spans="2:24" ht="21" x14ac:dyDescent="0.35">
      <c r="C3" s="4"/>
      <c r="D3" s="4"/>
      <c r="E3" s="4"/>
    </row>
    <row r="4" spans="2:24" ht="15" customHeight="1" x14ac:dyDescent="0.25">
      <c r="C4" s="3"/>
      <c r="D4" s="3"/>
      <c r="E4" s="3"/>
    </row>
    <row r="5" spans="2:24" x14ac:dyDescent="0.25">
      <c r="C5" s="2"/>
      <c r="D5" s="2"/>
      <c r="E5" s="2"/>
    </row>
    <row r="6" spans="2:24" x14ac:dyDescent="0.25">
      <c r="F6" s="236" t="s">
        <v>486</v>
      </c>
      <c r="W6" s="252" t="s">
        <v>486</v>
      </c>
    </row>
    <row r="7" spans="2:24" ht="18.75" x14ac:dyDescent="0.3">
      <c r="B7" s="40" t="s">
        <v>406</v>
      </c>
      <c r="C7" s="40"/>
      <c r="D7" s="40"/>
      <c r="E7" s="40" t="s">
        <v>465</v>
      </c>
    </row>
    <row r="8" spans="2:24" ht="18.75" x14ac:dyDescent="0.25">
      <c r="B8" s="215" t="s">
        <v>434</v>
      </c>
      <c r="C8" s="216"/>
      <c r="D8" s="216"/>
      <c r="E8" s="215" t="s">
        <v>435</v>
      </c>
      <c r="F8" s="218" t="s">
        <v>182</v>
      </c>
      <c r="G8" s="218" t="s">
        <v>185</v>
      </c>
      <c r="H8" s="218" t="s">
        <v>242</v>
      </c>
      <c r="I8" s="218" t="s">
        <v>510</v>
      </c>
      <c r="J8" s="218" t="s">
        <v>290</v>
      </c>
      <c r="K8" s="218" t="s">
        <v>292</v>
      </c>
      <c r="L8" s="218" t="s">
        <v>511</v>
      </c>
      <c r="M8" s="218" t="s">
        <v>512</v>
      </c>
      <c r="N8" s="218" t="s">
        <v>322</v>
      </c>
      <c r="O8" s="218" t="s">
        <v>329</v>
      </c>
      <c r="P8" s="218" t="s">
        <v>513</v>
      </c>
      <c r="Q8" s="218" t="s">
        <v>514</v>
      </c>
      <c r="R8" s="218" t="s">
        <v>430</v>
      </c>
      <c r="S8" s="218" t="s">
        <v>827</v>
      </c>
      <c r="T8" s="218" t="s">
        <v>845</v>
      </c>
      <c r="U8" s="218" t="s">
        <v>851</v>
      </c>
      <c r="V8" s="218" t="s">
        <v>855</v>
      </c>
      <c r="W8" s="218" t="s">
        <v>862</v>
      </c>
    </row>
    <row r="9" spans="2:24" s="3" customFormat="1" x14ac:dyDescent="0.25">
      <c r="B9" s="154" t="s">
        <v>338</v>
      </c>
      <c r="C9" s="146"/>
      <c r="D9" s="146"/>
      <c r="E9" s="154" t="s">
        <v>433</v>
      </c>
      <c r="F9" s="155" t="s">
        <v>182</v>
      </c>
      <c r="G9" s="155" t="s">
        <v>185</v>
      </c>
      <c r="H9" s="155" t="s">
        <v>198</v>
      </c>
      <c r="I9" s="155" t="s">
        <v>285</v>
      </c>
      <c r="J9" s="155" t="s">
        <v>290</v>
      </c>
      <c r="K9" s="155" t="s">
        <v>292</v>
      </c>
      <c r="L9" s="155" t="s">
        <v>306</v>
      </c>
      <c r="M9" s="155" t="s">
        <v>309</v>
      </c>
      <c r="N9" s="155" t="s">
        <v>322</v>
      </c>
      <c r="O9" s="155" t="s">
        <v>329</v>
      </c>
      <c r="P9" s="155" t="s">
        <v>331</v>
      </c>
      <c r="Q9" s="155" t="s">
        <v>335</v>
      </c>
      <c r="R9" s="155" t="s">
        <v>430</v>
      </c>
      <c r="S9" s="155" t="s">
        <v>827</v>
      </c>
      <c r="T9" s="155" t="s">
        <v>846</v>
      </c>
      <c r="U9" s="155" t="s">
        <v>853</v>
      </c>
      <c r="V9" s="155" t="s">
        <v>855</v>
      </c>
      <c r="W9" s="155" t="s">
        <v>862</v>
      </c>
    </row>
    <row r="10" spans="2:24" ht="15" customHeight="1" x14ac:dyDescent="0.25">
      <c r="F10" s="9"/>
      <c r="G10" s="9"/>
      <c r="H10" s="9"/>
      <c r="I10" s="9"/>
      <c r="J10" s="9"/>
      <c r="K10" s="9"/>
      <c r="L10" s="9"/>
      <c r="M10" s="9"/>
      <c r="N10" s="9"/>
      <c r="O10" s="9"/>
      <c r="P10" s="9"/>
      <c r="Q10" s="9"/>
      <c r="R10" s="9"/>
      <c r="S10" s="9"/>
      <c r="T10" s="9"/>
      <c r="U10" s="9"/>
      <c r="V10" s="9"/>
      <c r="W10" s="9"/>
    </row>
    <row r="11" spans="2:24" ht="15" customHeight="1" x14ac:dyDescent="0.25">
      <c r="B11" s="160" t="s">
        <v>234</v>
      </c>
      <c r="C11" s="160"/>
      <c r="D11" s="160"/>
      <c r="E11" s="160" t="s">
        <v>677</v>
      </c>
      <c r="F11" s="177"/>
      <c r="G11" s="177"/>
      <c r="H11" s="177"/>
      <c r="I11" s="149"/>
      <c r="J11" s="149"/>
      <c r="K11" s="149"/>
      <c r="L11" s="149"/>
      <c r="M11" s="149"/>
      <c r="N11" s="149"/>
      <c r="O11" s="149"/>
      <c r="P11" s="149"/>
      <c r="Q11" s="149"/>
      <c r="R11" s="149"/>
      <c r="S11" s="149"/>
      <c r="T11" s="149"/>
      <c r="U11" s="149"/>
      <c r="V11" s="149"/>
      <c r="W11" s="149"/>
    </row>
    <row r="12" spans="2:24" ht="15" customHeight="1" x14ac:dyDescent="0.25">
      <c r="B12" s="74"/>
      <c r="C12" s="74"/>
      <c r="D12" s="74"/>
      <c r="E12" s="74"/>
      <c r="F12" s="176"/>
      <c r="G12" s="176"/>
      <c r="H12" s="176"/>
    </row>
    <row r="13" spans="2:24" s="1" customFormat="1" ht="15" customHeight="1" x14ac:dyDescent="0.25">
      <c r="B13" s="178" t="s">
        <v>233</v>
      </c>
      <c r="C13" s="179"/>
      <c r="D13" s="179"/>
      <c r="E13" s="178" t="s">
        <v>678</v>
      </c>
      <c r="F13" s="180">
        <f t="shared" ref="F13:P13" si="0">SUM(F14:F16)</f>
        <v>13064.853786130003</v>
      </c>
      <c r="G13" s="180">
        <f t="shared" si="0"/>
        <v>13633.293013570001</v>
      </c>
      <c r="H13" s="180">
        <f t="shared" si="0"/>
        <v>15191.835234649974</v>
      </c>
      <c r="I13" s="180">
        <f t="shared" si="0"/>
        <v>17199.549038440036</v>
      </c>
      <c r="J13" s="180">
        <f t="shared" si="0"/>
        <v>17856.635476169966</v>
      </c>
      <c r="K13" s="180">
        <f t="shared" si="0"/>
        <v>18218.736355140012</v>
      </c>
      <c r="L13" s="180">
        <f t="shared" si="0"/>
        <v>19231.243380689972</v>
      </c>
      <c r="M13" s="180">
        <f t="shared" si="0"/>
        <v>20940.265563360019</v>
      </c>
      <c r="N13" s="180">
        <f t="shared" si="0"/>
        <v>21471.592873030029</v>
      </c>
      <c r="O13" s="180">
        <f t="shared" si="0"/>
        <v>20867.09237026114</v>
      </c>
      <c r="P13" s="180">
        <f t="shared" si="0"/>
        <v>21904.832445849996</v>
      </c>
      <c r="Q13" s="180">
        <f t="shared" ref="Q13:R13" si="1">SUM(Q14:Q16)</f>
        <v>23253.197781800023</v>
      </c>
      <c r="R13" s="180">
        <f t="shared" si="1"/>
        <v>23064.370546019996</v>
      </c>
      <c r="S13" s="180">
        <f>SUM(S14:S16)</f>
        <v>24329.879952039995</v>
      </c>
      <c r="T13" s="180">
        <f>SUM(T14:T16)</f>
        <v>25636.149733079987</v>
      </c>
      <c r="U13" s="180">
        <f>SUM(U14:U16)</f>
        <v>25769.868305119944</v>
      </c>
      <c r="V13" s="180">
        <f>SUM(V14:V16)</f>
        <v>24062.78868497003</v>
      </c>
      <c r="W13" s="180">
        <f>SUM(W14:W16)</f>
        <v>23493.116680740015</v>
      </c>
    </row>
    <row r="14" spans="2:24" ht="15" customHeight="1" x14ac:dyDescent="0.25">
      <c r="C14" s="75" t="s">
        <v>328</v>
      </c>
      <c r="D14" s="75"/>
      <c r="E14" s="75" t="s">
        <v>328</v>
      </c>
      <c r="F14" s="12">
        <v>2408.021198240001</v>
      </c>
      <c r="G14" s="12">
        <v>2762.9046491299969</v>
      </c>
      <c r="H14" s="12">
        <v>2750.5120758999992</v>
      </c>
      <c r="I14" s="12">
        <v>3844.248173009993</v>
      </c>
      <c r="J14" s="12">
        <v>3381.0537366400031</v>
      </c>
      <c r="K14" s="12">
        <v>3646.163480879999</v>
      </c>
      <c r="L14" s="12">
        <v>3410.0451813200034</v>
      </c>
      <c r="M14" s="12">
        <v>4001.382155910002</v>
      </c>
      <c r="N14" s="12">
        <v>4308.9526698399986</v>
      </c>
      <c r="O14" s="12">
        <v>3745.9983581311626</v>
      </c>
      <c r="P14" s="12">
        <v>3667.5906748399989</v>
      </c>
      <c r="Q14" s="12">
        <v>4209.3851276600008</v>
      </c>
      <c r="R14" s="12">
        <v>4082.8173425699988</v>
      </c>
      <c r="S14" s="12">
        <v>4545.3419606599982</v>
      </c>
      <c r="T14" s="12">
        <v>4270.9568856999995</v>
      </c>
      <c r="U14" s="12">
        <v>4469.97290006</v>
      </c>
      <c r="V14" s="12">
        <v>3465.7265001799992</v>
      </c>
      <c r="W14" s="12">
        <v>3423.327530280003</v>
      </c>
      <c r="X14" s="1"/>
    </row>
    <row r="15" spans="2:24" ht="15" customHeight="1" x14ac:dyDescent="0.25">
      <c r="C15" s="75" t="s">
        <v>140</v>
      </c>
      <c r="D15" s="75"/>
      <c r="E15" s="75" t="s">
        <v>140</v>
      </c>
      <c r="F15" s="12">
        <v>10067.963281290002</v>
      </c>
      <c r="G15" s="12">
        <v>10254.622802230004</v>
      </c>
      <c r="H15" s="12">
        <v>11809.563989459975</v>
      </c>
      <c r="I15" s="12">
        <v>12656.993062800044</v>
      </c>
      <c r="J15" s="12">
        <v>13652.257932389963</v>
      </c>
      <c r="K15" s="12">
        <v>13716.934383490016</v>
      </c>
      <c r="L15" s="12">
        <v>14325.014092769969</v>
      </c>
      <c r="M15" s="12">
        <v>14849.390454350021</v>
      </c>
      <c r="N15" s="12">
        <v>14963.517945310028</v>
      </c>
      <c r="O15" s="12">
        <v>14744.895772349979</v>
      </c>
      <c r="P15" s="12">
        <v>15629.67339093</v>
      </c>
      <c r="Q15" s="12">
        <v>16128.803856280017</v>
      </c>
      <c r="R15" s="12">
        <v>16160.925175489994</v>
      </c>
      <c r="S15" s="12">
        <v>16619.458156749992</v>
      </c>
      <c r="T15" s="12">
        <v>17511.257671099982</v>
      </c>
      <c r="U15" s="12">
        <v>17209.317309579939</v>
      </c>
      <c r="V15" s="12">
        <v>16693.653762480033</v>
      </c>
      <c r="W15" s="12">
        <v>16212.598291820012</v>
      </c>
      <c r="X15" s="1"/>
    </row>
    <row r="16" spans="2:24" ht="15" customHeight="1" x14ac:dyDescent="0.25">
      <c r="C16" s="75" t="s">
        <v>188</v>
      </c>
      <c r="D16" s="75"/>
      <c r="E16" s="75" t="s">
        <v>188</v>
      </c>
      <c r="F16" s="12">
        <v>588.86930659999939</v>
      </c>
      <c r="G16" s="12">
        <v>615.76556220999987</v>
      </c>
      <c r="H16" s="12">
        <v>631.75916928999948</v>
      </c>
      <c r="I16" s="12">
        <v>698.3078026300002</v>
      </c>
      <c r="J16" s="12">
        <v>823.32380714000078</v>
      </c>
      <c r="K16" s="12">
        <v>855.63849076999918</v>
      </c>
      <c r="L16" s="12">
        <v>1496.1841065999995</v>
      </c>
      <c r="M16" s="12">
        <v>2089.4929530999957</v>
      </c>
      <c r="N16" s="12">
        <v>2199.1222578800002</v>
      </c>
      <c r="O16" s="12">
        <v>2376.1982397799984</v>
      </c>
      <c r="P16" s="12">
        <v>2607.5683800799975</v>
      </c>
      <c r="Q16" s="12">
        <v>2915.0087978600072</v>
      </c>
      <c r="R16" s="12">
        <v>2820.6280279600032</v>
      </c>
      <c r="S16" s="12">
        <v>3165.0798346300039</v>
      </c>
      <c r="T16" s="12">
        <v>3853.9351762800043</v>
      </c>
      <c r="U16" s="12">
        <v>4090.5780954800043</v>
      </c>
      <c r="V16" s="12">
        <v>3903.4084223099962</v>
      </c>
      <c r="W16" s="12">
        <v>3857.1908586400004</v>
      </c>
      <c r="X16" s="1"/>
    </row>
    <row r="17" spans="2:26" ht="15" customHeight="1" x14ac:dyDescent="0.25">
      <c r="C17" s="75"/>
      <c r="D17" s="75"/>
      <c r="F17" s="12"/>
      <c r="G17" s="12"/>
      <c r="H17" s="12"/>
      <c r="I17" s="12"/>
      <c r="J17" s="12"/>
      <c r="K17" s="12"/>
      <c r="L17" s="12"/>
      <c r="M17" s="12"/>
      <c r="N17" s="12"/>
      <c r="O17" s="12"/>
      <c r="P17" s="12"/>
      <c r="Q17" s="12"/>
      <c r="R17" s="12"/>
      <c r="S17" s="12"/>
      <c r="T17" s="12"/>
      <c r="U17" s="12"/>
      <c r="V17" s="12"/>
      <c r="W17" s="12"/>
      <c r="X17" s="1"/>
    </row>
    <row r="18" spans="2:26" s="1" customFormat="1" ht="15" customHeight="1" x14ac:dyDescent="0.25">
      <c r="B18" s="178" t="s">
        <v>232</v>
      </c>
      <c r="C18" s="179"/>
      <c r="D18" s="179"/>
      <c r="E18" s="178" t="s">
        <v>679</v>
      </c>
      <c r="F18" s="181">
        <f t="shared" ref="F18:P18" si="2">SUM(F19:F21)</f>
        <v>10540.606571800005</v>
      </c>
      <c r="G18" s="181">
        <f t="shared" si="2"/>
        <v>10164.542460719997</v>
      </c>
      <c r="H18" s="181">
        <f t="shared" si="2"/>
        <v>9689.332595449996</v>
      </c>
      <c r="I18" s="181">
        <f t="shared" si="2"/>
        <v>9256.0573996299991</v>
      </c>
      <c r="J18" s="181">
        <f t="shared" si="2"/>
        <v>9593.227772889999</v>
      </c>
      <c r="K18" s="181">
        <f t="shared" si="2"/>
        <v>10014.66025377999</v>
      </c>
      <c r="L18" s="181">
        <f t="shared" si="2"/>
        <v>10030.245326799999</v>
      </c>
      <c r="M18" s="181">
        <f t="shared" si="2"/>
        <v>10160.918785500004</v>
      </c>
      <c r="N18" s="181">
        <f t="shared" si="2"/>
        <v>10735.844957219995</v>
      </c>
      <c r="O18" s="181">
        <f t="shared" si="2"/>
        <v>10742.253204939992</v>
      </c>
      <c r="P18" s="181">
        <f t="shared" si="2"/>
        <v>11434.922191309997</v>
      </c>
      <c r="Q18" s="181">
        <f t="shared" ref="Q18:R18" si="3">SUM(Q19:Q21)</f>
        <v>11068.80908262999</v>
      </c>
      <c r="R18" s="181">
        <f t="shared" si="3"/>
        <v>11178.008177410002</v>
      </c>
      <c r="S18" s="181">
        <f t="shared" ref="S18:T18" si="4">SUM(S19:S21)</f>
        <v>11080.594888209998</v>
      </c>
      <c r="T18" s="181">
        <f t="shared" si="4"/>
        <v>10926.953340270002</v>
      </c>
      <c r="U18" s="181">
        <f t="shared" ref="U18:V18" si="5">SUM(U19:U21)</f>
        <v>11460.120507900006</v>
      </c>
      <c r="V18" s="181">
        <f t="shared" si="5"/>
        <v>12305.984123099992</v>
      </c>
      <c r="W18" s="181">
        <f t="shared" ref="W18" si="6">SUM(W19:W21)</f>
        <v>11903.185016789999</v>
      </c>
    </row>
    <row r="19" spans="2:26" ht="15" customHeight="1" x14ac:dyDescent="0.25">
      <c r="C19" s="75" t="s">
        <v>328</v>
      </c>
      <c r="D19" s="75"/>
      <c r="E19" s="75" t="s">
        <v>328</v>
      </c>
      <c r="F19" s="12">
        <v>7547.2695977700032</v>
      </c>
      <c r="G19" s="12">
        <v>7708.9800279499959</v>
      </c>
      <c r="H19" s="12">
        <v>7438.153516149996</v>
      </c>
      <c r="I19" s="12">
        <v>7227.1977639599991</v>
      </c>
      <c r="J19" s="12">
        <v>7701.4935448199976</v>
      </c>
      <c r="K19" s="12">
        <v>8110.7271815999893</v>
      </c>
      <c r="L19" s="12">
        <v>8013.1190406299975</v>
      </c>
      <c r="M19" s="12">
        <v>8123.5645840700035</v>
      </c>
      <c r="N19" s="12">
        <v>8619.5140788799945</v>
      </c>
      <c r="O19" s="12">
        <v>8499.5821047299924</v>
      </c>
      <c r="P19" s="12">
        <v>9180.6239531399951</v>
      </c>
      <c r="Q19" s="12">
        <v>8712.1160886499929</v>
      </c>
      <c r="R19" s="12">
        <v>8663.5092174800011</v>
      </c>
      <c r="S19" s="12">
        <v>7883.2949680199963</v>
      </c>
      <c r="T19" s="12">
        <v>7749.6036761900004</v>
      </c>
      <c r="U19" s="12">
        <v>8323.5469141600042</v>
      </c>
      <c r="V19" s="12">
        <v>8739.0151133099953</v>
      </c>
      <c r="W19" s="12">
        <v>8407.3249322800002</v>
      </c>
      <c r="X19" s="1"/>
    </row>
    <row r="20" spans="2:26" ht="15" customHeight="1" x14ac:dyDescent="0.25">
      <c r="C20" s="75" t="s">
        <v>140</v>
      </c>
      <c r="D20" s="75"/>
      <c r="E20" s="75" t="s">
        <v>140</v>
      </c>
      <c r="F20" s="12">
        <v>2974.125118460001</v>
      </c>
      <c r="G20" s="12">
        <v>2437.1760245700011</v>
      </c>
      <c r="H20" s="12">
        <v>2231.9172785200012</v>
      </c>
      <c r="I20" s="12">
        <v>2008.24799706</v>
      </c>
      <c r="J20" s="12">
        <v>1868.8272896400015</v>
      </c>
      <c r="K20" s="12">
        <v>1873.1798912199995</v>
      </c>
      <c r="L20" s="12">
        <v>1991.16816348</v>
      </c>
      <c r="M20" s="12">
        <v>2003.8648173000001</v>
      </c>
      <c r="N20" s="12">
        <v>2087.4937489199997</v>
      </c>
      <c r="O20" s="12">
        <v>2199.54865101</v>
      </c>
      <c r="P20" s="12">
        <v>2213.0233274400011</v>
      </c>
      <c r="Q20" s="12">
        <v>2304.9340560899986</v>
      </c>
      <c r="R20" s="12">
        <v>2461.338896889999</v>
      </c>
      <c r="S20" s="12">
        <v>3125.5937913900011</v>
      </c>
      <c r="T20" s="12">
        <v>3107.9937753200015</v>
      </c>
      <c r="U20" s="12">
        <v>3076.3435686200028</v>
      </c>
      <c r="V20" s="12">
        <v>3528.6127928399974</v>
      </c>
      <c r="W20" s="12">
        <v>3456.4394265599994</v>
      </c>
      <c r="X20" s="1"/>
    </row>
    <row r="21" spans="2:26" ht="15" customHeight="1" x14ac:dyDescent="0.25">
      <c r="C21" s="75" t="s">
        <v>188</v>
      </c>
      <c r="D21" s="75"/>
      <c r="E21" s="75" t="s">
        <v>188</v>
      </c>
      <c r="F21" s="12">
        <v>19.211855569999997</v>
      </c>
      <c r="G21" s="12">
        <v>18.386408199999998</v>
      </c>
      <c r="H21" s="12">
        <v>19.261800779999998</v>
      </c>
      <c r="I21" s="12">
        <v>20.611638609999996</v>
      </c>
      <c r="J21" s="12">
        <v>22.90693843</v>
      </c>
      <c r="K21" s="12">
        <v>30.753180959999998</v>
      </c>
      <c r="L21" s="12">
        <v>25.958122689999996</v>
      </c>
      <c r="M21" s="12">
        <v>33.489384129999998</v>
      </c>
      <c r="N21" s="12">
        <v>28.837129419999997</v>
      </c>
      <c r="O21" s="12">
        <v>43.122449199999998</v>
      </c>
      <c r="P21" s="12">
        <v>41.274910730000002</v>
      </c>
      <c r="Q21" s="12">
        <v>51.758937889999999</v>
      </c>
      <c r="R21" s="12">
        <v>53.160063039999997</v>
      </c>
      <c r="S21" s="12">
        <v>71.706128800000002</v>
      </c>
      <c r="T21" s="12">
        <v>69.355888759999985</v>
      </c>
      <c r="U21" s="12">
        <v>60.230025120000008</v>
      </c>
      <c r="V21" s="12">
        <v>38.356216950000004</v>
      </c>
      <c r="W21" s="12">
        <v>39.420657950000006</v>
      </c>
      <c r="X21" s="1"/>
    </row>
    <row r="22" spans="2:26" ht="15" customHeight="1" x14ac:dyDescent="0.25">
      <c r="C22" s="75"/>
      <c r="D22" s="75"/>
      <c r="F22" s="12"/>
      <c r="G22" s="12"/>
      <c r="H22" s="12"/>
      <c r="I22" s="12"/>
      <c r="J22" s="12"/>
      <c r="K22" s="12"/>
      <c r="L22" s="12"/>
      <c r="M22" s="12"/>
      <c r="N22" s="12"/>
      <c r="O22" s="12"/>
      <c r="P22" s="12"/>
      <c r="Q22" s="12"/>
      <c r="R22" s="12"/>
      <c r="S22" s="12"/>
      <c r="T22" s="12"/>
      <c r="U22" s="12"/>
      <c r="V22" s="12"/>
      <c r="W22" s="12"/>
      <c r="X22" s="1"/>
    </row>
    <row r="23" spans="2:26" s="1" customFormat="1" ht="15" customHeight="1" x14ac:dyDescent="0.25">
      <c r="B23" s="178" t="s">
        <v>231</v>
      </c>
      <c r="C23" s="179"/>
      <c r="D23" s="179"/>
      <c r="E23" s="178" t="s">
        <v>680</v>
      </c>
      <c r="F23" s="180">
        <f t="shared" ref="F23:P23" si="7">SUM(F24:F26)</f>
        <v>2897.6816648894905</v>
      </c>
      <c r="G23" s="180">
        <f t="shared" si="7"/>
        <v>3266.8416535977531</v>
      </c>
      <c r="H23" s="180">
        <f t="shared" si="7"/>
        <v>3354.3374118977513</v>
      </c>
      <c r="I23" s="180">
        <f t="shared" si="7"/>
        <v>3692.3248867041912</v>
      </c>
      <c r="J23" s="180">
        <f t="shared" si="7"/>
        <v>3651.3204275570797</v>
      </c>
      <c r="K23" s="180">
        <f t="shared" si="7"/>
        <v>3831.4524998994502</v>
      </c>
      <c r="L23" s="180">
        <f t="shared" si="7"/>
        <v>3667.0855124299214</v>
      </c>
      <c r="M23" s="180">
        <f t="shared" si="7"/>
        <v>3277.2306769800007</v>
      </c>
      <c r="N23" s="180">
        <f t="shared" si="7"/>
        <v>3277.3619560900006</v>
      </c>
      <c r="O23" s="180">
        <f t="shared" si="7"/>
        <v>3592.7562928200005</v>
      </c>
      <c r="P23" s="180">
        <f t="shared" si="7"/>
        <v>3936.0206494299996</v>
      </c>
      <c r="Q23" s="180">
        <f t="shared" ref="Q23:R23" si="8">SUM(Q24:Q26)</f>
        <v>3393.4624960200008</v>
      </c>
      <c r="R23" s="180">
        <f t="shared" si="8"/>
        <v>3321.3542016400006</v>
      </c>
      <c r="S23" s="180">
        <f>SUM(S24:S26)</f>
        <v>4562.7225948599998</v>
      </c>
      <c r="T23" s="180">
        <f>SUM(T24:T26)</f>
        <v>4972.1067676900011</v>
      </c>
      <c r="U23" s="180">
        <f>SUM(U24:U26)</f>
        <v>6025.4501998999986</v>
      </c>
      <c r="V23" s="180">
        <f>SUM(V24:V26)</f>
        <v>7283.6776980000013</v>
      </c>
      <c r="W23" s="180">
        <f>SUM(W24:W26)</f>
        <v>7929.5802987000015</v>
      </c>
      <c r="Z23" s="265"/>
    </row>
    <row r="24" spans="2:26" ht="15" customHeight="1" x14ac:dyDescent="0.25">
      <c r="C24" s="75" t="s">
        <v>328</v>
      </c>
      <c r="D24" s="75"/>
      <c r="E24" s="75" t="s">
        <v>328</v>
      </c>
      <c r="F24" s="12">
        <v>985.01499899375199</v>
      </c>
      <c r="G24" s="12">
        <v>1185.9681689337528</v>
      </c>
      <c r="H24" s="12">
        <v>1395.1608486537516</v>
      </c>
      <c r="I24" s="12">
        <v>1634.2179570571907</v>
      </c>
      <c r="J24" s="12">
        <v>1681.5325894300797</v>
      </c>
      <c r="K24" s="12">
        <v>2004.8028905724511</v>
      </c>
      <c r="L24" s="12">
        <v>1949.5225286729212</v>
      </c>
      <c r="M24" s="12">
        <v>1704.3488263299998</v>
      </c>
      <c r="N24" s="12">
        <v>1667.2308398700002</v>
      </c>
      <c r="O24" s="12">
        <v>1756.8325127499998</v>
      </c>
      <c r="P24" s="12">
        <v>2147.5614191500003</v>
      </c>
      <c r="Q24" s="12">
        <v>1452.4378299300001</v>
      </c>
      <c r="R24" s="12">
        <v>1329.3721603800002</v>
      </c>
      <c r="S24" s="12">
        <v>1630.2811389999999</v>
      </c>
      <c r="T24" s="12">
        <v>1513.5344306499996</v>
      </c>
      <c r="U24" s="12">
        <v>1800.5099957699999</v>
      </c>
      <c r="V24" s="12">
        <v>2357.1322482400001</v>
      </c>
      <c r="W24" s="12">
        <v>2191.4924113399998</v>
      </c>
      <c r="X24" s="1"/>
    </row>
    <row r="25" spans="2:26" ht="15" customHeight="1" x14ac:dyDescent="0.25">
      <c r="C25" s="75" t="s">
        <v>140</v>
      </c>
      <c r="D25" s="75"/>
      <c r="E25" s="75" t="s">
        <v>140</v>
      </c>
      <c r="F25" s="12">
        <v>1908.1371840357383</v>
      </c>
      <c r="G25" s="12">
        <v>2080.8734846640004</v>
      </c>
      <c r="H25" s="12">
        <v>1959.1765632439997</v>
      </c>
      <c r="I25" s="12">
        <v>2056.8350612870004</v>
      </c>
      <c r="J25" s="12">
        <v>1968.8309335269998</v>
      </c>
      <c r="K25" s="12">
        <v>1826.6496093269991</v>
      </c>
      <c r="L25" s="12">
        <v>1717.562983757</v>
      </c>
      <c r="M25" s="12">
        <v>1572.8818506500006</v>
      </c>
      <c r="N25" s="12">
        <v>1610.1311162200004</v>
      </c>
      <c r="O25" s="12">
        <v>1835.9237800700005</v>
      </c>
      <c r="P25" s="12">
        <v>1783.4264248899997</v>
      </c>
      <c r="Q25" s="12">
        <v>1936.0336605900004</v>
      </c>
      <c r="R25" s="12">
        <v>1989.5026848600003</v>
      </c>
      <c r="S25" s="12">
        <v>2925.4129602799999</v>
      </c>
      <c r="T25" s="12">
        <v>3447.6073847500015</v>
      </c>
      <c r="U25" s="12">
        <v>4212.2881788699988</v>
      </c>
      <c r="V25" s="12">
        <v>4900.1081050900011</v>
      </c>
      <c r="W25" s="12">
        <v>5671.1128649500015</v>
      </c>
      <c r="X25" s="1"/>
    </row>
    <row r="26" spans="2:26" ht="15" customHeight="1" x14ac:dyDescent="0.25">
      <c r="C26" s="75" t="s">
        <v>188</v>
      </c>
      <c r="D26" s="75"/>
      <c r="E26" s="75" t="s">
        <v>188</v>
      </c>
      <c r="F26" s="12">
        <v>4.5294818600000006</v>
      </c>
      <c r="G26" s="12">
        <v>0</v>
      </c>
      <c r="H26" s="12">
        <v>0</v>
      </c>
      <c r="I26" s="12">
        <v>1.27186836</v>
      </c>
      <c r="J26" s="12">
        <v>0.95690459999999999</v>
      </c>
      <c r="K26" s="12">
        <v>0</v>
      </c>
      <c r="L26" s="12">
        <v>0</v>
      </c>
      <c r="M26" s="12">
        <v>0</v>
      </c>
      <c r="N26" s="12">
        <v>0</v>
      </c>
      <c r="O26" s="12">
        <v>0</v>
      </c>
      <c r="P26" s="12">
        <v>5.03280539</v>
      </c>
      <c r="Q26" s="12">
        <v>4.9910055</v>
      </c>
      <c r="R26" s="12">
        <v>2.4793563999999999</v>
      </c>
      <c r="S26" s="12">
        <v>7.0284955800000004</v>
      </c>
      <c r="T26" s="12">
        <v>10.964952289999999</v>
      </c>
      <c r="U26" s="12">
        <v>12.65202526</v>
      </c>
      <c r="V26" s="12">
        <v>26.437344669999998</v>
      </c>
      <c r="W26" s="12">
        <v>66.975022410000008</v>
      </c>
      <c r="X26" s="1"/>
    </row>
    <row r="27" spans="2:26" ht="15" customHeight="1" x14ac:dyDescent="0.25">
      <c r="C27" s="75"/>
      <c r="D27" s="75"/>
      <c r="F27" s="12"/>
      <c r="G27" s="12"/>
      <c r="H27" s="12"/>
      <c r="I27" s="12"/>
      <c r="J27" s="12"/>
      <c r="K27" s="12"/>
      <c r="L27" s="12"/>
      <c r="M27" s="12"/>
      <c r="N27" s="12"/>
      <c r="O27" s="12"/>
      <c r="P27" s="12"/>
      <c r="Q27" s="12"/>
      <c r="R27" s="12"/>
      <c r="S27" s="12"/>
      <c r="T27" s="12"/>
      <c r="U27" s="12"/>
      <c r="V27" s="12"/>
      <c r="W27" s="12"/>
      <c r="X27" s="1"/>
    </row>
    <row r="28" spans="2:26" ht="15" customHeight="1" x14ac:dyDescent="0.25">
      <c r="B28" s="178" t="s">
        <v>230</v>
      </c>
      <c r="C28" s="179"/>
      <c r="D28" s="179"/>
      <c r="E28" s="178" t="s">
        <v>681</v>
      </c>
      <c r="F28" s="180">
        <f t="shared" ref="F28:S28" si="9">SUM(F29:F31)</f>
        <v>26503.142022819498</v>
      </c>
      <c r="G28" s="180">
        <f t="shared" si="9"/>
        <v>27064.67712788775</v>
      </c>
      <c r="H28" s="180">
        <f t="shared" si="9"/>
        <v>28235.505241997722</v>
      </c>
      <c r="I28" s="180">
        <f t="shared" si="9"/>
        <v>30147.931324774228</v>
      </c>
      <c r="J28" s="180">
        <f t="shared" si="9"/>
        <v>31101.183676617045</v>
      </c>
      <c r="K28" s="180">
        <f t="shared" si="9"/>
        <v>32064.84910881945</v>
      </c>
      <c r="L28" s="180">
        <f t="shared" si="9"/>
        <v>32928.574219919894</v>
      </c>
      <c r="M28" s="180">
        <f t="shared" si="9"/>
        <v>34378.415025840019</v>
      </c>
      <c r="N28" s="180">
        <f t="shared" si="9"/>
        <v>35484.799786340023</v>
      </c>
      <c r="O28" s="180">
        <f t="shared" si="9"/>
        <v>35202.101868021135</v>
      </c>
      <c r="P28" s="180">
        <f t="shared" si="9"/>
        <v>37275.775286589989</v>
      </c>
      <c r="Q28" s="180">
        <f t="shared" si="9"/>
        <v>37715.469360450013</v>
      </c>
      <c r="R28" s="180">
        <f t="shared" si="9"/>
        <v>37563.732925069999</v>
      </c>
      <c r="S28" s="180">
        <f t="shared" si="9"/>
        <v>39973.197435109993</v>
      </c>
      <c r="T28" s="180">
        <f t="shared" ref="T28" si="10">SUM(T29:T31)</f>
        <v>41535.209841039992</v>
      </c>
      <c r="U28" s="180">
        <f t="shared" ref="U28:V28" si="11">SUM(U29:U31)</f>
        <v>43255.439012919946</v>
      </c>
      <c r="V28" s="180">
        <f t="shared" si="11"/>
        <v>43652.450506070025</v>
      </c>
      <c r="W28" s="180">
        <f t="shared" ref="W28" si="12">SUM(W29:W31)</f>
        <v>43325.881996230019</v>
      </c>
      <c r="X28" s="1"/>
    </row>
    <row r="29" spans="2:26" ht="15" customHeight="1" x14ac:dyDescent="0.25">
      <c r="C29" s="75" t="s">
        <v>328</v>
      </c>
      <c r="D29" s="75"/>
      <c r="E29" s="75" t="s">
        <v>328</v>
      </c>
      <c r="F29" s="12">
        <f t="shared" ref="F29:U29" si="13">SUM(F24+F19+F14)</f>
        <v>10940.305795003756</v>
      </c>
      <c r="G29" s="12">
        <f t="shared" si="13"/>
        <v>11657.852846013746</v>
      </c>
      <c r="H29" s="12">
        <f t="shared" si="13"/>
        <v>11583.826440703746</v>
      </c>
      <c r="I29" s="12">
        <f t="shared" si="13"/>
        <v>12705.663894027184</v>
      </c>
      <c r="J29" s="12">
        <f t="shared" si="13"/>
        <v>12764.07987089008</v>
      </c>
      <c r="K29" s="12">
        <f t="shared" si="13"/>
        <v>13761.693553052439</v>
      </c>
      <c r="L29" s="12">
        <f t="shared" si="13"/>
        <v>13372.686750622923</v>
      </c>
      <c r="M29" s="12">
        <f t="shared" si="13"/>
        <v>13829.295566310006</v>
      </c>
      <c r="N29" s="12">
        <f t="shared" si="13"/>
        <v>14595.697588589994</v>
      </c>
      <c r="O29" s="12">
        <f t="shared" si="13"/>
        <v>14002.412975611154</v>
      </c>
      <c r="P29" s="12">
        <f t="shared" si="13"/>
        <v>14995.776047129995</v>
      </c>
      <c r="Q29" s="12">
        <f t="shared" si="13"/>
        <v>14373.939046239993</v>
      </c>
      <c r="R29" s="12">
        <f t="shared" si="13"/>
        <v>14075.69872043</v>
      </c>
      <c r="S29" s="12">
        <f t="shared" si="13"/>
        <v>14058.918067679995</v>
      </c>
      <c r="T29" s="12">
        <f t="shared" si="13"/>
        <v>13534.09499254</v>
      </c>
      <c r="U29" s="12">
        <f t="shared" si="13"/>
        <v>14594.029809990005</v>
      </c>
      <c r="V29" s="12">
        <f>SUM(V24+V19+V14)</f>
        <v>14561.873861729995</v>
      </c>
      <c r="W29" s="12">
        <v>14022.144873900002</v>
      </c>
      <c r="X29" s="1"/>
    </row>
    <row r="30" spans="2:26" ht="15" customHeight="1" x14ac:dyDescent="0.25">
      <c r="C30" s="75" t="s">
        <v>140</v>
      </c>
      <c r="D30" s="75"/>
      <c r="E30" s="75" t="s">
        <v>140</v>
      </c>
      <c r="F30" s="12">
        <f t="shared" ref="F30:U30" si="14">SUM(F25+F20+F15)</f>
        <v>14950.225583785741</v>
      </c>
      <c r="G30" s="12">
        <f t="shared" si="14"/>
        <v>14772.672311464004</v>
      </c>
      <c r="H30" s="12">
        <f t="shared" si="14"/>
        <v>16000.657831223976</v>
      </c>
      <c r="I30" s="12">
        <f t="shared" si="14"/>
        <v>16722.076121147045</v>
      </c>
      <c r="J30" s="12">
        <f t="shared" si="14"/>
        <v>17489.916155556963</v>
      </c>
      <c r="K30" s="12">
        <f t="shared" si="14"/>
        <v>17416.763884037013</v>
      </c>
      <c r="L30" s="12">
        <f t="shared" si="14"/>
        <v>18033.745240006967</v>
      </c>
      <c r="M30" s="12">
        <f t="shared" si="14"/>
        <v>18426.137122300021</v>
      </c>
      <c r="N30" s="12">
        <f t="shared" si="14"/>
        <v>18661.14281045003</v>
      </c>
      <c r="O30" s="12">
        <f t="shared" si="14"/>
        <v>18780.368203429978</v>
      </c>
      <c r="P30" s="12">
        <f t="shared" si="14"/>
        <v>19626.12314326</v>
      </c>
      <c r="Q30" s="12">
        <f t="shared" si="14"/>
        <v>20369.771572960017</v>
      </c>
      <c r="R30" s="12">
        <f t="shared" si="14"/>
        <v>20611.766757239995</v>
      </c>
      <c r="S30" s="12">
        <f t="shared" si="14"/>
        <v>22670.464908419992</v>
      </c>
      <c r="T30" s="12">
        <f t="shared" si="14"/>
        <v>24066.858831169986</v>
      </c>
      <c r="U30" s="12">
        <f t="shared" si="14"/>
        <v>24497.949057069942</v>
      </c>
      <c r="V30" s="12">
        <f t="shared" ref="V30" si="15">SUM(V25+V20+V15)</f>
        <v>25122.374660410031</v>
      </c>
      <c r="W30" s="12">
        <v>25340.150583330014</v>
      </c>
      <c r="X30" s="1"/>
    </row>
    <row r="31" spans="2:26" ht="15" customHeight="1" x14ac:dyDescent="0.25">
      <c r="C31" s="75" t="s">
        <v>188</v>
      </c>
      <c r="D31" s="75"/>
      <c r="E31" s="75" t="s">
        <v>188</v>
      </c>
      <c r="F31" s="12">
        <f t="shared" ref="F31:U31" si="16">SUM(F26+F21+F16)</f>
        <v>612.61064402999943</v>
      </c>
      <c r="G31" s="12">
        <f t="shared" si="16"/>
        <v>634.15197040999988</v>
      </c>
      <c r="H31" s="12">
        <f t="shared" si="16"/>
        <v>651.02097006999952</v>
      </c>
      <c r="I31" s="12">
        <f t="shared" si="16"/>
        <v>720.19130960000018</v>
      </c>
      <c r="J31" s="12">
        <f t="shared" si="16"/>
        <v>847.18765017000078</v>
      </c>
      <c r="K31" s="12">
        <f t="shared" si="16"/>
        <v>886.39167172999919</v>
      </c>
      <c r="L31" s="12">
        <f t="shared" si="16"/>
        <v>1522.1422292899995</v>
      </c>
      <c r="M31" s="12">
        <f t="shared" si="16"/>
        <v>2122.9823372299957</v>
      </c>
      <c r="N31" s="12">
        <f t="shared" si="16"/>
        <v>2227.9593873000003</v>
      </c>
      <c r="O31" s="12">
        <f t="shared" si="16"/>
        <v>2419.3206889799985</v>
      </c>
      <c r="P31" s="12">
        <f t="shared" si="16"/>
        <v>2653.8760961999974</v>
      </c>
      <c r="Q31" s="12">
        <f t="shared" si="16"/>
        <v>2971.758741250007</v>
      </c>
      <c r="R31" s="12">
        <f t="shared" si="16"/>
        <v>2876.2674474000032</v>
      </c>
      <c r="S31" s="12">
        <f t="shared" si="16"/>
        <v>3243.8144590100037</v>
      </c>
      <c r="T31" s="12">
        <f t="shared" si="16"/>
        <v>3934.2560173300044</v>
      </c>
      <c r="U31" s="12">
        <f t="shared" si="16"/>
        <v>4163.4601458600046</v>
      </c>
      <c r="V31" s="12">
        <f t="shared" ref="V31" si="17">SUM(V26+V21+V16)</f>
        <v>3968.2019839299965</v>
      </c>
      <c r="W31" s="12">
        <v>3963.5865390000008</v>
      </c>
      <c r="X31" s="263"/>
    </row>
    <row r="32" spans="2:26" x14ac:dyDescent="0.25">
      <c r="F32" s="12"/>
      <c r="G32" s="12"/>
      <c r="H32" s="12"/>
      <c r="I32" s="12"/>
      <c r="J32" s="12"/>
      <c r="K32" s="12"/>
      <c r="L32" s="12"/>
      <c r="M32" s="12"/>
      <c r="N32" s="12"/>
      <c r="O32" s="12"/>
      <c r="P32" s="12"/>
      <c r="Q32" s="12"/>
      <c r="R32" s="12"/>
      <c r="S32" s="12"/>
      <c r="T32" s="12"/>
      <c r="U32" s="12"/>
      <c r="V32" s="12"/>
      <c r="W32" s="12"/>
      <c r="X32" s="1"/>
    </row>
    <row r="33" spans="2:24" x14ac:dyDescent="0.25">
      <c r="C33" s="1" t="s">
        <v>434</v>
      </c>
      <c r="D33" s="110"/>
      <c r="E33" s="110"/>
      <c r="X33" s="1"/>
    </row>
    <row r="34" spans="2:24" ht="5.0999999999999996" customHeight="1" x14ac:dyDescent="0.25">
      <c r="C34" s="110"/>
      <c r="D34" s="110"/>
      <c r="E34" s="110"/>
      <c r="X34" s="1"/>
    </row>
    <row r="35" spans="2:24" x14ac:dyDescent="0.25">
      <c r="C35" s="75" t="s">
        <v>414</v>
      </c>
      <c r="D35" s="75"/>
      <c r="F35" s="12"/>
      <c r="G35" s="12"/>
      <c r="H35" s="12"/>
      <c r="I35" s="12"/>
      <c r="J35" s="12"/>
      <c r="K35" s="12"/>
      <c r="L35" s="12"/>
      <c r="M35" s="12"/>
      <c r="N35" s="12"/>
      <c r="O35" s="12"/>
      <c r="P35" s="12"/>
      <c r="Q35" s="12"/>
      <c r="R35" s="12"/>
      <c r="S35" s="28"/>
      <c r="T35" s="12"/>
      <c r="U35" s="12"/>
      <c r="V35" s="12"/>
      <c r="W35" s="12"/>
      <c r="X35" s="1"/>
    </row>
    <row r="36" spans="2:24" x14ac:dyDescent="0.25">
      <c r="C36" s="75" t="s">
        <v>415</v>
      </c>
      <c r="D36" s="75"/>
      <c r="F36" s="12"/>
      <c r="G36" s="12"/>
      <c r="H36" s="12"/>
      <c r="I36" s="12"/>
      <c r="J36" s="12"/>
      <c r="K36" s="12"/>
      <c r="L36" s="12"/>
      <c r="M36" s="12"/>
      <c r="N36" s="12"/>
      <c r="O36" s="12"/>
      <c r="P36" s="12"/>
      <c r="Q36" s="12"/>
      <c r="R36" s="12"/>
      <c r="S36" s="12"/>
      <c r="T36" s="12"/>
      <c r="U36" s="12"/>
      <c r="V36" s="12"/>
      <c r="W36" s="12"/>
      <c r="X36" s="1"/>
    </row>
    <row r="37" spans="2:24" x14ac:dyDescent="0.25">
      <c r="C37" s="75" t="s">
        <v>416</v>
      </c>
      <c r="D37" s="75"/>
      <c r="F37" s="12"/>
      <c r="G37" s="12"/>
      <c r="H37" s="12"/>
      <c r="I37" s="12"/>
      <c r="J37" s="12"/>
      <c r="K37" s="12"/>
      <c r="L37" s="12"/>
      <c r="M37" s="12"/>
      <c r="N37" s="12"/>
      <c r="O37" s="12"/>
      <c r="P37" s="12"/>
      <c r="Q37" s="12"/>
      <c r="R37" s="12"/>
      <c r="S37" s="12"/>
      <c r="T37" s="12"/>
      <c r="U37" s="12"/>
      <c r="V37" s="12"/>
      <c r="W37" s="12"/>
      <c r="X37" s="1"/>
    </row>
    <row r="38" spans="2:24" x14ac:dyDescent="0.25">
      <c r="X38" s="1"/>
    </row>
    <row r="39" spans="2:24" x14ac:dyDescent="0.25">
      <c r="C39" s="1" t="s">
        <v>435</v>
      </c>
      <c r="X39" s="1"/>
    </row>
    <row r="40" spans="2:24" ht="5.0999999999999996" customHeight="1" x14ac:dyDescent="0.25">
      <c r="X40" s="1"/>
    </row>
    <row r="41" spans="2:24" x14ac:dyDescent="0.25">
      <c r="C41" s="75" t="s">
        <v>686</v>
      </c>
      <c r="X41" s="1"/>
    </row>
    <row r="42" spans="2:24" x14ac:dyDescent="0.25">
      <c r="C42" s="75" t="s">
        <v>687</v>
      </c>
      <c r="X42" s="1"/>
    </row>
    <row r="43" spans="2:24" x14ac:dyDescent="0.25">
      <c r="C43" s="75" t="s">
        <v>688</v>
      </c>
      <c r="X43" s="1"/>
    </row>
    <row r="44" spans="2:24" x14ac:dyDescent="0.25">
      <c r="X44" s="1"/>
    </row>
    <row r="45" spans="2:24" x14ac:dyDescent="0.25">
      <c r="X45" s="1"/>
    </row>
    <row r="46" spans="2:24" ht="15" customHeight="1" x14ac:dyDescent="0.25">
      <c r="B46" s="160" t="s">
        <v>407</v>
      </c>
      <c r="C46" s="160"/>
      <c r="D46" s="160"/>
      <c r="E46" s="160" t="s">
        <v>682</v>
      </c>
      <c r="F46" s="160"/>
      <c r="G46" s="177"/>
      <c r="H46" s="177"/>
      <c r="I46" s="177"/>
      <c r="J46" s="149"/>
      <c r="K46" s="149"/>
      <c r="L46" s="149"/>
      <c r="M46" s="149"/>
      <c r="N46" s="149"/>
      <c r="O46" s="149"/>
      <c r="P46" s="149"/>
      <c r="Q46" s="149"/>
      <c r="R46" s="149"/>
      <c r="S46" s="149"/>
      <c r="T46" s="149"/>
      <c r="U46" s="149"/>
      <c r="V46" s="149"/>
      <c r="W46" s="149"/>
      <c r="X46" s="1"/>
    </row>
    <row r="47" spans="2:24" x14ac:dyDescent="0.25">
      <c r="B47" s="1"/>
      <c r="C47" s="1"/>
      <c r="D47" s="1"/>
      <c r="E47" s="1"/>
      <c r="X47" s="1"/>
    </row>
    <row r="48" spans="2:24" x14ac:dyDescent="0.25">
      <c r="B48" s="140" t="s">
        <v>328</v>
      </c>
      <c r="C48" s="51"/>
      <c r="D48" s="51"/>
      <c r="E48" s="140" t="s">
        <v>328</v>
      </c>
      <c r="F48" s="9"/>
      <c r="G48" s="9"/>
      <c r="H48" s="9"/>
      <c r="I48" s="9"/>
      <c r="J48" s="9"/>
      <c r="K48" s="9"/>
      <c r="L48" s="9"/>
      <c r="M48" s="9"/>
      <c r="N48" s="9"/>
      <c r="O48" s="9"/>
      <c r="P48" s="9"/>
      <c r="Q48" s="9"/>
      <c r="R48" s="9"/>
      <c r="S48" s="9"/>
      <c r="T48" s="9"/>
      <c r="U48" s="9"/>
      <c r="V48" s="9"/>
      <c r="W48" s="9"/>
      <c r="X48" s="1"/>
    </row>
    <row r="49" spans="2:24" ht="5.0999999999999996" customHeight="1" x14ac:dyDescent="0.25">
      <c r="B49" s="140"/>
      <c r="C49" s="51"/>
      <c r="D49" s="51"/>
      <c r="E49" s="140"/>
      <c r="F49" s="9"/>
      <c r="G49" s="9"/>
      <c r="H49" s="9"/>
      <c r="I49" s="9"/>
      <c r="J49" s="9"/>
      <c r="K49" s="9"/>
      <c r="L49" s="9"/>
      <c r="M49" s="9"/>
      <c r="N49" s="9"/>
      <c r="O49" s="9"/>
      <c r="P49" s="9"/>
      <c r="Q49" s="9"/>
      <c r="R49" s="9"/>
      <c r="S49" s="9"/>
      <c r="T49" s="9"/>
      <c r="U49" s="9"/>
      <c r="V49" s="9"/>
      <c r="W49" s="9"/>
      <c r="X49" s="1"/>
    </row>
    <row r="50" spans="2:24" x14ac:dyDescent="0.25">
      <c r="C50" s="75" t="s">
        <v>836</v>
      </c>
      <c r="D50" s="75"/>
      <c r="E50" s="75" t="s">
        <v>838</v>
      </c>
      <c r="F50" s="8">
        <v>318</v>
      </c>
      <c r="G50" s="8">
        <v>310</v>
      </c>
      <c r="H50" s="8">
        <v>310</v>
      </c>
      <c r="I50" s="8">
        <v>324</v>
      </c>
      <c r="J50" s="8">
        <v>329</v>
      </c>
      <c r="K50" s="8">
        <v>312</v>
      </c>
      <c r="L50" s="8">
        <v>317</v>
      </c>
      <c r="M50" s="8">
        <v>340</v>
      </c>
      <c r="N50" s="8">
        <v>315</v>
      </c>
      <c r="O50" s="8">
        <v>330</v>
      </c>
      <c r="P50" s="8">
        <v>323</v>
      </c>
      <c r="Q50" s="8">
        <v>331</v>
      </c>
      <c r="R50" s="8">
        <v>333</v>
      </c>
      <c r="S50" s="8">
        <v>318</v>
      </c>
      <c r="T50" s="8">
        <v>332</v>
      </c>
      <c r="U50" s="8">
        <v>331</v>
      </c>
      <c r="V50" s="8">
        <v>328</v>
      </c>
      <c r="W50" s="8">
        <v>337</v>
      </c>
      <c r="X50" s="1"/>
    </row>
    <row r="51" spans="2:24" x14ac:dyDescent="0.25">
      <c r="C51" s="75" t="s">
        <v>837</v>
      </c>
      <c r="D51" s="75"/>
      <c r="E51" s="75" t="s">
        <v>839</v>
      </c>
      <c r="F51" s="8">
        <v>189</v>
      </c>
      <c r="G51" s="8">
        <v>193</v>
      </c>
      <c r="H51" s="8">
        <v>187</v>
      </c>
      <c r="I51" s="8">
        <v>195</v>
      </c>
      <c r="J51" s="8">
        <v>190</v>
      </c>
      <c r="K51" s="8">
        <v>190</v>
      </c>
      <c r="L51" s="8">
        <v>182</v>
      </c>
      <c r="M51" s="8">
        <v>195</v>
      </c>
      <c r="N51" s="8">
        <v>190</v>
      </c>
      <c r="O51" s="8">
        <v>164</v>
      </c>
      <c r="P51" s="8">
        <v>186</v>
      </c>
      <c r="Q51" s="8">
        <v>164</v>
      </c>
      <c r="R51" s="8">
        <v>156</v>
      </c>
      <c r="S51" s="8">
        <v>156</v>
      </c>
      <c r="T51" s="8">
        <v>149</v>
      </c>
      <c r="U51" s="8">
        <v>144</v>
      </c>
      <c r="V51" s="8">
        <v>141</v>
      </c>
      <c r="W51" s="8">
        <v>139</v>
      </c>
      <c r="X51" s="1"/>
    </row>
    <row r="52" spans="2:24" x14ac:dyDescent="0.25">
      <c r="C52" s="75" t="s">
        <v>223</v>
      </c>
      <c r="D52" s="75"/>
      <c r="E52" s="75" t="s">
        <v>689</v>
      </c>
      <c r="F52" s="11">
        <v>52.673496275185208</v>
      </c>
      <c r="G52" s="11">
        <v>54.25846982943002</v>
      </c>
      <c r="H52" s="11">
        <v>54.484842738235265</v>
      </c>
      <c r="I52" s="11">
        <v>56.776645830615344</v>
      </c>
      <c r="J52" s="11">
        <v>58.329196218210527</v>
      </c>
      <c r="K52" s="11">
        <v>61.878371907789415</v>
      </c>
      <c r="L52" s="11">
        <v>62.764638582142865</v>
      </c>
      <c r="M52" s="11">
        <v>62.179214051179514</v>
      </c>
      <c r="N52" s="11">
        <v>68.044561835368384</v>
      </c>
      <c r="O52" s="11">
        <v>74.668173554031426</v>
      </c>
      <c r="P52" s="11">
        <v>69.07642273107524</v>
      </c>
      <c r="Q52" s="11">
        <v>78.786603238963366</v>
      </c>
      <c r="R52" s="11">
        <v>81.707221538782051</v>
      </c>
      <c r="S52" s="11">
        <v>79.670749542820488</v>
      </c>
      <c r="T52" s="11">
        <v>80.674903099932891</v>
      </c>
      <c r="U52" s="11">
        <v>88.84388759875003</v>
      </c>
      <c r="V52" s="11">
        <v>86.558451159503505</v>
      </c>
      <c r="W52" s="11">
        <v>85.112607644316569</v>
      </c>
      <c r="X52" s="1"/>
    </row>
    <row r="53" spans="2:24" x14ac:dyDescent="0.25">
      <c r="C53" s="75" t="s">
        <v>295</v>
      </c>
      <c r="D53" s="75"/>
      <c r="E53" s="75" t="s">
        <v>690</v>
      </c>
      <c r="F53" s="8">
        <v>289.85630557384985</v>
      </c>
      <c r="G53" s="8">
        <v>303.49365587419629</v>
      </c>
      <c r="H53" s="8">
        <v>344</v>
      </c>
      <c r="I53" s="8">
        <v>361</v>
      </c>
      <c r="J53" s="8">
        <v>388.50713191944158</v>
      </c>
      <c r="K53" s="7">
        <v>382.80441140608707</v>
      </c>
      <c r="L53" s="8">
        <v>370.12940810355531</v>
      </c>
      <c r="M53" s="8">
        <v>378.45054606035944</v>
      </c>
      <c r="N53" s="8">
        <v>345.62413012941596</v>
      </c>
      <c r="O53" s="8">
        <v>413.86721332789381</v>
      </c>
      <c r="P53" s="8">
        <v>338.8580350211684</v>
      </c>
      <c r="Q53" s="8">
        <v>357.24224168132673</v>
      </c>
      <c r="R53" s="8">
        <v>324.22646367850814</v>
      </c>
      <c r="S53" s="8">
        <v>274.41341998784111</v>
      </c>
      <c r="T53" s="8">
        <v>349.91990979939442</v>
      </c>
      <c r="U53" s="8">
        <v>301.39601204957518</v>
      </c>
      <c r="V53" s="8">
        <v>327.3709270313293</v>
      </c>
      <c r="W53" s="8">
        <v>323.38508656145717</v>
      </c>
      <c r="X53" s="1"/>
    </row>
    <row r="54" spans="2:24" x14ac:dyDescent="0.25">
      <c r="B54" s="38"/>
      <c r="C54" s="38"/>
      <c r="D54" s="38"/>
      <c r="E54" s="38"/>
      <c r="F54" s="8"/>
      <c r="G54" s="8"/>
      <c r="H54" s="8"/>
      <c r="I54" s="8"/>
      <c r="J54" s="8"/>
      <c r="K54" s="7"/>
      <c r="L54" s="7"/>
      <c r="M54" s="7"/>
      <c r="N54" s="7"/>
      <c r="O54" s="7"/>
      <c r="P54" s="7"/>
      <c r="Q54" s="7"/>
      <c r="R54" s="7"/>
      <c r="S54" s="7"/>
      <c r="T54" s="7"/>
      <c r="U54" s="7"/>
      <c r="V54" s="7"/>
      <c r="W54" s="7"/>
      <c r="X54" s="1"/>
    </row>
    <row r="55" spans="2:24" x14ac:dyDescent="0.25">
      <c r="B55" s="141" t="s">
        <v>159</v>
      </c>
      <c r="C55" s="52"/>
      <c r="D55" s="52"/>
      <c r="E55" s="141" t="s">
        <v>159</v>
      </c>
      <c r="F55" s="9"/>
      <c r="G55" s="9"/>
      <c r="H55" s="9"/>
      <c r="I55" s="9"/>
      <c r="J55" s="9"/>
      <c r="K55" s="9"/>
      <c r="L55" s="9"/>
      <c r="M55" s="9"/>
      <c r="N55" s="9"/>
      <c r="O55" s="9"/>
      <c r="P55" s="9"/>
      <c r="Q55" s="9"/>
      <c r="R55" s="9"/>
      <c r="S55" s="9"/>
      <c r="T55" s="9"/>
      <c r="U55" s="9"/>
      <c r="V55" s="9"/>
      <c r="W55" s="9"/>
      <c r="X55" s="1"/>
    </row>
    <row r="56" spans="2:24" ht="5.0999999999999996" customHeight="1" x14ac:dyDescent="0.25">
      <c r="B56" s="141"/>
      <c r="C56" s="52"/>
      <c r="D56" s="52"/>
      <c r="E56" s="141"/>
      <c r="F56" s="9"/>
      <c r="G56" s="9"/>
      <c r="H56" s="9"/>
      <c r="I56" s="9"/>
      <c r="J56" s="9"/>
      <c r="K56" s="9"/>
      <c r="L56" s="9"/>
      <c r="M56" s="9"/>
      <c r="N56" s="9"/>
      <c r="O56" s="9"/>
      <c r="P56" s="9"/>
      <c r="Q56" s="9"/>
      <c r="R56" s="9"/>
      <c r="S56" s="9"/>
      <c r="T56" s="9">
        <v>0</v>
      </c>
      <c r="U56" s="9"/>
      <c r="V56" s="9"/>
      <c r="W56" s="9"/>
      <c r="X56" s="1"/>
    </row>
    <row r="57" spans="2:24" x14ac:dyDescent="0.25">
      <c r="C57" s="75" t="s">
        <v>836</v>
      </c>
      <c r="D57" s="75"/>
      <c r="E57" s="75" t="s">
        <v>838</v>
      </c>
      <c r="F57" s="8">
        <v>1200</v>
      </c>
      <c r="G57" s="8">
        <v>1187</v>
      </c>
      <c r="H57" s="8">
        <v>1122</v>
      </c>
      <c r="I57" s="8">
        <v>1121</v>
      </c>
      <c r="J57" s="8">
        <v>1103</v>
      </c>
      <c r="K57" s="8">
        <v>1060</v>
      </c>
      <c r="L57" s="8">
        <v>1113</v>
      </c>
      <c r="M57" s="8">
        <v>1262</v>
      </c>
      <c r="N57" s="8">
        <v>1291</v>
      </c>
      <c r="O57" s="8">
        <v>1325</v>
      </c>
      <c r="P57" s="8">
        <v>1339</v>
      </c>
      <c r="Q57" s="8">
        <v>1457</v>
      </c>
      <c r="R57" s="8">
        <v>1484</v>
      </c>
      <c r="S57" s="8">
        <v>1586</v>
      </c>
      <c r="T57" s="8">
        <v>1683</v>
      </c>
      <c r="U57" s="8">
        <v>1859</v>
      </c>
      <c r="V57" s="8">
        <v>1831</v>
      </c>
      <c r="W57" s="8">
        <v>1856</v>
      </c>
      <c r="X57" s="1"/>
    </row>
    <row r="58" spans="2:24" x14ac:dyDescent="0.25">
      <c r="C58" s="75" t="s">
        <v>837</v>
      </c>
      <c r="D58" s="75"/>
      <c r="E58" s="75" t="s">
        <v>839</v>
      </c>
      <c r="F58" s="8">
        <v>806</v>
      </c>
      <c r="G58" s="8">
        <v>819</v>
      </c>
      <c r="H58" s="8">
        <v>810</v>
      </c>
      <c r="I58" s="8">
        <v>832</v>
      </c>
      <c r="J58" s="8">
        <v>803</v>
      </c>
      <c r="K58" s="8">
        <v>790</v>
      </c>
      <c r="L58" s="8">
        <v>910</v>
      </c>
      <c r="M58" s="8">
        <v>1005</v>
      </c>
      <c r="N58" s="8">
        <v>996</v>
      </c>
      <c r="O58" s="8">
        <v>1006</v>
      </c>
      <c r="P58" s="8">
        <v>949</v>
      </c>
      <c r="Q58" s="8">
        <v>984</v>
      </c>
      <c r="R58" s="8">
        <v>976</v>
      </c>
      <c r="S58" s="8">
        <v>996</v>
      </c>
      <c r="T58" s="8">
        <v>1007</v>
      </c>
      <c r="U58" s="8">
        <v>1020</v>
      </c>
      <c r="V58" s="8">
        <v>1022</v>
      </c>
      <c r="W58" s="8">
        <v>1029</v>
      </c>
      <c r="X58" s="1"/>
    </row>
    <row r="59" spans="2:24" x14ac:dyDescent="0.25">
      <c r="C59" s="75" t="s">
        <v>223</v>
      </c>
      <c r="D59" s="75"/>
      <c r="E59" s="75" t="s">
        <v>689</v>
      </c>
      <c r="F59" s="11">
        <v>16.181251116315138</v>
      </c>
      <c r="G59" s="11">
        <v>15.49670186422467</v>
      </c>
      <c r="H59" s="11">
        <v>17.335162059234538</v>
      </c>
      <c r="I59" s="11">
        <v>17.62649165848563</v>
      </c>
      <c r="J59" s="11">
        <v>19.328873252839308</v>
      </c>
      <c r="K59" s="11">
        <v>19.734321866721537</v>
      </c>
      <c r="L59" s="11">
        <v>17.929870611263702</v>
      </c>
      <c r="M59" s="11">
        <v>16.769408230497532</v>
      </c>
      <c r="N59" s="11">
        <v>17.119489652841391</v>
      </c>
      <c r="O59" s="11">
        <v>16.843384118648089</v>
      </c>
      <c r="P59" s="11">
        <v>18.801577153182297</v>
      </c>
      <c r="Q59" s="11">
        <v>18.732954360650425</v>
      </c>
      <c r="R59" s="11">
        <v>19.080188598749992</v>
      </c>
      <c r="S59" s="11">
        <v>19.824349345522091</v>
      </c>
      <c r="T59" s="11">
        <v>20.475920006375361</v>
      </c>
      <c r="U59" s="11">
        <v>19.887902821764648</v>
      </c>
      <c r="V59" s="11">
        <v>19.786953576634083</v>
      </c>
      <c r="W59" s="11">
        <v>19.114711096579214</v>
      </c>
      <c r="X59" s="1"/>
    </row>
    <row r="60" spans="2:24" x14ac:dyDescent="0.25">
      <c r="C60" s="75" t="s">
        <v>224</v>
      </c>
      <c r="D60" s="75"/>
      <c r="E60" s="75" t="s">
        <v>690</v>
      </c>
      <c r="F60" s="8">
        <v>430.27490972796642</v>
      </c>
      <c r="G60" s="8">
        <v>444.26950790149675</v>
      </c>
      <c r="H60" s="8">
        <v>455.55571096459238</v>
      </c>
      <c r="I60" s="8">
        <v>480</v>
      </c>
      <c r="J60" s="8">
        <v>440.15214697479735</v>
      </c>
      <c r="K60" s="8">
        <v>414.56499047381965</v>
      </c>
      <c r="L60" s="8">
        <v>423.57059267120002</v>
      </c>
      <c r="M60" s="8">
        <v>437.25909443615564</v>
      </c>
      <c r="N60" s="8">
        <v>430.28878193234505</v>
      </c>
      <c r="O60" s="8">
        <v>415.67986467327802</v>
      </c>
      <c r="P60" s="8">
        <v>389.14152818390886</v>
      </c>
      <c r="Q60" s="8">
        <v>394.2182018497432</v>
      </c>
      <c r="R60" s="8">
        <v>379.70863401170101</v>
      </c>
      <c r="S60" s="8">
        <v>390.68715205444113</v>
      </c>
      <c r="T60" s="8">
        <v>404.08789997392154</v>
      </c>
      <c r="U60" s="8">
        <v>387.06701012127678</v>
      </c>
      <c r="V60" s="8">
        <v>383.18800037079916</v>
      </c>
      <c r="W60" s="8">
        <v>386.09214401749364</v>
      </c>
      <c r="X60" s="1"/>
    </row>
    <row r="61" spans="2:24" x14ac:dyDescent="0.25">
      <c r="B61" s="38"/>
      <c r="C61" s="38"/>
      <c r="D61" s="38"/>
      <c r="E61" s="38"/>
      <c r="F61" s="8"/>
      <c r="G61" s="8"/>
      <c r="H61" s="8"/>
      <c r="I61" s="8"/>
      <c r="J61" s="8"/>
      <c r="K61" s="7"/>
      <c r="L61" s="7"/>
      <c r="M61" s="7"/>
      <c r="N61" s="7"/>
      <c r="O61" s="7"/>
      <c r="P61" s="7"/>
      <c r="Q61" s="7"/>
      <c r="R61" s="7"/>
      <c r="S61" s="7"/>
      <c r="T61" s="7"/>
      <c r="U61" s="7"/>
      <c r="V61" s="7"/>
      <c r="W61" s="7"/>
      <c r="X61" s="1"/>
    </row>
    <row r="62" spans="2:24" x14ac:dyDescent="0.25">
      <c r="B62" s="141" t="s">
        <v>187</v>
      </c>
      <c r="C62" s="52"/>
      <c r="D62" s="52"/>
      <c r="E62" s="141" t="s">
        <v>187</v>
      </c>
      <c r="F62" s="9"/>
      <c r="G62" s="9"/>
      <c r="H62" s="9"/>
      <c r="I62" s="9"/>
      <c r="J62" s="9"/>
      <c r="K62" s="9"/>
      <c r="L62" s="9"/>
      <c r="M62" s="9"/>
      <c r="N62" s="9"/>
      <c r="O62" s="9"/>
      <c r="P62" s="9"/>
      <c r="Q62" s="9"/>
      <c r="R62" s="9"/>
      <c r="S62" s="9"/>
      <c r="T62" s="9"/>
      <c r="U62" s="9"/>
      <c r="V62" s="9"/>
      <c r="W62" s="9"/>
      <c r="X62" s="1"/>
    </row>
    <row r="63" spans="2:24" ht="5.0999999999999996" customHeight="1" x14ac:dyDescent="0.25">
      <c r="B63" s="141"/>
      <c r="C63" s="52"/>
      <c r="D63" s="52"/>
      <c r="E63" s="141"/>
      <c r="F63" s="9"/>
      <c r="G63" s="9"/>
      <c r="H63" s="9"/>
      <c r="I63" s="9"/>
      <c r="J63" s="9"/>
      <c r="K63" s="9"/>
      <c r="L63" s="9"/>
      <c r="M63" s="9"/>
      <c r="N63" s="9"/>
      <c r="O63" s="9"/>
      <c r="P63" s="9"/>
      <c r="Q63" s="9"/>
      <c r="R63" s="9"/>
      <c r="S63" s="9"/>
      <c r="T63" s="9">
        <v>0</v>
      </c>
      <c r="U63" s="9">
        <v>0</v>
      </c>
      <c r="V63" s="9"/>
      <c r="W63" s="9"/>
      <c r="X63" s="1"/>
    </row>
    <row r="64" spans="2:24" x14ac:dyDescent="0.25">
      <c r="C64" s="75" t="s">
        <v>836</v>
      </c>
      <c r="D64" s="75"/>
      <c r="E64" s="75" t="s">
        <v>838</v>
      </c>
      <c r="F64" s="8">
        <v>348</v>
      </c>
      <c r="G64" s="8">
        <v>357</v>
      </c>
      <c r="H64" s="8">
        <v>421</v>
      </c>
      <c r="I64" s="8">
        <v>447</v>
      </c>
      <c r="J64" s="8">
        <v>563</v>
      </c>
      <c r="K64" s="8">
        <v>638</v>
      </c>
      <c r="L64" s="8">
        <v>809</v>
      </c>
      <c r="M64" s="8">
        <v>1036</v>
      </c>
      <c r="N64" s="8">
        <v>1182</v>
      </c>
      <c r="O64" s="8">
        <v>1367</v>
      </c>
      <c r="P64" s="8">
        <v>1507</v>
      </c>
      <c r="Q64" s="8">
        <v>1702</v>
      </c>
      <c r="R64" s="8">
        <v>1624</v>
      </c>
      <c r="S64" s="8">
        <v>2084</v>
      </c>
      <c r="T64" s="8">
        <v>2294</v>
      </c>
      <c r="U64" s="8">
        <v>2304</v>
      </c>
      <c r="V64" s="8">
        <v>2236</v>
      </c>
      <c r="W64" s="8">
        <v>2387</v>
      </c>
      <c r="X64" s="1"/>
    </row>
    <row r="65" spans="2:24" x14ac:dyDescent="0.25">
      <c r="C65" s="75" t="s">
        <v>837</v>
      </c>
      <c r="D65" s="75"/>
      <c r="E65" s="75" t="s">
        <v>839</v>
      </c>
      <c r="F65" s="8">
        <v>217</v>
      </c>
      <c r="G65" s="8">
        <v>209</v>
      </c>
      <c r="H65" s="8">
        <v>238</v>
      </c>
      <c r="I65" s="8">
        <v>269</v>
      </c>
      <c r="J65" s="8">
        <v>336</v>
      </c>
      <c r="K65" s="8">
        <v>377</v>
      </c>
      <c r="L65" s="8">
        <v>552</v>
      </c>
      <c r="M65" s="8">
        <v>747</v>
      </c>
      <c r="N65" s="8">
        <v>796</v>
      </c>
      <c r="O65" s="8">
        <v>908</v>
      </c>
      <c r="P65" s="8">
        <v>1015</v>
      </c>
      <c r="Q65" s="8">
        <v>1174</v>
      </c>
      <c r="R65" s="8">
        <v>1179</v>
      </c>
      <c r="S65" s="8">
        <v>1324</v>
      </c>
      <c r="T65" s="8">
        <v>1533</v>
      </c>
      <c r="U65" s="8">
        <v>1558</v>
      </c>
      <c r="V65" s="8">
        <v>1569</v>
      </c>
      <c r="W65" s="8">
        <v>1603</v>
      </c>
      <c r="X65" s="1"/>
    </row>
    <row r="66" spans="2:24" x14ac:dyDescent="0.25">
      <c r="C66" s="75" t="s">
        <v>223</v>
      </c>
      <c r="D66" s="75"/>
      <c r="E66" s="75" t="s">
        <v>689</v>
      </c>
      <c r="F66" s="11">
        <v>2.8022173371889374</v>
      </c>
      <c r="G66" s="11">
        <v>3.0342199541148318</v>
      </c>
      <c r="H66" s="11">
        <v>2.7353822271848718</v>
      </c>
      <c r="I66" s="11">
        <v>2.6725629785873615</v>
      </c>
      <c r="J66" s="11">
        <v>2.5185438856250024</v>
      </c>
      <c r="K66" s="11">
        <v>2.3511715430503957</v>
      </c>
      <c r="L66" s="11">
        <v>2.7575040385688396</v>
      </c>
      <c r="M66" s="11">
        <v>2.8420111609504626</v>
      </c>
      <c r="N66" s="11">
        <v>2.7989439538944727</v>
      </c>
      <c r="O66" s="11">
        <v>2.6703318862913901</v>
      </c>
      <c r="P66" s="11">
        <v>2.6096978234581258</v>
      </c>
      <c r="Q66" s="11">
        <v>2.5270594001277749</v>
      </c>
      <c r="R66" s="11">
        <v>2.4395822284987303</v>
      </c>
      <c r="S66" s="11">
        <v>2.4447023892975861</v>
      </c>
      <c r="T66" s="11">
        <v>2.5592244390345757</v>
      </c>
      <c r="U66" s="11">
        <v>2.6641900645699641</v>
      </c>
      <c r="V66" s="11">
        <v>2.5122782914340323</v>
      </c>
      <c r="W66" s="11">
        <v>2.4308244021147849</v>
      </c>
      <c r="X66" s="1"/>
    </row>
    <row r="67" spans="2:24" x14ac:dyDescent="0.25">
      <c r="C67" s="75" t="s">
        <v>224</v>
      </c>
      <c r="D67" s="75"/>
      <c r="E67" s="75" t="s">
        <v>690</v>
      </c>
      <c r="F67" s="8">
        <v>278.11520833249745</v>
      </c>
      <c r="G67" s="8">
        <v>326.93052187496579</v>
      </c>
      <c r="H67" s="8">
        <v>321.52362177335328</v>
      </c>
      <c r="I67" s="8">
        <v>270</v>
      </c>
      <c r="J67" s="8">
        <v>272.63566451363829</v>
      </c>
      <c r="K67" s="8">
        <v>264.4238515211382</v>
      </c>
      <c r="L67" s="8">
        <v>484.30151415770433</v>
      </c>
      <c r="M67" s="8">
        <v>516.11946413231772</v>
      </c>
      <c r="N67" s="8">
        <v>448.9107733492055</v>
      </c>
      <c r="O67" s="8">
        <v>422.68278293574451</v>
      </c>
      <c r="P67" s="8">
        <v>359.51337923244222</v>
      </c>
      <c r="Q67" s="8">
        <v>310.19983079302722</v>
      </c>
      <c r="R67" s="8">
        <v>277.13383599013537</v>
      </c>
      <c r="S67" s="8">
        <v>273.92257383170613</v>
      </c>
      <c r="T67" s="8">
        <v>314.14031688567297</v>
      </c>
      <c r="U67" s="8">
        <v>317.06517811285084</v>
      </c>
      <c r="V67" s="8">
        <v>300.48594419553058</v>
      </c>
      <c r="W67" s="8">
        <v>300.27046704971212</v>
      </c>
      <c r="X67" s="1"/>
    </row>
    <row r="68" spans="2:24" x14ac:dyDescent="0.25">
      <c r="B68" s="38"/>
      <c r="C68" s="38"/>
      <c r="D68" s="38"/>
      <c r="E68" s="38"/>
      <c r="F68" s="8"/>
      <c r="G68" s="8"/>
      <c r="H68" s="8"/>
      <c r="I68" s="8"/>
      <c r="J68" s="8"/>
      <c r="K68" s="7"/>
      <c r="L68" s="7"/>
      <c r="M68" s="7"/>
      <c r="N68" s="7"/>
      <c r="O68" s="7"/>
      <c r="P68" s="7"/>
      <c r="Q68" s="7"/>
      <c r="R68" s="7"/>
      <c r="S68" s="7"/>
      <c r="T68" s="7"/>
      <c r="U68" s="7"/>
      <c r="V68" s="7"/>
      <c r="W68" s="7"/>
      <c r="X68" s="1"/>
    </row>
    <row r="69" spans="2:24" x14ac:dyDescent="0.25">
      <c r="B69" s="38"/>
      <c r="C69" s="38"/>
      <c r="D69" s="38"/>
      <c r="E69" s="38"/>
      <c r="F69" s="8"/>
      <c r="G69" s="8"/>
      <c r="H69" s="8"/>
      <c r="I69" s="8"/>
      <c r="J69" s="8"/>
      <c r="K69" s="7"/>
      <c r="L69" s="7"/>
      <c r="M69" s="7"/>
      <c r="N69" s="7"/>
      <c r="O69" s="7"/>
      <c r="P69" s="7"/>
      <c r="Q69" s="7"/>
      <c r="R69" s="7"/>
      <c r="S69" s="7"/>
      <c r="T69" s="7"/>
      <c r="U69" s="7"/>
      <c r="V69" s="7"/>
      <c r="W69" s="7"/>
      <c r="X69" s="1"/>
    </row>
    <row r="70" spans="2:24" ht="15.75" x14ac:dyDescent="0.25">
      <c r="B70" s="160" t="s">
        <v>408</v>
      </c>
      <c r="C70" s="160"/>
      <c r="D70" s="160"/>
      <c r="E70" s="160" t="s">
        <v>683</v>
      </c>
      <c r="F70" s="160"/>
      <c r="G70" s="177"/>
      <c r="H70" s="177"/>
      <c r="I70" s="177"/>
      <c r="J70" s="149"/>
      <c r="K70" s="149"/>
      <c r="L70" s="149"/>
      <c r="M70" s="149"/>
      <c r="N70" s="149"/>
      <c r="O70" s="149"/>
      <c r="P70" s="149"/>
      <c r="Q70" s="149"/>
      <c r="R70" s="149"/>
      <c r="S70" s="149"/>
      <c r="T70" s="149"/>
      <c r="U70" s="149"/>
      <c r="V70" s="149"/>
      <c r="W70" s="149"/>
      <c r="X70" s="1"/>
    </row>
    <row r="71" spans="2:24" ht="15.75" x14ac:dyDescent="0.25">
      <c r="B71" s="186"/>
      <c r="C71" s="186"/>
      <c r="D71" s="186"/>
      <c r="E71" s="186"/>
      <c r="F71" s="186"/>
      <c r="G71" s="187"/>
      <c r="H71" s="187"/>
      <c r="I71" s="187"/>
      <c r="J71" s="184"/>
      <c r="K71" s="184"/>
      <c r="L71" s="184"/>
      <c r="M71" s="184"/>
      <c r="N71" s="184"/>
      <c r="O71" s="184"/>
      <c r="P71" s="184"/>
      <c r="Q71" s="184"/>
      <c r="R71" s="184"/>
      <c r="S71" s="184"/>
      <c r="T71" s="184"/>
      <c r="U71" s="184"/>
      <c r="V71" s="184"/>
      <c r="W71" s="184"/>
      <c r="X71" s="1"/>
    </row>
    <row r="72" spans="2:24" ht="15.75" x14ac:dyDescent="0.25">
      <c r="B72" s="140" t="s">
        <v>328</v>
      </c>
      <c r="C72" s="186"/>
      <c r="D72" s="186"/>
      <c r="E72" s="140" t="s">
        <v>328</v>
      </c>
      <c r="F72" s="186"/>
      <c r="G72" s="187"/>
      <c r="H72" s="187"/>
      <c r="I72" s="187"/>
      <c r="J72" s="184"/>
      <c r="K72" s="184"/>
      <c r="L72" s="184"/>
      <c r="M72" s="184"/>
      <c r="N72" s="184"/>
      <c r="O72" s="184"/>
      <c r="P72" s="184"/>
      <c r="Q72" s="184"/>
      <c r="R72" s="184"/>
      <c r="S72" s="184"/>
      <c r="T72" s="184"/>
      <c r="U72" s="184"/>
      <c r="V72" s="184"/>
      <c r="W72" s="184"/>
      <c r="X72" s="1"/>
    </row>
    <row r="73" spans="2:24" ht="5.0999999999999996" customHeight="1" x14ac:dyDescent="0.25">
      <c r="B73" s="186"/>
      <c r="C73" s="186"/>
      <c r="D73" s="186"/>
      <c r="E73" s="186"/>
      <c r="F73" s="186"/>
      <c r="G73" s="187"/>
      <c r="H73" s="187"/>
      <c r="I73" s="187"/>
      <c r="J73" s="184"/>
      <c r="K73" s="184"/>
      <c r="L73" s="184"/>
      <c r="M73" s="184"/>
      <c r="N73" s="184"/>
      <c r="O73" s="184"/>
      <c r="P73" s="184"/>
      <c r="Q73" s="184"/>
      <c r="R73" s="184"/>
      <c r="S73" s="184"/>
      <c r="T73" s="184"/>
      <c r="U73" s="184"/>
      <c r="V73" s="184"/>
      <c r="W73" s="184"/>
      <c r="X73" s="1"/>
    </row>
    <row r="74" spans="2:24" x14ac:dyDescent="0.25">
      <c r="C74" s="75" t="s">
        <v>235</v>
      </c>
      <c r="D74" s="75"/>
      <c r="E74" s="75" t="s">
        <v>235</v>
      </c>
      <c r="F74" s="119">
        <v>0.64322909673583639</v>
      </c>
      <c r="G74" s="119">
        <v>0.61972108444569818</v>
      </c>
      <c r="H74" s="119">
        <v>0.59878430115973647</v>
      </c>
      <c r="I74" s="119">
        <v>0.60934596532448915</v>
      </c>
      <c r="J74" s="119">
        <v>0.74615647380720518</v>
      </c>
      <c r="K74" s="119">
        <v>0.73568052995344202</v>
      </c>
      <c r="L74" s="119">
        <v>0.73503578178097573</v>
      </c>
      <c r="M74" s="119">
        <v>0.68377653444170716</v>
      </c>
      <c r="N74" s="119">
        <v>0.72099233264335549</v>
      </c>
      <c r="O74" s="119">
        <v>0.68351490576740503</v>
      </c>
      <c r="P74" s="119">
        <v>0.65842605720838143</v>
      </c>
      <c r="Q74" s="119">
        <v>0.66121583908932202</v>
      </c>
      <c r="R74" s="119">
        <v>0.63898249608083912</v>
      </c>
      <c r="S74" s="119">
        <v>0.76376876637819224</v>
      </c>
      <c r="T74" s="119">
        <v>0.74625518369984478</v>
      </c>
      <c r="U74" s="119">
        <v>0.66984652453898019</v>
      </c>
      <c r="V74" s="119">
        <v>0.67118298575506341</v>
      </c>
      <c r="W74" s="119">
        <v>0.65552685306522263</v>
      </c>
      <c r="X74" s="1"/>
    </row>
    <row r="75" spans="2:24" x14ac:dyDescent="0.25">
      <c r="C75" s="75" t="s">
        <v>288</v>
      </c>
      <c r="D75" s="75"/>
      <c r="E75" s="75" t="s">
        <v>288</v>
      </c>
      <c r="F75" s="119">
        <v>0.2748334078487098</v>
      </c>
      <c r="G75" s="119">
        <v>0.29690512319316809</v>
      </c>
      <c r="H75" s="119">
        <v>0.30613574312401493</v>
      </c>
      <c r="I75" s="119">
        <v>0.30804732270451551</v>
      </c>
      <c r="J75" s="119">
        <v>0.25384352619279488</v>
      </c>
      <c r="K75" s="119">
        <v>0.26431947004655792</v>
      </c>
      <c r="L75" s="119">
        <v>0.26496421821902427</v>
      </c>
      <c r="M75" s="119">
        <v>0.31622346555829284</v>
      </c>
      <c r="N75" s="119">
        <v>0.2790076673566444</v>
      </c>
      <c r="O75" s="119">
        <v>0.31648509423259497</v>
      </c>
      <c r="P75" s="119">
        <v>0.34157394279161851</v>
      </c>
      <c r="Q75" s="119">
        <v>0.33878416091067803</v>
      </c>
      <c r="R75" s="119">
        <v>0.36101750391916076</v>
      </c>
      <c r="S75" s="119">
        <v>0.23623123362180784</v>
      </c>
      <c r="T75" s="119">
        <v>0.25374481630015527</v>
      </c>
      <c r="U75" s="119">
        <v>0.3301534754610197</v>
      </c>
      <c r="V75" s="119">
        <v>0.32881701424493665</v>
      </c>
      <c r="W75" s="119">
        <v>0.34447314693477749</v>
      </c>
      <c r="X75" s="1"/>
    </row>
    <row r="76" spans="2:24" x14ac:dyDescent="0.25">
      <c r="C76" s="75" t="s">
        <v>139</v>
      </c>
      <c r="D76" s="75"/>
      <c r="E76" s="75" t="s">
        <v>691</v>
      </c>
      <c r="F76" s="20">
        <v>8.1937495415453795E-2</v>
      </c>
      <c r="G76" s="20">
        <v>8.3373792361133653E-2</v>
      </c>
      <c r="H76" s="20">
        <v>9.5079955716248638E-2</v>
      </c>
      <c r="I76" s="20">
        <v>8.2606711970995311E-2</v>
      </c>
      <c r="J76" s="20">
        <v>0</v>
      </c>
      <c r="K76" s="20">
        <v>0</v>
      </c>
      <c r="L76" s="20">
        <v>0</v>
      </c>
      <c r="M76" s="20">
        <v>0</v>
      </c>
      <c r="N76" s="20">
        <v>0</v>
      </c>
      <c r="O76" s="20">
        <v>0</v>
      </c>
      <c r="P76" s="20">
        <v>0</v>
      </c>
      <c r="Q76" s="20">
        <v>0</v>
      </c>
      <c r="R76" s="20">
        <v>0</v>
      </c>
      <c r="S76" s="20">
        <v>0</v>
      </c>
      <c r="T76" s="119">
        <v>0</v>
      </c>
      <c r="U76" s="119">
        <v>0</v>
      </c>
      <c r="V76" s="119">
        <v>0</v>
      </c>
      <c r="W76" s="119">
        <v>0</v>
      </c>
      <c r="X76" s="1"/>
    </row>
    <row r="77" spans="2:24" x14ac:dyDescent="0.25">
      <c r="X77" s="1"/>
    </row>
    <row r="78" spans="2:24" x14ac:dyDescent="0.25">
      <c r="B78" s="141" t="s">
        <v>159</v>
      </c>
      <c r="E78" s="141" t="s">
        <v>159</v>
      </c>
      <c r="X78" s="1"/>
    </row>
    <row r="79" spans="2:24" ht="5.0999999999999996" customHeight="1" x14ac:dyDescent="0.25">
      <c r="B79" s="27"/>
      <c r="C79" s="27"/>
      <c r="D79" s="27"/>
      <c r="E79" s="27"/>
      <c r="F79" s="9"/>
      <c r="G79" s="9"/>
      <c r="H79" s="9"/>
      <c r="I79" s="9"/>
      <c r="J79" s="9"/>
      <c r="K79" s="9"/>
      <c r="L79" s="9"/>
      <c r="M79" s="9"/>
      <c r="N79" s="9"/>
      <c r="O79" s="9"/>
      <c r="P79" s="9"/>
      <c r="Q79" s="9"/>
      <c r="R79" s="9"/>
      <c r="S79" s="9"/>
      <c r="T79" s="9">
        <v>0</v>
      </c>
      <c r="U79" s="9">
        <v>0</v>
      </c>
      <c r="V79" s="9"/>
      <c r="W79" s="9"/>
      <c r="X79" s="1"/>
    </row>
    <row r="80" spans="2:24" x14ac:dyDescent="0.25">
      <c r="C80" s="75" t="s">
        <v>235</v>
      </c>
      <c r="D80" s="75"/>
      <c r="E80" s="75" t="s">
        <v>235</v>
      </c>
      <c r="F80" s="28">
        <v>0.53458815574543483</v>
      </c>
      <c r="G80" s="28">
        <v>0.5277434637571603</v>
      </c>
      <c r="H80" s="28">
        <v>0.52283601505971256</v>
      </c>
      <c r="I80" s="28">
        <v>0.54134667633564282</v>
      </c>
      <c r="J80" s="28">
        <v>0.51945593921200117</v>
      </c>
      <c r="K80" s="119">
        <v>0.51243017952561787</v>
      </c>
      <c r="L80" s="119">
        <v>0.50944554285634402</v>
      </c>
      <c r="M80" s="119">
        <v>0.51756320464593131</v>
      </c>
      <c r="N80" s="119">
        <v>0.49518270277815668</v>
      </c>
      <c r="O80" s="119">
        <v>0.49768758443131877</v>
      </c>
      <c r="P80" s="119">
        <v>0.50685353836048141</v>
      </c>
      <c r="Q80" s="119">
        <v>0.4949550700722693</v>
      </c>
      <c r="R80" s="119">
        <v>0.49311289296751293</v>
      </c>
      <c r="S80" s="119">
        <v>0.47185072828322838</v>
      </c>
      <c r="T80" s="119">
        <v>0.47443681156674411</v>
      </c>
      <c r="U80" s="119">
        <v>0.47625362654067382</v>
      </c>
      <c r="V80" s="119">
        <v>0.47690129558663941</v>
      </c>
      <c r="W80" s="119">
        <v>0.48621605367869647</v>
      </c>
      <c r="X80" s="1"/>
    </row>
    <row r="81" spans="2:24" x14ac:dyDescent="0.25">
      <c r="C81" s="75" t="s">
        <v>138</v>
      </c>
      <c r="D81" s="75"/>
      <c r="E81" s="75" t="s">
        <v>138</v>
      </c>
      <c r="F81" s="119">
        <v>6.1165380415165588E-2</v>
      </c>
      <c r="G81" s="119">
        <v>6.3785001906405028E-2</v>
      </c>
      <c r="H81" s="119">
        <v>6.5791988279835747E-2</v>
      </c>
      <c r="I81" s="119">
        <v>6.4914595970959998E-2</v>
      </c>
      <c r="J81" s="119">
        <v>7.2649903133780364E-2</v>
      </c>
      <c r="K81" s="119">
        <v>7.2281931943332364E-2</v>
      </c>
      <c r="L81" s="119">
        <v>7.0878408853059266E-2</v>
      </c>
      <c r="M81" s="119">
        <v>6.4420654405878436E-2</v>
      </c>
      <c r="N81" s="119">
        <v>7.1181390423565291E-2</v>
      </c>
      <c r="O81" s="119">
        <v>7.2920384633763671E-2</v>
      </c>
      <c r="P81" s="119">
        <v>6.8445671312034093E-2</v>
      </c>
      <c r="Q81" s="119">
        <v>7.7114623371570185E-2</v>
      </c>
      <c r="R81" s="119">
        <v>7.7542776987306272E-2</v>
      </c>
      <c r="S81" s="119">
        <v>8.7932372157491459E-2</v>
      </c>
      <c r="T81" s="119">
        <v>9.0742501222898772E-2</v>
      </c>
      <c r="U81" s="119">
        <v>9.0638062187625781E-2</v>
      </c>
      <c r="V81" s="119">
        <v>9.2406201151086984E-2</v>
      </c>
      <c r="W81" s="119">
        <v>8.0833485578445358E-2</v>
      </c>
      <c r="X81" s="1"/>
    </row>
    <row r="82" spans="2:24" x14ac:dyDescent="0.25">
      <c r="C82" s="75" t="s">
        <v>139</v>
      </c>
      <c r="D82" s="75"/>
      <c r="E82" s="75" t="s">
        <v>691</v>
      </c>
      <c r="F82" s="119">
        <v>0.23499481992651008</v>
      </c>
      <c r="G82" s="119">
        <v>0.23951304028772449</v>
      </c>
      <c r="H82" s="119">
        <v>0.24560631149347636</v>
      </c>
      <c r="I82" s="119">
        <v>0.23894303233138736</v>
      </c>
      <c r="J82" s="119">
        <v>0.23930839648124974</v>
      </c>
      <c r="K82" s="119">
        <v>0.24706070950809214</v>
      </c>
      <c r="L82" s="119">
        <v>0.25064646854529649</v>
      </c>
      <c r="M82" s="119">
        <v>0.25182339828726946</v>
      </c>
      <c r="N82" s="119">
        <v>0.25421711980422507</v>
      </c>
      <c r="O82" s="119">
        <v>0.25719751364136301</v>
      </c>
      <c r="P82" s="119">
        <v>0.25701422776145738</v>
      </c>
      <c r="Q82" s="119">
        <v>0.24713769159280122</v>
      </c>
      <c r="R82" s="119">
        <v>0.2504397264455504</v>
      </c>
      <c r="S82" s="119">
        <v>0.25322719613529981</v>
      </c>
      <c r="T82" s="119">
        <v>0.23557438340650849</v>
      </c>
      <c r="U82" s="119">
        <v>0.23871564011459545</v>
      </c>
      <c r="V82" s="119">
        <v>0.23983770038593216</v>
      </c>
      <c r="W82" s="119">
        <v>0.24488013451784668</v>
      </c>
      <c r="X82" s="1"/>
    </row>
    <row r="83" spans="2:24" x14ac:dyDescent="0.25">
      <c r="C83" s="75" t="s">
        <v>236</v>
      </c>
      <c r="D83" s="75"/>
      <c r="E83" s="75" t="s">
        <v>692</v>
      </c>
      <c r="F83" s="119">
        <v>0.11482247460856557</v>
      </c>
      <c r="G83" s="119">
        <v>0.11088676781613815</v>
      </c>
      <c r="H83" s="119">
        <v>0.10148069070888918</v>
      </c>
      <c r="I83" s="119">
        <v>9.2838021534759674E-2</v>
      </c>
      <c r="J83" s="119">
        <v>0.10765594531082383</v>
      </c>
      <c r="K83" s="119">
        <v>0.10518549743202782</v>
      </c>
      <c r="L83" s="119">
        <v>0.10591688384517009</v>
      </c>
      <c r="M83" s="119">
        <v>9.8989789737868039E-2</v>
      </c>
      <c r="N83" s="119">
        <v>0.11181180498409909</v>
      </c>
      <c r="O83" s="119">
        <v>0.1111694232736495</v>
      </c>
      <c r="P83" s="119">
        <v>0.11118880596509027</v>
      </c>
      <c r="Q83" s="119">
        <v>0.12322763007194892</v>
      </c>
      <c r="R83" s="119">
        <v>0.11010485576544873</v>
      </c>
      <c r="S83" s="119">
        <v>0.11709840971284667</v>
      </c>
      <c r="T83" s="119">
        <v>0.12150390657092813</v>
      </c>
      <c r="U83" s="119">
        <v>0.11253796457910284</v>
      </c>
      <c r="V83" s="119">
        <v>0.10819095362154292</v>
      </c>
      <c r="W83" s="119">
        <v>0.10415322273777741</v>
      </c>
      <c r="X83" s="1"/>
    </row>
    <row r="84" spans="2:24" x14ac:dyDescent="0.25">
      <c r="C84" s="75" t="s">
        <v>189</v>
      </c>
      <c r="D84" s="75"/>
      <c r="E84" s="75" t="s">
        <v>693</v>
      </c>
      <c r="F84" s="20">
        <v>5.4429169304323954E-2</v>
      </c>
      <c r="G84" s="20">
        <v>5.807172623257207E-2</v>
      </c>
      <c r="H84" s="20">
        <v>6.4284994458086192E-2</v>
      </c>
      <c r="I84" s="20">
        <v>6.1957673827250245E-2</v>
      </c>
      <c r="J84" s="20">
        <v>6.0929815862144902E-2</v>
      </c>
      <c r="K84" s="20">
        <v>6.3041681590929877E-2</v>
      </c>
      <c r="L84" s="20">
        <v>6.3112695900129981E-2</v>
      </c>
      <c r="M84" s="20">
        <v>6.7202952923052756E-2</v>
      </c>
      <c r="N84" s="20">
        <v>6.7606982009953895E-2</v>
      </c>
      <c r="O84" s="20">
        <v>6.1025094019904969E-2</v>
      </c>
      <c r="P84" s="20">
        <v>5.6497756600936803E-2</v>
      </c>
      <c r="Q84" s="20">
        <v>5.756498489141041E-2</v>
      </c>
      <c r="R84" s="20">
        <v>6.8799747834181746E-2</v>
      </c>
      <c r="S84" s="20">
        <v>6.9891293711133631E-2</v>
      </c>
      <c r="T84" s="119">
        <v>7.7742397232920576E-2</v>
      </c>
      <c r="U84" s="119">
        <v>8.1854706578002173E-2</v>
      </c>
      <c r="V84" s="119">
        <v>8.2663849254798583E-2</v>
      </c>
      <c r="W84" s="119">
        <v>8.3917103487234024E-2</v>
      </c>
      <c r="X84" s="1"/>
    </row>
    <row r="85" spans="2:24" x14ac:dyDescent="0.25">
      <c r="B85" s="27"/>
      <c r="C85" s="27"/>
      <c r="D85" s="27"/>
      <c r="E85" s="27"/>
      <c r="F85" s="15"/>
      <c r="G85" s="15"/>
      <c r="H85" s="15"/>
      <c r="I85" s="15"/>
      <c r="J85" s="15"/>
      <c r="K85" s="15"/>
      <c r="L85" s="15"/>
      <c r="M85" s="15"/>
      <c r="N85" s="15"/>
      <c r="O85" s="15"/>
      <c r="P85" s="15"/>
      <c r="Q85" s="15"/>
      <c r="R85" s="15"/>
      <c r="S85" s="15"/>
      <c r="T85" s="15"/>
      <c r="U85" s="15"/>
      <c r="V85" s="15"/>
      <c r="W85" s="15"/>
      <c r="X85" s="1"/>
    </row>
    <row r="86" spans="2:24" x14ac:dyDescent="0.25">
      <c r="B86" s="141" t="s">
        <v>187</v>
      </c>
      <c r="E86" s="141" t="s">
        <v>187</v>
      </c>
      <c r="X86" s="1"/>
    </row>
    <row r="87" spans="2:24" ht="5.0999999999999996" customHeight="1" x14ac:dyDescent="0.25">
      <c r="B87" s="27"/>
      <c r="C87" s="27"/>
      <c r="D87" s="27"/>
      <c r="E87" s="27"/>
      <c r="F87" s="9"/>
      <c r="G87" s="9"/>
      <c r="H87" s="9"/>
      <c r="I87" s="9"/>
      <c r="J87" s="9"/>
      <c r="K87" s="9"/>
      <c r="L87" s="9"/>
      <c r="M87" s="9"/>
      <c r="N87" s="9"/>
      <c r="O87" s="9"/>
      <c r="P87" s="9"/>
      <c r="Q87" s="9"/>
      <c r="R87" s="9"/>
      <c r="S87" s="9"/>
      <c r="T87" s="9">
        <v>0</v>
      </c>
      <c r="U87" s="9">
        <v>0</v>
      </c>
      <c r="V87" s="9"/>
      <c r="W87" s="9"/>
      <c r="X87" s="1"/>
    </row>
    <row r="88" spans="2:24" x14ac:dyDescent="0.25">
      <c r="C88" s="75" t="s">
        <v>235</v>
      </c>
      <c r="D88" s="75"/>
      <c r="E88" s="75" t="s">
        <v>235</v>
      </c>
      <c r="F88" s="119">
        <v>1</v>
      </c>
      <c r="G88" s="119">
        <v>1</v>
      </c>
      <c r="H88" s="119">
        <v>1</v>
      </c>
      <c r="I88" s="119">
        <v>0.71408574521015467</v>
      </c>
      <c r="J88" s="119">
        <v>0.61806945271992719</v>
      </c>
      <c r="K88" s="120">
        <v>0.62380940990713341</v>
      </c>
      <c r="L88" s="120">
        <v>0.52396431892990614</v>
      </c>
      <c r="M88" s="120">
        <v>0.50618279673461553</v>
      </c>
      <c r="N88" s="120">
        <v>0.51052445572552707</v>
      </c>
      <c r="O88" s="120">
        <v>0.5080339780518015</v>
      </c>
      <c r="P88" s="120">
        <v>0.5036244022153985</v>
      </c>
      <c r="Q88" s="120">
        <v>0.50002027132433113</v>
      </c>
      <c r="R88" s="120">
        <v>0.50709395563836512</v>
      </c>
      <c r="S88" s="120">
        <v>0.52020599631169395</v>
      </c>
      <c r="T88" s="120">
        <v>0.48892790277848164</v>
      </c>
      <c r="U88" s="120">
        <v>0.48143745023902429</v>
      </c>
      <c r="V88" s="120">
        <v>0.47731129705104203</v>
      </c>
      <c r="W88" s="120">
        <v>0.47567561017557053</v>
      </c>
      <c r="X88" s="1"/>
    </row>
    <row r="89" spans="2:24" x14ac:dyDescent="0.25">
      <c r="C89" s="75" t="s">
        <v>288</v>
      </c>
      <c r="D89" s="75"/>
      <c r="E89" s="75" t="s">
        <v>288</v>
      </c>
      <c r="F89" s="7">
        <v>0</v>
      </c>
      <c r="G89" s="7">
        <v>0</v>
      </c>
      <c r="H89" s="7">
        <v>0</v>
      </c>
      <c r="I89" s="120">
        <v>8.267698695696947E-2</v>
      </c>
      <c r="J89" s="120">
        <v>8.4459952335611752E-2</v>
      </c>
      <c r="K89" s="120">
        <v>8.4086174945962225E-2</v>
      </c>
      <c r="L89" s="120">
        <v>0.15409913469931708</v>
      </c>
      <c r="M89" s="120">
        <v>0.18178815718755226</v>
      </c>
      <c r="N89" s="120">
        <v>0.18295493258308326</v>
      </c>
      <c r="O89" s="120">
        <v>0.18600788679714844</v>
      </c>
      <c r="P89" s="120">
        <v>0.18758104169434395</v>
      </c>
      <c r="Q89" s="120">
        <v>0.19329278561254765</v>
      </c>
      <c r="R89" s="120">
        <v>0.17029284352988028</v>
      </c>
      <c r="S89" s="120">
        <v>0.15366590589614901</v>
      </c>
      <c r="T89" s="120">
        <v>0.1693572631636234</v>
      </c>
      <c r="U89" s="120">
        <v>0.17405475878678037</v>
      </c>
      <c r="V89" s="120">
        <v>0.18012218429065546</v>
      </c>
      <c r="W89" s="120">
        <v>0.1869823561205671</v>
      </c>
      <c r="X89" s="1"/>
    </row>
    <row r="90" spans="2:24" x14ac:dyDescent="0.25">
      <c r="C90" s="75" t="s">
        <v>859</v>
      </c>
      <c r="D90" s="75"/>
      <c r="E90" s="75" t="s">
        <v>860</v>
      </c>
      <c r="F90" s="7">
        <v>0</v>
      </c>
      <c r="G90" s="7">
        <v>0</v>
      </c>
      <c r="H90" s="7">
        <v>0</v>
      </c>
      <c r="I90" s="120">
        <v>0.2032372678328758</v>
      </c>
      <c r="J90" s="120">
        <v>0.29747059494446104</v>
      </c>
      <c r="K90" s="120">
        <v>0.29210441514690438</v>
      </c>
      <c r="L90" s="120">
        <v>0.32193654637077673</v>
      </c>
      <c r="M90" s="120">
        <v>0.31202904607783227</v>
      </c>
      <c r="N90" s="120">
        <v>0.30652061169138967</v>
      </c>
      <c r="O90" s="120">
        <v>0.30595813515105008</v>
      </c>
      <c r="P90" s="120">
        <v>0.30879455609025752</v>
      </c>
      <c r="Q90" s="120">
        <v>0.30668694306312122</v>
      </c>
      <c r="R90" s="120">
        <v>0.3226132008317546</v>
      </c>
      <c r="S90" s="120">
        <v>0.32612809779215696</v>
      </c>
      <c r="T90" s="120">
        <v>0.34171483405789499</v>
      </c>
      <c r="U90" s="120">
        <v>0.34450779097419537</v>
      </c>
      <c r="V90" s="120">
        <v>0.34256651865830257</v>
      </c>
      <c r="W90" s="120">
        <v>0.33734203370386234</v>
      </c>
      <c r="X90" s="1"/>
    </row>
    <row r="91" spans="2:24" x14ac:dyDescent="0.25">
      <c r="X91" s="1"/>
    </row>
    <row r="92" spans="2:24" x14ac:dyDescent="0.25">
      <c r="X92" s="1"/>
    </row>
    <row r="93" spans="2:24" x14ac:dyDescent="0.25">
      <c r="B93" s="148" t="s">
        <v>426</v>
      </c>
      <c r="C93" s="169"/>
      <c r="D93" s="169"/>
      <c r="E93" s="148" t="s">
        <v>684</v>
      </c>
      <c r="F93" s="149"/>
      <c r="G93" s="149"/>
      <c r="H93" s="149"/>
      <c r="I93" s="149"/>
      <c r="J93" s="149"/>
      <c r="K93" s="149"/>
      <c r="L93" s="149"/>
      <c r="M93" s="149"/>
      <c r="N93" s="149"/>
      <c r="O93" s="149"/>
      <c r="P93" s="149"/>
      <c r="Q93" s="149"/>
      <c r="R93" s="149"/>
      <c r="S93" s="149"/>
      <c r="T93" s="149"/>
      <c r="U93" s="149"/>
      <c r="V93" s="149"/>
      <c r="W93" s="149"/>
      <c r="X93" s="1"/>
    </row>
    <row r="94" spans="2:24" x14ac:dyDescent="0.25">
      <c r="B94" s="141"/>
      <c r="C94" s="52"/>
      <c r="D94" s="52"/>
      <c r="E94" s="141"/>
      <c r="X94" s="1"/>
    </row>
    <row r="95" spans="2:24" x14ac:dyDescent="0.25">
      <c r="C95" s="75" t="s">
        <v>141</v>
      </c>
      <c r="D95" s="75"/>
      <c r="E95" s="75" t="s">
        <v>694</v>
      </c>
      <c r="F95" s="11">
        <v>2983.3</v>
      </c>
      <c r="G95" s="11">
        <v>3754.0549999999998</v>
      </c>
      <c r="H95" s="11">
        <v>3525.59</v>
      </c>
      <c r="I95" s="11">
        <v>4424.5910000000003</v>
      </c>
      <c r="J95" s="11">
        <v>3983.4</v>
      </c>
      <c r="K95" s="11">
        <v>4516.8109999999997</v>
      </c>
      <c r="L95" s="11">
        <v>4083.9340000000002</v>
      </c>
      <c r="M95" s="11">
        <v>4328.8999999999996</v>
      </c>
      <c r="N95" s="11">
        <v>4835.9399999999996</v>
      </c>
      <c r="O95" s="11">
        <v>4593.96</v>
      </c>
      <c r="P95" s="11">
        <v>5295.43</v>
      </c>
      <c r="Q95" s="11">
        <v>5970.8259291200002</v>
      </c>
      <c r="R95" s="11">
        <v>5857.3176872800004</v>
      </c>
      <c r="S95" s="11">
        <v>6397.1644901300006</v>
      </c>
      <c r="T95" s="11">
        <v>6096.53</v>
      </c>
      <c r="U95" s="11">
        <v>7535.2300000000005</v>
      </c>
      <c r="V95" s="245">
        <v>6696.3949999999995</v>
      </c>
      <c r="W95" s="245">
        <v>6620.8589823903267</v>
      </c>
      <c r="X95" s="1"/>
    </row>
    <row r="96" spans="2:24" x14ac:dyDescent="0.25">
      <c r="C96" s="75" t="s">
        <v>142</v>
      </c>
      <c r="D96" s="75"/>
      <c r="E96" s="75" t="s">
        <v>695</v>
      </c>
      <c r="F96" s="11">
        <v>5638.76</v>
      </c>
      <c r="G96" s="11">
        <v>5158.4920000000002</v>
      </c>
      <c r="H96" s="11">
        <v>6067.826</v>
      </c>
      <c r="I96" s="11">
        <v>6376.7719999999999</v>
      </c>
      <c r="J96" s="11">
        <v>7392.5</v>
      </c>
      <c r="K96" s="11">
        <v>7373.4660000000003</v>
      </c>
      <c r="L96" s="11">
        <v>7608.6940000000004</v>
      </c>
      <c r="M96" s="11">
        <v>7666.83</v>
      </c>
      <c r="N96" s="11">
        <v>7791.96</v>
      </c>
      <c r="O96" s="11">
        <v>8095.4400000000005</v>
      </c>
      <c r="P96" s="11">
        <v>8620.17</v>
      </c>
      <c r="Q96" s="11">
        <v>9418.6460154399992</v>
      </c>
      <c r="R96" s="11">
        <v>9719.8662648200007</v>
      </c>
      <c r="S96" s="11">
        <v>10510.815786679999</v>
      </c>
      <c r="T96" s="11">
        <v>11134.12</v>
      </c>
      <c r="U96" s="11">
        <v>9722.9599999999991</v>
      </c>
      <c r="V96" s="245">
        <v>9280.51</v>
      </c>
      <c r="W96" s="245">
        <v>9161.2900000000009</v>
      </c>
      <c r="X96" s="1"/>
    </row>
    <row r="97" spans="2:24" x14ac:dyDescent="0.25">
      <c r="C97" s="75" t="s">
        <v>143</v>
      </c>
      <c r="D97" s="75"/>
      <c r="E97" s="75" t="s">
        <v>696</v>
      </c>
      <c r="F97" s="11">
        <v>3649.09</v>
      </c>
      <c r="G97" s="11">
        <v>3859.98</v>
      </c>
      <c r="H97" s="11">
        <v>4331.6670000000004</v>
      </c>
      <c r="I97" s="11">
        <v>4969.143</v>
      </c>
      <c r="J97" s="11">
        <v>5060.5</v>
      </c>
      <c r="K97" s="11">
        <v>5095.8829999999998</v>
      </c>
      <c r="L97" s="11">
        <v>5958.5290000000005</v>
      </c>
      <c r="M97" s="11">
        <v>7144.51</v>
      </c>
      <c r="N97" s="11">
        <v>7194.67</v>
      </c>
      <c r="O97" s="11">
        <v>6816.46</v>
      </c>
      <c r="P97" s="11">
        <v>6759.39</v>
      </c>
      <c r="Q97" s="11">
        <v>6741.797432880001</v>
      </c>
      <c r="R97" s="11">
        <v>6417.5729349200001</v>
      </c>
      <c r="S97" s="11">
        <v>6363.5872769900006</v>
      </c>
      <c r="T97" s="11">
        <v>7149.3989500200005</v>
      </c>
      <c r="U97" s="11">
        <v>7338.4816611499991</v>
      </c>
      <c r="V97" s="245">
        <v>6999.5940221062683</v>
      </c>
      <c r="W97" s="245">
        <v>6674.2089276096749</v>
      </c>
      <c r="X97" s="1"/>
    </row>
    <row r="98" spans="2:24" x14ac:dyDescent="0.25">
      <c r="C98" s="75" t="s">
        <v>144</v>
      </c>
      <c r="D98" s="75"/>
      <c r="E98" s="75" t="s">
        <v>697</v>
      </c>
      <c r="F98" s="11">
        <v>793.71</v>
      </c>
      <c r="G98" s="11">
        <v>860.76800000000003</v>
      </c>
      <c r="H98" s="11">
        <v>1266.7380000000001</v>
      </c>
      <c r="I98" s="11">
        <v>1428.827</v>
      </c>
      <c r="J98" s="11">
        <v>1420.1</v>
      </c>
      <c r="K98" s="11">
        <v>1232.5709999999999</v>
      </c>
      <c r="L98" s="11">
        <v>1580.0920000000001</v>
      </c>
      <c r="M98" s="11">
        <v>1800.09</v>
      </c>
      <c r="N98" s="11">
        <v>1649.02</v>
      </c>
      <c r="O98" s="11">
        <v>1361.24</v>
      </c>
      <c r="P98" s="11">
        <v>1229.82</v>
      </c>
      <c r="Q98" s="11">
        <v>1121.94</v>
      </c>
      <c r="R98" s="11">
        <v>1069.6099999999999</v>
      </c>
      <c r="S98" s="11">
        <v>1058.3</v>
      </c>
      <c r="T98" s="11">
        <v>1256.03</v>
      </c>
      <c r="U98" s="11">
        <v>1173.0999999999999</v>
      </c>
      <c r="V98" s="245">
        <v>1086.29</v>
      </c>
      <c r="W98" s="245">
        <v>1036.76</v>
      </c>
      <c r="X98" s="1"/>
    </row>
    <row r="99" spans="2:24" x14ac:dyDescent="0.25">
      <c r="C99" s="189" t="s">
        <v>221</v>
      </c>
      <c r="D99" s="189"/>
      <c r="E99" s="189" t="s">
        <v>221</v>
      </c>
      <c r="F99" s="190">
        <f t="shared" ref="F99:P99" si="18">SUM(F95:F98)</f>
        <v>13064.86</v>
      </c>
      <c r="G99" s="190">
        <f t="shared" si="18"/>
        <v>13633.295</v>
      </c>
      <c r="H99" s="190">
        <f t="shared" si="18"/>
        <v>15191.821000000002</v>
      </c>
      <c r="I99" s="190">
        <f t="shared" si="18"/>
        <v>17199.333000000002</v>
      </c>
      <c r="J99" s="190">
        <f t="shared" si="18"/>
        <v>17856.5</v>
      </c>
      <c r="K99" s="190">
        <f t="shared" si="18"/>
        <v>18218.731</v>
      </c>
      <c r="L99" s="190">
        <f t="shared" si="18"/>
        <v>19231.249</v>
      </c>
      <c r="M99" s="190">
        <f t="shared" si="18"/>
        <v>20940.329999999998</v>
      </c>
      <c r="N99" s="190">
        <f t="shared" si="18"/>
        <v>21471.59</v>
      </c>
      <c r="O99" s="190">
        <f t="shared" si="18"/>
        <v>20867.100000000002</v>
      </c>
      <c r="P99" s="190">
        <f t="shared" si="18"/>
        <v>21904.81</v>
      </c>
      <c r="Q99" s="190">
        <f t="shared" ref="Q99:R99" si="19">SUM(Q95:Q98)</f>
        <v>23253.209377439998</v>
      </c>
      <c r="R99" s="190">
        <f t="shared" si="19"/>
        <v>23064.366887020002</v>
      </c>
      <c r="S99" s="190">
        <f>SUM(S95:S98)</f>
        <v>24329.867553799999</v>
      </c>
      <c r="T99" s="190">
        <f>SUM(T95:T98)</f>
        <v>25636.078950020001</v>
      </c>
      <c r="U99" s="190">
        <f>SUM(U95:U98)</f>
        <v>25769.771661149996</v>
      </c>
      <c r="V99" s="190">
        <f>SUM(V95:V98)</f>
        <v>24062.78902210627</v>
      </c>
      <c r="W99" s="190">
        <f>SUM(W95:W98)</f>
        <v>23493.117910000001</v>
      </c>
      <c r="X99" s="1"/>
    </row>
    <row r="100" spans="2:24" x14ac:dyDescent="0.25">
      <c r="F100" s="11"/>
      <c r="G100" s="11"/>
      <c r="H100" s="11"/>
      <c r="I100" s="11"/>
      <c r="J100" s="11"/>
      <c r="K100" s="11"/>
      <c r="L100" s="11"/>
      <c r="M100" s="11"/>
      <c r="N100" s="11"/>
      <c r="O100" s="11"/>
      <c r="P100" s="11"/>
      <c r="Q100" s="11"/>
      <c r="R100" s="11"/>
      <c r="S100" s="11"/>
      <c r="T100" s="11"/>
      <c r="U100" s="11"/>
      <c r="V100" s="11"/>
      <c r="W100" s="11"/>
      <c r="X100" s="1"/>
    </row>
    <row r="101" spans="2:24" x14ac:dyDescent="0.25">
      <c r="F101" s="11"/>
      <c r="G101" s="11"/>
      <c r="H101" s="11"/>
      <c r="I101" s="11"/>
      <c r="J101" s="11"/>
      <c r="K101" s="11"/>
      <c r="L101" s="11"/>
      <c r="M101" s="11"/>
      <c r="N101" s="11"/>
      <c r="O101" s="11"/>
      <c r="P101" s="11"/>
      <c r="Q101" s="11"/>
      <c r="R101" s="11"/>
      <c r="S101" s="11"/>
      <c r="T101" s="11"/>
      <c r="U101" s="11"/>
      <c r="V101" s="11"/>
      <c r="W101" s="11"/>
      <c r="X101" s="1"/>
    </row>
    <row r="102" spans="2:24" x14ac:dyDescent="0.25">
      <c r="B102" s="148" t="s">
        <v>427</v>
      </c>
      <c r="C102" s="169"/>
      <c r="D102" s="169"/>
      <c r="E102" s="148" t="s">
        <v>685</v>
      </c>
      <c r="F102" s="188"/>
      <c r="G102" s="188"/>
      <c r="H102" s="188"/>
      <c r="I102" s="188"/>
      <c r="J102" s="188"/>
      <c r="K102" s="188"/>
      <c r="L102" s="188"/>
      <c r="M102" s="188"/>
      <c r="N102" s="188"/>
      <c r="O102" s="188"/>
      <c r="P102" s="188"/>
      <c r="Q102" s="188"/>
      <c r="R102" s="188"/>
      <c r="S102" s="188"/>
      <c r="T102" s="188"/>
      <c r="U102" s="188"/>
      <c r="V102" s="188"/>
      <c r="W102" s="188"/>
      <c r="X102" s="1"/>
    </row>
    <row r="103" spans="2:24" x14ac:dyDescent="0.25">
      <c r="B103" s="52"/>
      <c r="C103" s="52"/>
      <c r="D103" s="52"/>
      <c r="E103" s="52"/>
      <c r="F103" s="33"/>
      <c r="G103" s="33"/>
      <c r="H103" s="33"/>
      <c r="I103" s="33"/>
      <c r="J103" s="33"/>
      <c r="K103" s="33"/>
      <c r="L103" s="33"/>
      <c r="M103" s="33"/>
      <c r="N103" s="33"/>
      <c r="O103" s="33"/>
      <c r="P103" s="33"/>
      <c r="Q103" s="33"/>
      <c r="R103" s="33"/>
      <c r="S103" s="33"/>
      <c r="T103" s="33"/>
      <c r="U103" s="33"/>
      <c r="V103" s="33"/>
      <c r="W103" s="33"/>
      <c r="X103" s="1"/>
    </row>
    <row r="104" spans="2:24" x14ac:dyDescent="0.25">
      <c r="C104" s="75" t="s">
        <v>141</v>
      </c>
      <c r="D104" s="75"/>
      <c r="E104" s="75" t="s">
        <v>694</v>
      </c>
      <c r="F104" s="11">
        <v>2261.84</v>
      </c>
      <c r="G104" s="11">
        <v>1788.6</v>
      </c>
      <c r="H104" s="11">
        <v>402.995</v>
      </c>
      <c r="I104" s="11">
        <v>2083.4879999999998</v>
      </c>
      <c r="J104" s="11">
        <v>1693.9</v>
      </c>
      <c r="K104" s="11">
        <v>1533.3689999999999</v>
      </c>
      <c r="L104" s="11">
        <v>1853.5150000000001</v>
      </c>
      <c r="M104" s="11">
        <v>1909.86</v>
      </c>
      <c r="N104" s="11">
        <v>2118.1</v>
      </c>
      <c r="O104" s="11">
        <v>1477.05</v>
      </c>
      <c r="P104" s="11">
        <v>2455.79</v>
      </c>
      <c r="Q104" s="11">
        <v>2474.4320000000002</v>
      </c>
      <c r="R104" s="11">
        <v>2858.14</v>
      </c>
      <c r="S104" s="11">
        <v>2274.7349999999997</v>
      </c>
      <c r="T104" s="241">
        <v>1911.47</v>
      </c>
      <c r="U104" s="241">
        <v>2948</v>
      </c>
      <c r="V104" s="241">
        <v>2893.88</v>
      </c>
      <c r="W104" s="241">
        <v>2613.15</v>
      </c>
      <c r="X104" s="1"/>
    </row>
    <row r="105" spans="2:24" x14ac:dyDescent="0.25">
      <c r="C105" s="75" t="s">
        <v>142</v>
      </c>
      <c r="D105" s="75"/>
      <c r="E105" s="75" t="s">
        <v>695</v>
      </c>
      <c r="F105" s="11">
        <v>6030.92</v>
      </c>
      <c r="G105" s="11">
        <v>5712.06</v>
      </c>
      <c r="H105" s="11">
        <v>5585.0280000000002</v>
      </c>
      <c r="I105" s="11">
        <v>3872.201</v>
      </c>
      <c r="J105" s="11">
        <v>4411.5</v>
      </c>
      <c r="K105" s="11">
        <v>4910.6880000000001</v>
      </c>
      <c r="L105" s="11">
        <v>4162.9260000000004</v>
      </c>
      <c r="M105" s="11">
        <v>4624.71</v>
      </c>
      <c r="N105" s="11">
        <v>5226.91</v>
      </c>
      <c r="O105" s="11">
        <v>5820.65</v>
      </c>
      <c r="P105" s="11">
        <v>5887.01</v>
      </c>
      <c r="Q105" s="11">
        <v>5277.6080000000002</v>
      </c>
      <c r="R105" s="11">
        <v>5118.68</v>
      </c>
      <c r="S105" s="11">
        <v>5454.9939999999997</v>
      </c>
      <c r="T105" s="241">
        <v>5458.14</v>
      </c>
      <c r="U105" s="241">
        <v>5308.1100000000006</v>
      </c>
      <c r="V105" s="241">
        <v>5598.26</v>
      </c>
      <c r="W105" s="241">
        <v>5624.37</v>
      </c>
      <c r="X105" s="1"/>
    </row>
    <row r="106" spans="2:24" x14ac:dyDescent="0.25">
      <c r="C106" s="75" t="s">
        <v>143</v>
      </c>
      <c r="D106" s="75"/>
      <c r="E106" s="75" t="s">
        <v>696</v>
      </c>
      <c r="F106" s="11">
        <v>2212.2399999999998</v>
      </c>
      <c r="G106" s="11">
        <v>2627.91</v>
      </c>
      <c r="H106" s="11">
        <v>3646.4850000000001</v>
      </c>
      <c r="I106" s="11">
        <v>3281.4879999999998</v>
      </c>
      <c r="J106" s="11">
        <v>3468.9</v>
      </c>
      <c r="K106" s="11">
        <v>3543.2539999999999</v>
      </c>
      <c r="L106" s="11">
        <v>3986.4549999999999</v>
      </c>
      <c r="M106" s="11">
        <v>3582.08</v>
      </c>
      <c r="N106" s="11">
        <v>3353.84</v>
      </c>
      <c r="O106" s="11">
        <v>3364.48</v>
      </c>
      <c r="P106" s="11">
        <v>3029.06</v>
      </c>
      <c r="Q106" s="11">
        <v>3036.7080000000001</v>
      </c>
      <c r="R106" s="11">
        <v>2884.43</v>
      </c>
      <c r="S106" s="11">
        <v>2921.9090000000001</v>
      </c>
      <c r="T106" s="241">
        <v>3250.04</v>
      </c>
      <c r="U106" s="241">
        <v>2860.23</v>
      </c>
      <c r="V106" s="241">
        <v>3329.06</v>
      </c>
      <c r="W106" s="241">
        <v>2992.59</v>
      </c>
      <c r="X106" s="1"/>
    </row>
    <row r="107" spans="2:24" x14ac:dyDescent="0.25">
      <c r="C107" s="75" t="s">
        <v>144</v>
      </c>
      <c r="D107" s="75"/>
      <c r="E107" s="75" t="s">
        <v>697</v>
      </c>
      <c r="F107" s="12">
        <v>35.65</v>
      </c>
      <c r="G107" s="12">
        <v>36.08</v>
      </c>
      <c r="H107" s="12">
        <v>54.932000000000002</v>
      </c>
      <c r="I107" s="12">
        <v>18.949000000000002</v>
      </c>
      <c r="J107" s="12">
        <v>18.98</v>
      </c>
      <c r="K107" s="12">
        <v>27.414999999999999</v>
      </c>
      <c r="L107" s="12">
        <v>27.414999999999999</v>
      </c>
      <c r="M107" s="12">
        <v>44.32</v>
      </c>
      <c r="N107" s="12">
        <v>37.07</v>
      </c>
      <c r="O107" s="12">
        <v>80.11</v>
      </c>
      <c r="P107" s="12">
        <v>62.97</v>
      </c>
      <c r="Q107" s="12">
        <v>280.06099999999998</v>
      </c>
      <c r="R107" s="12">
        <v>316.76</v>
      </c>
      <c r="S107" s="12">
        <v>428.95699999999999</v>
      </c>
      <c r="T107" s="241">
        <v>307.3</v>
      </c>
      <c r="U107" s="241">
        <v>343.79</v>
      </c>
      <c r="V107" s="241">
        <v>484.78</v>
      </c>
      <c r="W107" s="241">
        <v>673.06999999999994</v>
      </c>
      <c r="X107" s="1"/>
    </row>
    <row r="108" spans="2:24" x14ac:dyDescent="0.25">
      <c r="C108" s="189" t="s">
        <v>221</v>
      </c>
      <c r="D108" s="189"/>
      <c r="E108" s="189" t="s">
        <v>221</v>
      </c>
      <c r="F108" s="191">
        <f t="shared" ref="F108:P108" si="20">SUM(F104:F107)</f>
        <v>10540.65</v>
      </c>
      <c r="G108" s="191">
        <f t="shared" si="20"/>
        <v>10164.65</v>
      </c>
      <c r="H108" s="191">
        <f t="shared" si="20"/>
        <v>9689.44</v>
      </c>
      <c r="I108" s="191">
        <f t="shared" si="20"/>
        <v>9256.1260000000002</v>
      </c>
      <c r="J108" s="191">
        <f t="shared" si="20"/>
        <v>9593.2799999999988</v>
      </c>
      <c r="K108" s="191">
        <f t="shared" si="20"/>
        <v>10014.726000000001</v>
      </c>
      <c r="L108" s="191">
        <f t="shared" si="20"/>
        <v>10030.311000000002</v>
      </c>
      <c r="M108" s="191">
        <f t="shared" si="20"/>
        <v>10160.969999999999</v>
      </c>
      <c r="N108" s="191">
        <f t="shared" si="20"/>
        <v>10735.92</v>
      </c>
      <c r="O108" s="191">
        <f t="shared" si="20"/>
        <v>10742.29</v>
      </c>
      <c r="P108" s="191">
        <f t="shared" si="20"/>
        <v>11434.829999999998</v>
      </c>
      <c r="Q108" s="191">
        <f t="shared" ref="Q108:R108" si="21">SUM(Q104:Q107)</f>
        <v>11068.809000000001</v>
      </c>
      <c r="R108" s="191">
        <f t="shared" si="21"/>
        <v>11178.01</v>
      </c>
      <c r="S108" s="191">
        <f>SUM(S104:S107)</f>
        <v>11080.594999999999</v>
      </c>
      <c r="T108" s="191">
        <f>SUM(T104:T107)</f>
        <v>10926.95</v>
      </c>
      <c r="U108" s="191">
        <f>SUM(U104:U107)</f>
        <v>11460.130000000001</v>
      </c>
      <c r="V108" s="191">
        <f>SUM(V104:V107)</f>
        <v>12305.98</v>
      </c>
      <c r="W108" s="191">
        <f>SUM(W104:W107)</f>
        <v>11903.18</v>
      </c>
      <c r="X108" s="1"/>
    </row>
    <row r="109" spans="2:24" x14ac:dyDescent="0.25">
      <c r="X109" s="1"/>
    </row>
    <row r="110" spans="2:24" x14ac:dyDescent="0.25">
      <c r="X110" s="1"/>
    </row>
    <row r="111" spans="2:24" x14ac:dyDescent="0.25">
      <c r="B111" s="148" t="s">
        <v>428</v>
      </c>
      <c r="C111" s="169"/>
      <c r="D111" s="169"/>
      <c r="E111" s="148" t="s">
        <v>699</v>
      </c>
      <c r="F111" s="188"/>
      <c r="G111" s="188"/>
      <c r="H111" s="188"/>
      <c r="I111" s="188"/>
      <c r="J111" s="188"/>
      <c r="K111" s="188"/>
      <c r="L111" s="188"/>
      <c r="M111" s="188"/>
      <c r="N111" s="188"/>
      <c r="O111" s="188"/>
      <c r="P111" s="188"/>
      <c r="Q111" s="188"/>
      <c r="R111" s="188"/>
      <c r="S111" s="188"/>
      <c r="T111" s="188"/>
      <c r="U111" s="188"/>
      <c r="V111" s="188"/>
      <c r="W111" s="188"/>
      <c r="X111" s="1"/>
    </row>
    <row r="112" spans="2:24" x14ac:dyDescent="0.25">
      <c r="B112" s="139"/>
      <c r="C112" s="37"/>
      <c r="D112" s="37"/>
      <c r="E112" s="139"/>
      <c r="F112" s="33"/>
      <c r="G112" s="33"/>
      <c r="H112" s="33"/>
      <c r="I112" s="33"/>
      <c r="J112" s="33"/>
      <c r="K112" s="33"/>
      <c r="L112" s="33"/>
      <c r="M112" s="33"/>
      <c r="N112" s="33"/>
      <c r="O112" s="33"/>
      <c r="P112" s="33"/>
      <c r="Q112" s="33"/>
      <c r="R112" s="33"/>
      <c r="S112" s="33"/>
      <c r="T112" s="33"/>
      <c r="U112" s="33"/>
      <c r="V112" s="33"/>
      <c r="W112" s="33"/>
      <c r="X112" s="1"/>
    </row>
    <row r="113" spans="3:24" x14ac:dyDescent="0.25">
      <c r="C113" s="75" t="s">
        <v>318</v>
      </c>
      <c r="D113" s="75"/>
      <c r="E113" s="75" t="s">
        <v>318</v>
      </c>
      <c r="F113" s="12">
        <v>14.726165830000006</v>
      </c>
      <c r="G113" s="12">
        <v>12.483073920000002</v>
      </c>
      <c r="H113" s="12">
        <v>10.521831510000002</v>
      </c>
      <c r="I113" s="12">
        <v>12.73089699</v>
      </c>
      <c r="J113" s="12"/>
      <c r="K113" s="12"/>
      <c r="L113" s="12"/>
      <c r="M113" s="12"/>
      <c r="N113" s="12"/>
      <c r="O113" s="12"/>
      <c r="P113" s="12"/>
      <c r="Q113" s="12"/>
      <c r="R113" s="12"/>
      <c r="S113" s="12"/>
      <c r="T113" s="12"/>
      <c r="U113" s="12"/>
      <c r="V113" s="12"/>
      <c r="W113" s="12"/>
      <c r="X113" s="1"/>
    </row>
    <row r="114" spans="3:24" x14ac:dyDescent="0.25">
      <c r="C114" s="75" t="s">
        <v>317</v>
      </c>
      <c r="D114" s="75"/>
      <c r="E114" s="75" t="s">
        <v>317</v>
      </c>
      <c r="F114" s="12">
        <v>144.81202008999995</v>
      </c>
      <c r="G114" s="12">
        <v>135.85816636999996</v>
      </c>
      <c r="H114" s="12">
        <v>168.43014305000011</v>
      </c>
      <c r="I114" s="12">
        <v>205.55917444000005</v>
      </c>
      <c r="J114" s="12"/>
      <c r="K114" s="12"/>
      <c r="L114" s="12"/>
      <c r="M114" s="12"/>
      <c r="N114" s="12"/>
      <c r="O114" s="12"/>
      <c r="P114" s="12"/>
      <c r="Q114" s="12"/>
      <c r="R114" s="12"/>
      <c r="S114" s="12"/>
      <c r="T114" s="12"/>
      <c r="U114" s="12"/>
      <c r="V114" s="12"/>
      <c r="W114" s="12"/>
      <c r="X114" s="1"/>
    </row>
    <row r="115" spans="3:24" x14ac:dyDescent="0.25">
      <c r="C115" s="75" t="s">
        <v>316</v>
      </c>
      <c r="D115" s="75"/>
      <c r="E115" s="75" t="s">
        <v>316</v>
      </c>
      <c r="F115" s="11">
        <v>703.09116840000081</v>
      </c>
      <c r="G115" s="11">
        <v>707.71535480000034</v>
      </c>
      <c r="H115" s="11">
        <v>768.33783941999968</v>
      </c>
      <c r="I115" s="11">
        <v>761.42910569000082</v>
      </c>
      <c r="J115" s="11"/>
      <c r="K115" s="11"/>
      <c r="L115" s="11"/>
      <c r="M115" s="11"/>
      <c r="N115" s="11"/>
      <c r="O115" s="11"/>
      <c r="P115" s="11"/>
      <c r="Q115" s="11"/>
      <c r="R115" s="11"/>
      <c r="S115" s="11"/>
      <c r="T115" s="11"/>
      <c r="U115" s="11"/>
      <c r="V115" s="11"/>
      <c r="W115" s="11"/>
      <c r="X115" s="1"/>
    </row>
    <row r="116" spans="3:24" x14ac:dyDescent="0.25">
      <c r="C116" s="75" t="s">
        <v>312</v>
      </c>
      <c r="D116" s="75"/>
      <c r="E116" s="75" t="s">
        <v>312</v>
      </c>
      <c r="F116" s="11">
        <v>1313.4827698899994</v>
      </c>
      <c r="G116" s="11">
        <v>1485.06900507</v>
      </c>
      <c r="H116" s="11">
        <v>1259.8818044300003</v>
      </c>
      <c r="I116" s="11">
        <v>1236.0168938499996</v>
      </c>
      <c r="J116" s="11"/>
      <c r="K116" s="11"/>
      <c r="L116" s="11"/>
      <c r="M116" s="11"/>
      <c r="N116" s="11"/>
      <c r="O116" s="11"/>
      <c r="P116" s="11"/>
      <c r="Q116" s="11"/>
      <c r="R116" s="11"/>
      <c r="S116" s="11"/>
      <c r="T116" s="11"/>
      <c r="U116" s="11"/>
      <c r="V116" s="11"/>
      <c r="W116" s="11"/>
      <c r="X116" s="1"/>
    </row>
    <row r="117" spans="3:24" x14ac:dyDescent="0.25">
      <c r="C117" s="75" t="s">
        <v>313</v>
      </c>
      <c r="D117" s="75"/>
      <c r="E117" s="75" t="s">
        <v>313</v>
      </c>
      <c r="F117" s="11">
        <v>10888.741661920001</v>
      </c>
      <c r="G117" s="11">
        <v>11292.167413409987</v>
      </c>
      <c r="H117" s="11">
        <v>12984.663616239995</v>
      </c>
      <c r="I117" s="11">
        <v>14983.596929030005</v>
      </c>
      <c r="J117" s="11"/>
      <c r="K117" s="11"/>
      <c r="L117" s="11"/>
      <c r="M117" s="11"/>
      <c r="N117" s="11"/>
      <c r="O117" s="11"/>
      <c r="P117" s="11"/>
      <c r="Q117" s="11"/>
      <c r="R117" s="11"/>
      <c r="S117" s="11"/>
      <c r="T117" s="11"/>
      <c r="U117" s="11"/>
      <c r="V117" s="11"/>
      <c r="W117" s="11"/>
      <c r="X117" s="1"/>
    </row>
    <row r="118" spans="3:24" x14ac:dyDescent="0.25">
      <c r="C118" s="189" t="s">
        <v>221</v>
      </c>
      <c r="D118" s="189"/>
      <c r="E118" s="189" t="s">
        <v>221</v>
      </c>
      <c r="F118" s="190">
        <f t="shared" ref="F118:I118" si="22">SUM(F113:F117)</f>
        <v>13064.853786130001</v>
      </c>
      <c r="G118" s="190">
        <f t="shared" si="22"/>
        <v>13633.293013569986</v>
      </c>
      <c r="H118" s="190">
        <f t="shared" si="22"/>
        <v>15191.835234649996</v>
      </c>
      <c r="I118" s="190">
        <f t="shared" si="22"/>
        <v>17199.333000000006</v>
      </c>
      <c r="J118" s="190"/>
      <c r="K118" s="190"/>
      <c r="L118" s="190"/>
      <c r="M118" s="190"/>
      <c r="N118" s="190"/>
      <c r="O118" s="190"/>
      <c r="P118" s="190"/>
      <c r="Q118" s="190"/>
      <c r="R118" s="190"/>
      <c r="S118" s="190"/>
      <c r="T118" s="190"/>
      <c r="U118" s="190"/>
      <c r="V118" s="190"/>
      <c r="W118" s="190"/>
      <c r="X118" s="1"/>
    </row>
    <row r="119" spans="3:24" x14ac:dyDescent="0.25">
      <c r="C119" s="141"/>
      <c r="D119" s="141"/>
      <c r="F119" s="212"/>
      <c r="G119" s="212"/>
      <c r="H119" s="212"/>
      <c r="I119" s="212"/>
      <c r="J119" s="212"/>
      <c r="K119" s="212"/>
      <c r="L119" s="212"/>
      <c r="M119" s="212"/>
      <c r="N119" s="212"/>
      <c r="O119" s="212"/>
      <c r="P119" s="212"/>
      <c r="Q119" s="212"/>
      <c r="R119" s="212"/>
      <c r="S119" s="212"/>
      <c r="T119" s="212"/>
      <c r="U119" s="212"/>
      <c r="V119" s="212"/>
      <c r="W119" s="212"/>
      <c r="X119" s="1"/>
    </row>
    <row r="120" spans="3:24" x14ac:dyDescent="0.25">
      <c r="C120" s="75" t="s">
        <v>311</v>
      </c>
      <c r="D120" s="75"/>
      <c r="E120" s="75" t="s">
        <v>311</v>
      </c>
      <c r="F120" s="12"/>
      <c r="G120" s="12"/>
      <c r="H120" s="12"/>
      <c r="I120" s="12"/>
      <c r="J120" s="12">
        <v>987.49181034999992</v>
      </c>
      <c r="K120" s="12">
        <v>956.32749508000006</v>
      </c>
      <c r="L120" s="12">
        <v>1409.8253188800004</v>
      </c>
      <c r="M120" s="12">
        <v>1773.905259109999</v>
      </c>
      <c r="N120" s="12">
        <v>1841.2193607200013</v>
      </c>
      <c r="O120" s="12">
        <v>2116.775479450002</v>
      </c>
      <c r="P120" s="12">
        <v>2176.5794668000017</v>
      </c>
      <c r="Q120" s="12">
        <v>2272.6741793400201</v>
      </c>
      <c r="R120" s="12">
        <v>2314.7792849399921</v>
      </c>
      <c r="S120" s="12">
        <v>2613.9517686100039</v>
      </c>
      <c r="T120" s="12">
        <v>2890.1000253100024</v>
      </c>
      <c r="U120" s="12">
        <v>3013.943916600012</v>
      </c>
      <c r="V120" s="12">
        <v>2939.1610952999958</v>
      </c>
      <c r="W120" s="12">
        <v>2912.0711896799994</v>
      </c>
      <c r="X120" s="1"/>
    </row>
    <row r="121" spans="3:24" x14ac:dyDescent="0.25">
      <c r="C121" s="75" t="s">
        <v>312</v>
      </c>
      <c r="D121" s="75"/>
      <c r="E121" s="75" t="s">
        <v>312</v>
      </c>
      <c r="F121" s="12"/>
      <c r="G121" s="12"/>
      <c r="H121" s="12"/>
      <c r="I121" s="12"/>
      <c r="J121" s="12">
        <v>1208.0797193800001</v>
      </c>
      <c r="K121" s="12">
        <v>1155.4215034799997</v>
      </c>
      <c r="L121" s="12">
        <v>1440.1493125800005</v>
      </c>
      <c r="M121" s="12">
        <v>1811.2474469599999</v>
      </c>
      <c r="N121" s="12">
        <v>1810.6454693400001</v>
      </c>
      <c r="O121" s="12">
        <v>1970.2948990500004</v>
      </c>
      <c r="P121" s="12">
        <v>2024.2454122699992</v>
      </c>
      <c r="Q121" s="12">
        <v>2273.6775103300024</v>
      </c>
      <c r="R121" s="12">
        <v>2320.7205796799994</v>
      </c>
      <c r="S121" s="12">
        <v>2189.5476603799998</v>
      </c>
      <c r="T121" s="12">
        <v>2363.4779910500006</v>
      </c>
      <c r="U121" s="12">
        <v>2567.6132052000021</v>
      </c>
      <c r="V121" s="12">
        <v>2635.2727459299999</v>
      </c>
      <c r="W121" s="12">
        <v>2600.6945762799983</v>
      </c>
      <c r="X121" s="1"/>
    </row>
    <row r="122" spans="3:24" x14ac:dyDescent="0.25">
      <c r="C122" s="75" t="s">
        <v>314</v>
      </c>
      <c r="D122" s="75"/>
      <c r="E122" s="75" t="s">
        <v>314</v>
      </c>
      <c r="F122" s="11"/>
      <c r="G122" s="11"/>
      <c r="H122" s="11"/>
      <c r="I122" s="11"/>
      <c r="J122" s="11">
        <v>8171.3125635100005</v>
      </c>
      <c r="K122" s="11">
        <v>8178.3703655900035</v>
      </c>
      <c r="L122" s="11">
        <v>8496.208682980001</v>
      </c>
      <c r="M122" s="11">
        <v>9177.044984690001</v>
      </c>
      <c r="N122" s="11">
        <v>8851.8964574400088</v>
      </c>
      <c r="O122" s="11">
        <v>8732.2623235100018</v>
      </c>
      <c r="P122" s="11">
        <v>8419.9388844100013</v>
      </c>
      <c r="Q122" s="11">
        <v>8350.2991142699993</v>
      </c>
      <c r="R122" s="11">
        <v>8325.7494643400005</v>
      </c>
      <c r="S122" s="11">
        <v>8878.8566501000005</v>
      </c>
      <c r="T122" s="12">
        <v>8847.6992971700111</v>
      </c>
      <c r="U122" s="12">
        <v>8418.9692952000005</v>
      </c>
      <c r="V122" s="12">
        <v>8132.2719173000005</v>
      </c>
      <c r="W122" s="12">
        <v>8280.9474811600012</v>
      </c>
      <c r="X122" s="1"/>
    </row>
    <row r="123" spans="3:24" x14ac:dyDescent="0.25">
      <c r="C123" s="75" t="s">
        <v>315</v>
      </c>
      <c r="D123" s="75"/>
      <c r="E123" s="75" t="s">
        <v>315</v>
      </c>
      <c r="F123" s="11"/>
      <c r="G123" s="11"/>
      <c r="H123" s="11"/>
      <c r="I123" s="11"/>
      <c r="J123" s="11">
        <v>7489.7513829300005</v>
      </c>
      <c r="K123" s="11">
        <v>7928.6169909900018</v>
      </c>
      <c r="L123" s="11">
        <v>7885.0600662499965</v>
      </c>
      <c r="M123" s="11">
        <v>8178.0678725999996</v>
      </c>
      <c r="N123" s="11">
        <v>8967.831585529997</v>
      </c>
      <c r="O123" s="11">
        <v>8047.7596682511612</v>
      </c>
      <c r="P123" s="11">
        <v>9284.0686823699962</v>
      </c>
      <c r="Q123" s="11">
        <v>10356.54697786</v>
      </c>
      <c r="R123" s="11">
        <v>10103.121217060001</v>
      </c>
      <c r="S123" s="11">
        <v>10647.523872950002</v>
      </c>
      <c r="T123" s="12">
        <v>11534.872419550004</v>
      </c>
      <c r="U123" s="12">
        <v>11769.337251139999</v>
      </c>
      <c r="V123" s="12">
        <v>10356.082926439996</v>
      </c>
      <c r="W123" s="12">
        <v>9699.4034336199984</v>
      </c>
      <c r="X123" s="1"/>
    </row>
    <row r="124" spans="3:24" x14ac:dyDescent="0.25">
      <c r="C124" s="189" t="s">
        <v>221</v>
      </c>
      <c r="D124" s="189"/>
      <c r="E124" s="189" t="s">
        <v>221</v>
      </c>
      <c r="F124" s="190"/>
      <c r="G124" s="190"/>
      <c r="H124" s="190"/>
      <c r="I124" s="190"/>
      <c r="J124" s="190">
        <f t="shared" ref="J124:L124" si="23">SUM(J120:J123)</f>
        <v>17856.635476170002</v>
      </c>
      <c r="K124" s="190">
        <f t="shared" si="23"/>
        <v>18218.736355140005</v>
      </c>
      <c r="L124" s="190">
        <f t="shared" si="23"/>
        <v>19231.243380689997</v>
      </c>
      <c r="M124" s="190">
        <f t="shared" ref="M124:R124" si="24">SUM(M120:M123)</f>
        <v>20940.265563360001</v>
      </c>
      <c r="N124" s="190">
        <f t="shared" si="24"/>
        <v>21471.592873030007</v>
      </c>
      <c r="O124" s="190">
        <f t="shared" si="24"/>
        <v>20867.092370261165</v>
      </c>
      <c r="P124" s="190">
        <f t="shared" si="24"/>
        <v>21904.832445849999</v>
      </c>
      <c r="Q124" s="190">
        <f t="shared" si="24"/>
        <v>23253.197781800023</v>
      </c>
      <c r="R124" s="190">
        <f t="shared" si="24"/>
        <v>23064.370546019993</v>
      </c>
      <c r="S124" s="190">
        <f>SUM(S120:S123)</f>
        <v>24329.879952040006</v>
      </c>
      <c r="T124" s="190">
        <f>SUM(T120:T123)</f>
        <v>25636.149733080019</v>
      </c>
      <c r="U124" s="190">
        <f>SUM(U120:U123)</f>
        <v>25769.863668140017</v>
      </c>
      <c r="V124" s="190">
        <f>SUM(V120:V123)</f>
        <v>24062.788684969993</v>
      </c>
      <c r="W124" s="190">
        <f>SUM(W120:W123)</f>
        <v>23493.116680739997</v>
      </c>
      <c r="X124" s="1"/>
    </row>
    <row r="127" spans="3:24" x14ac:dyDescent="0.25">
      <c r="C127" s="1" t="s">
        <v>434</v>
      </c>
    </row>
    <row r="128" spans="3:24" ht="5.0999999999999996" customHeight="1" x14ac:dyDescent="0.25"/>
    <row r="129" spans="3:3" x14ac:dyDescent="0.25">
      <c r="C129" t="s">
        <v>421</v>
      </c>
    </row>
    <row r="131" spans="3:3" x14ac:dyDescent="0.25">
      <c r="C131" s="1" t="s">
        <v>435</v>
      </c>
    </row>
    <row r="132" spans="3:3" ht="5.0999999999999996" customHeight="1" x14ac:dyDescent="0.25"/>
    <row r="133" spans="3:3" x14ac:dyDescent="0.25">
      <c r="C133" t="s">
        <v>698</v>
      </c>
    </row>
  </sheetData>
  <phoneticPr fontId="34" type="noConversion"/>
  <hyperlinks>
    <hyperlink ref="F6" location="'Índice - Index'!A1" display="Index" xr:uid="{9A8A3275-9CA7-4BEA-A02B-EF0E24836ADC}"/>
    <hyperlink ref="W6" location="'Índice - Index'!A1" display="Index" xr:uid="{AA426EB4-5E68-4BE5-82E0-C0AB5A506EE6}"/>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Índice - Index</vt:lpstr>
      <vt:lpstr>Sumário - Summary</vt:lpstr>
      <vt:lpstr>Balanço - Balance Sheet</vt:lpstr>
      <vt:lpstr>DRE Contábil (Tri) - IS Quarter</vt:lpstr>
      <vt:lpstr>DRE Contábil (Anual) - IS Year</vt:lpstr>
      <vt:lpstr>DRE Ger. (Tri) - IS Mngmt Q</vt:lpstr>
      <vt:lpstr>DRE Ger. (Anual) - IS Mngmt Y</vt:lpstr>
      <vt:lpstr>Provisões - Provisions</vt:lpstr>
      <vt:lpstr>Carteira Expandida - Exp Port</vt:lpstr>
      <vt:lpstr>Nível de Risco - Loan Ratings</vt:lpstr>
      <vt:lpstr>Indicadores - Loan Indicators</vt:lpstr>
      <vt:lpstr>Captação - Funding</vt:lpstr>
      <vt:lpstr>Eficiência - Efficiency</vt:lpstr>
      <vt:lpstr>NIM</vt:lpstr>
      <vt:lpstr>Adequação de Capital - Capital</vt:lpstr>
      <vt:lpstr>Dividendos e JCP - Dividends</vt:lpstr>
      <vt:lpstr>Visões Antigas-Old Definitions</vt:lpstr>
      <vt:lpstr>Carteira Exp - Exp Port</vt:lpstr>
      <vt:lpstr>DRE Gerencial - Managerial IS</vt:lpstr>
      <vt:lpstr>Eficiência - Efficiency </vt:lpstr>
      <vt:lpstr>NIM </vt:lpstr>
    </vt:vector>
  </TitlesOfParts>
  <Company>Banco ABC Brasil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Brandt Cruvinel</dc:creator>
  <cp:lastModifiedBy>Thiago Medeiros de Mattos Brito</cp:lastModifiedBy>
  <dcterms:created xsi:type="dcterms:W3CDTF">2017-06-26T19:40:52Z</dcterms:created>
  <dcterms:modified xsi:type="dcterms:W3CDTF">2023-08-10T22:47:10Z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7e2152-9cc3-4443-b6fd-c7b46d51f2be_Enabled">
    <vt:lpwstr>true</vt:lpwstr>
  </property>
  <property fmtid="{D5CDD505-2E9C-101B-9397-08002B2CF9AE}" pid="3" name="MSIP_Label_0b7e2152-9cc3-4443-b6fd-c7b46d51f2be_SetDate">
    <vt:lpwstr>2023-01-28T15:06:42Z</vt:lpwstr>
  </property>
  <property fmtid="{D5CDD505-2E9C-101B-9397-08002B2CF9AE}" pid="4" name="MSIP_Label_0b7e2152-9cc3-4443-b6fd-c7b46d51f2be_Method">
    <vt:lpwstr>Privileged</vt:lpwstr>
  </property>
  <property fmtid="{D5CDD505-2E9C-101B-9397-08002B2CF9AE}" pid="5" name="MSIP_Label_0b7e2152-9cc3-4443-b6fd-c7b46d51f2be_Name">
    <vt:lpwstr>Publico</vt:lpwstr>
  </property>
  <property fmtid="{D5CDD505-2E9C-101B-9397-08002B2CF9AE}" pid="6" name="MSIP_Label_0b7e2152-9cc3-4443-b6fd-c7b46d51f2be_SiteId">
    <vt:lpwstr>100453cd-a9f7-4d13-923b-0dff037d5286</vt:lpwstr>
  </property>
  <property fmtid="{D5CDD505-2E9C-101B-9397-08002B2CF9AE}" pid="7" name="MSIP_Label_0b7e2152-9cc3-4443-b6fd-c7b46d51f2be_ActionId">
    <vt:lpwstr>ce9e11e0-e97d-4fb5-b43d-2dca85a2eaca</vt:lpwstr>
  </property>
  <property fmtid="{D5CDD505-2E9C-101B-9397-08002B2CF9AE}" pid="8" name="MSIP_Label_0b7e2152-9cc3-4443-b6fd-c7b46d51f2be_ContentBits">
    <vt:lpwstr>2</vt:lpwstr>
  </property>
</Properties>
</file>