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34\Desktop\"/>
    </mc:Choice>
  </mc:AlternateContent>
  <bookViews>
    <workbookView xWindow="0" yWindow="0" windowWidth="28503" windowHeight="12025"/>
  </bookViews>
  <sheets>
    <sheet name="Cenário Conceitual" sheetId="2" r:id="rId1"/>
    <sheet name="Check EBITDA - EQTL MA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31" i="1"/>
  <c r="F31" i="1"/>
  <c r="G31" i="1"/>
  <c r="C31" i="1"/>
  <c r="E60" i="2" l="1"/>
  <c r="F60" i="2"/>
  <c r="D60" i="2"/>
  <c r="D52" i="2" l="1"/>
  <c r="C24" i="2"/>
  <c r="C31" i="2"/>
  <c r="C21" i="2"/>
  <c r="C20" i="2"/>
  <c r="C22" i="2" s="1"/>
  <c r="C10" i="2"/>
  <c r="C6" i="2"/>
  <c r="C14" i="2" l="1"/>
  <c r="D29" i="2" l="1"/>
  <c r="D40" i="2"/>
  <c r="E40" i="2" s="1"/>
  <c r="F40" i="2" s="1"/>
  <c r="F51" i="2"/>
  <c r="E51" i="2"/>
  <c r="D51" i="2"/>
  <c r="D50" i="2" s="1"/>
  <c r="E50" i="2" s="1"/>
  <c r="F50" i="2" s="1"/>
  <c r="G74" i="1"/>
  <c r="G77" i="1"/>
  <c r="G69" i="1"/>
  <c r="G66" i="1"/>
  <c r="G62" i="1"/>
  <c r="F60" i="1"/>
  <c r="E60" i="1"/>
  <c r="D60" i="1"/>
  <c r="C60" i="1"/>
  <c r="G59" i="1"/>
  <c r="G50" i="1"/>
  <c r="G48" i="1"/>
  <c r="G46" i="1"/>
  <c r="G43" i="1"/>
  <c r="G40" i="1"/>
  <c r="F37" i="1"/>
  <c r="E37" i="1"/>
  <c r="D37" i="1"/>
  <c r="C37" i="1"/>
  <c r="F36" i="1"/>
  <c r="E36" i="1"/>
  <c r="D36" i="1"/>
  <c r="C36" i="1"/>
  <c r="G29" i="1"/>
  <c r="G27" i="1"/>
  <c r="G26" i="1"/>
  <c r="G24" i="1"/>
  <c r="G22" i="1"/>
  <c r="D22" i="1" s="1"/>
  <c r="G21" i="1"/>
  <c r="F21" i="1" s="1"/>
  <c r="G20" i="1"/>
  <c r="F20" i="1" s="1"/>
  <c r="G19" i="1"/>
  <c r="C19" i="1" s="1"/>
  <c r="G18" i="1"/>
  <c r="E18" i="1" s="1"/>
  <c r="F18" i="1"/>
  <c r="G17" i="1"/>
  <c r="E17" i="1" s="1"/>
  <c r="G16" i="1"/>
  <c r="E16" i="1" s="1"/>
  <c r="G15" i="1"/>
  <c r="E15" i="1" s="1"/>
  <c r="G14" i="1"/>
  <c r="D14" i="1" s="1"/>
  <c r="G13" i="1"/>
  <c r="E13" i="1" s="1"/>
  <c r="F13" i="1"/>
  <c r="G12" i="1"/>
  <c r="F12" i="1" s="1"/>
  <c r="G11" i="1"/>
  <c r="C11" i="1" s="1"/>
  <c r="G10" i="1"/>
  <c r="E10" i="1" s="1"/>
  <c r="G9" i="1"/>
  <c r="E9" i="1" s="1"/>
  <c r="G8" i="1"/>
  <c r="E8" i="1" s="1"/>
  <c r="F8" i="1"/>
  <c r="G7" i="1"/>
  <c r="F7" i="1" s="1"/>
  <c r="G6" i="1"/>
  <c r="D6" i="1" s="1"/>
  <c r="D8" i="1" l="1"/>
  <c r="F14" i="1"/>
  <c r="D21" i="1"/>
  <c r="G60" i="1"/>
  <c r="C18" i="1"/>
  <c r="F6" i="1"/>
  <c r="F22" i="1"/>
  <c r="F35" i="1"/>
  <c r="F34" i="1" s="1"/>
  <c r="F38" i="1" s="1"/>
  <c r="F57" i="1" s="1"/>
  <c r="G36" i="1"/>
  <c r="E14" i="1"/>
  <c r="F10" i="1"/>
  <c r="D35" i="1"/>
  <c r="D34" i="1" s="1"/>
  <c r="D38" i="1" s="1"/>
  <c r="D57" i="1" s="1"/>
  <c r="C16" i="1"/>
  <c r="C21" i="1"/>
  <c r="D18" i="1"/>
  <c r="E21" i="1"/>
  <c r="D11" i="1"/>
  <c r="F15" i="1"/>
  <c r="E22" i="1"/>
  <c r="E35" i="1"/>
  <c r="E34" i="1" s="1"/>
  <c r="E38" i="1" s="1"/>
  <c r="E57" i="1" s="1"/>
  <c r="F17" i="1"/>
  <c r="D24" i="2"/>
  <c r="D44" i="2" s="1"/>
  <c r="D43" i="2" s="1"/>
  <c r="D49" i="2"/>
  <c r="E29" i="2"/>
  <c r="D7" i="1"/>
  <c r="F9" i="1"/>
  <c r="D16" i="1"/>
  <c r="E7" i="1"/>
  <c r="F16" i="1"/>
  <c r="C7" i="1"/>
  <c r="C10" i="1"/>
  <c r="C13" i="1"/>
  <c r="C15" i="1"/>
  <c r="D19" i="1"/>
  <c r="D10" i="1"/>
  <c r="D13" i="1"/>
  <c r="D15" i="1"/>
  <c r="G37" i="1"/>
  <c r="G35" i="1" s="1"/>
  <c r="G34" i="1" s="1"/>
  <c r="E6" i="1"/>
  <c r="C8" i="1"/>
  <c r="E11" i="1"/>
  <c r="E19" i="1"/>
  <c r="F11" i="1"/>
  <c r="F19" i="1"/>
  <c r="C20" i="1"/>
  <c r="C9" i="1"/>
  <c r="D12" i="1"/>
  <c r="C17" i="1"/>
  <c r="D20" i="1"/>
  <c r="C6" i="1"/>
  <c r="D9" i="1"/>
  <c r="E12" i="1"/>
  <c r="C14" i="1"/>
  <c r="D17" i="1"/>
  <c r="E20" i="1"/>
  <c r="C22" i="1"/>
  <c r="C35" i="1"/>
  <c r="C34" i="1" s="1"/>
  <c r="C38" i="1" s="1"/>
  <c r="C12" i="1"/>
  <c r="E72" i="1" l="1"/>
  <c r="G38" i="1"/>
  <c r="G57" i="1" s="1"/>
  <c r="E52" i="2"/>
  <c r="F52" i="2" s="1"/>
  <c r="F49" i="2" s="1"/>
  <c r="D35" i="2"/>
  <c r="D34" i="2" s="1"/>
  <c r="D38" i="2" s="1"/>
  <c r="E24" i="2"/>
  <c r="E44" i="2" s="1"/>
  <c r="E43" i="2" s="1"/>
  <c r="D26" i="2"/>
  <c r="F29" i="2"/>
  <c r="F72" i="1"/>
  <c r="C57" i="1"/>
  <c r="D72" i="1"/>
  <c r="D73" i="1" l="1"/>
  <c r="D75" i="1"/>
  <c r="F73" i="1"/>
  <c r="F75" i="1"/>
  <c r="E73" i="1"/>
  <c r="E75" i="1"/>
  <c r="D22" i="2"/>
  <c r="D13" i="2" s="1"/>
  <c r="E13" i="2" s="1"/>
  <c r="F13" i="2" s="1"/>
  <c r="E49" i="2"/>
  <c r="E35" i="2"/>
  <c r="E34" i="2" s="1"/>
  <c r="E38" i="2" s="1"/>
  <c r="F24" i="2"/>
  <c r="F44" i="2" s="1"/>
  <c r="F43" i="2" s="1"/>
  <c r="E26" i="2"/>
  <c r="C72" i="1"/>
  <c r="C75" i="1" s="1"/>
  <c r="G75" i="1" l="1"/>
  <c r="D7" i="2"/>
  <c r="E7" i="2" s="1"/>
  <c r="D12" i="2"/>
  <c r="E12" i="2" s="1"/>
  <c r="F12" i="2" s="1"/>
  <c r="D27" i="2"/>
  <c r="D31" i="2" s="1"/>
  <c r="D32" i="2" s="1"/>
  <c r="D47" i="2" s="1"/>
  <c r="D8" i="2"/>
  <c r="E8" i="2" s="1"/>
  <c r="D11" i="2"/>
  <c r="E11" i="2" s="1"/>
  <c r="D9" i="2"/>
  <c r="E9" i="2" s="1"/>
  <c r="F9" i="2" s="1"/>
  <c r="F35" i="2"/>
  <c r="F34" i="2" s="1"/>
  <c r="F38" i="2" s="1"/>
  <c r="F26" i="2"/>
  <c r="C73" i="1"/>
  <c r="G72" i="1"/>
  <c r="G73" i="1" s="1"/>
  <c r="D54" i="2" l="1"/>
  <c r="E22" i="2"/>
  <c r="E27" i="2" s="1"/>
  <c r="E31" i="2" s="1"/>
  <c r="D21" i="2"/>
  <c r="D56" i="2" s="1"/>
  <c r="D58" i="2" s="1"/>
  <c r="D6" i="2"/>
  <c r="D10" i="2"/>
  <c r="E21" i="2"/>
  <c r="E56" i="2" s="1"/>
  <c r="E58" i="2" s="1"/>
  <c r="F8" i="2"/>
  <c r="F21" i="2" s="1"/>
  <c r="F56" i="2" s="1"/>
  <c r="F58" i="2" s="1"/>
  <c r="E10" i="2"/>
  <c r="F11" i="2"/>
  <c r="F10" i="2" s="1"/>
  <c r="E6" i="2"/>
  <c r="E54" i="2"/>
  <c r="F7" i="2"/>
  <c r="D14" i="2" l="1"/>
  <c r="E14" i="2"/>
  <c r="F54" i="2"/>
  <c r="F6" i="2"/>
  <c r="F14" i="2" s="1"/>
  <c r="E32" i="2"/>
  <c r="E47" i="2" s="1"/>
  <c r="F22" i="2"/>
  <c r="F27" i="2" l="1"/>
  <c r="F31" i="2" s="1"/>
  <c r="F32" i="2" s="1"/>
  <c r="F47" i="2" s="1"/>
</calcChain>
</file>

<file path=xl/sharedStrings.xml><?xml version="1.0" encoding="utf-8"?>
<sst xmlns="http://schemas.openxmlformats.org/spreadsheetml/2006/main" count="233" uniqueCount="74">
  <si>
    <t>Composição EBITDA</t>
  </si>
  <si>
    <t>Realizado/Projetado</t>
  </si>
  <si>
    <t>R</t>
  </si>
  <si>
    <t>Processo Tarifário Contrato Antigo</t>
  </si>
  <si>
    <t>-</t>
  </si>
  <si>
    <t>RTP</t>
  </si>
  <si>
    <t>EQTL Maranhão - R$ Milhões</t>
  </si>
  <si>
    <t>1T23</t>
  </si>
  <si>
    <t>2T23</t>
  </si>
  <si>
    <t>3T23</t>
  </si>
  <si>
    <t>4T23</t>
  </si>
  <si>
    <t>Custo de Administração, Operação e Manutenção (CAOM)</t>
  </si>
  <si>
    <t>Custos Operacionais (CO)</t>
  </si>
  <si>
    <t>Receitas Irrecuperáveis - Encargos Setoriais (Vi)</t>
  </si>
  <si>
    <t>Demais Receitas Irrecuperáveis (Vse)</t>
  </si>
  <si>
    <t>Custo Anual dos Ativos (CAA)</t>
  </si>
  <si>
    <t>Remuneração do Capital (RC)</t>
  </si>
  <si>
    <t>Quota de Reintegração Regulatória (QRR)</t>
  </si>
  <si>
    <t>Custo anual das instalações móveis e imóveis (CAIMI)</t>
  </si>
  <si>
    <t>CAOM + CAA</t>
  </si>
  <si>
    <t>VPB com ajustes de Mercado e Qualidade</t>
  </si>
  <si>
    <t>Ajuste de PB associado ao SCEE</t>
  </si>
  <si>
    <t>(-) Outras Receitas</t>
  </si>
  <si>
    <t>(-) Ultrapassagem de Demanda</t>
  </si>
  <si>
    <t>(-) Excedente de Reativo</t>
  </si>
  <si>
    <t>(-) UDEROR</t>
  </si>
  <si>
    <t>Receitas Irrecuperáveis (RI)</t>
  </si>
  <si>
    <t>Parcela B (VPB) - R$ Milhões</t>
  </si>
  <si>
    <t>Premissa │ IPCA - Fator X</t>
  </si>
  <si>
    <t>Mercado Injetada (GWh)</t>
  </si>
  <si>
    <t>Premissa │ Crescimento de Mercado</t>
  </si>
  <si>
    <t>Mercado Faturada (GWh)</t>
  </si>
  <si>
    <t>Tarifa Fio B - R$/MWh</t>
  </si>
  <si>
    <t>IPCA</t>
  </si>
  <si>
    <t>Pmix (R$ / MWh)</t>
  </si>
  <si>
    <t>Receita Fio B - R$ Milhões</t>
  </si>
  <si>
    <t>Efeito Mercado - R$ Milhões</t>
  </si>
  <si>
    <t>Δ Perdas (GWh)</t>
  </si>
  <si>
    <t>Mercado Injetada Regulatório (GWh)</t>
  </si>
  <si>
    <t>Premissa │ Perdas Reais</t>
  </si>
  <si>
    <t>Premissa │ Perdas Regulatórias</t>
  </si>
  <si>
    <t>Impacto de Perdas - R$ Milhões</t>
  </si>
  <si>
    <t>Outras Receitas (Parcela B) - R$ Milhões</t>
  </si>
  <si>
    <t>Premissa │ Crescimento OR</t>
  </si>
  <si>
    <t>Ultrapassagem de Demanda e Excessivo de Reativo - R$ Milhões</t>
  </si>
  <si>
    <t>Premissa │ Crescimento UDER</t>
  </si>
  <si>
    <t>Renda Não Faturada - R$ Milhões</t>
  </si>
  <si>
    <t>Multas DEC e FEC - R$ Milhões</t>
  </si>
  <si>
    <t>Multas por Atraso de Pagamento - R$ Milhões</t>
  </si>
  <si>
    <t>Premissa │ Crescimento Multas por Atraso de Pagamento</t>
  </si>
  <si>
    <t>Sobrecontratação - R$ Milhões</t>
  </si>
  <si>
    <t>Sobrecontratação (GWh)</t>
  </si>
  <si>
    <t>Premissa │ Sobrecontratação</t>
  </si>
  <si>
    <t>Margem Bruta - R$ Milhões</t>
  </si>
  <si>
    <t>Variação MB Release</t>
  </si>
  <si>
    <t>PMSO Real - R$ Milhões</t>
  </si>
  <si>
    <t>PMSO/Consumidor - R$</t>
  </si>
  <si>
    <t>Premissa │ Crescimento PMSO/Consumidor</t>
  </si>
  <si>
    <t>Número Consumidores - Mil</t>
  </si>
  <si>
    <t>Premissa │ Crescimento Consumidores</t>
  </si>
  <si>
    <t>Outperformence PMSO - R$ Milhões</t>
  </si>
  <si>
    <t>PDD - R$ Milhões</t>
  </si>
  <si>
    <t>Premissa │ Eficiencia RI</t>
  </si>
  <si>
    <t>Provisões - R$ Milhões</t>
  </si>
  <si>
    <t>Premissa │ Crescimento Multas</t>
  </si>
  <si>
    <t>EBITDA Real</t>
  </si>
  <si>
    <t>EBITDA Release</t>
  </si>
  <si>
    <t>Ajustes Não Recorrentes</t>
  </si>
  <si>
    <t>EBITDA Ajustado</t>
  </si>
  <si>
    <t>Cenário Conceitual</t>
  </si>
  <si>
    <t>P</t>
  </si>
  <si>
    <t>RTA</t>
  </si>
  <si>
    <t>Distribuidora A - R$ Milhões</t>
  </si>
  <si>
    <t>Outperformance/Underperformance RI - R$ Milhões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</si>
</sst>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-* #,##0_-;\-* #,##0_-;_-* &quot;-&quot;??_-;_-@_-"/>
    <numFmt numFmtId="166" formatCode="0.00000000000000000%"/>
    <numFmt numFmtId="167" formatCode="0.0%"/>
    <numFmt numFmtId="168" formatCode="#,##0.0"/>
    <numFmt numFmtId="169" formatCode="_-* #,##0.0_-;\-* #,##0.0_-;_-* &quot;-&quot;??_-;_-@_-"/>
    <numFmt numFmtId="170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6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4" fillId="3" borderId="4" xfId="0" applyFont="1" applyFill="1" applyBorder="1"/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0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6" fillId="2" borderId="4" xfId="0" applyFont="1" applyFill="1" applyBorder="1"/>
    <xf numFmtId="165" fontId="6" fillId="2" borderId="5" xfId="2" applyNumberFormat="1" applyFont="1" applyFill="1" applyBorder="1"/>
    <xf numFmtId="165" fontId="6" fillId="2" borderId="6" xfId="2" applyNumberFormat="1" applyFont="1" applyFill="1" applyBorder="1"/>
    <xf numFmtId="0" fontId="7" fillId="0" borderId="7" xfId="0" applyFont="1" applyBorder="1"/>
    <xf numFmtId="165" fontId="7" fillId="0" borderId="0" xfId="2" applyNumberFormat="1" applyFont="1" applyBorder="1"/>
    <xf numFmtId="165" fontId="7" fillId="0" borderId="8" xfId="2" applyNumberFormat="1" applyFont="1" applyBorder="1"/>
    <xf numFmtId="0" fontId="6" fillId="2" borderId="7" xfId="0" applyFont="1" applyFill="1" applyBorder="1"/>
    <xf numFmtId="165" fontId="6" fillId="2" borderId="0" xfId="2" applyNumberFormat="1" applyFont="1" applyFill="1" applyBorder="1"/>
    <xf numFmtId="165" fontId="6" fillId="2" borderId="8" xfId="2" applyNumberFormat="1" applyFont="1" applyFill="1" applyBorder="1"/>
    <xf numFmtId="3" fontId="7" fillId="0" borderId="0" xfId="2" applyNumberFormat="1" applyFont="1" applyBorder="1"/>
    <xf numFmtId="165" fontId="7" fillId="0" borderId="8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left" indent="1"/>
    </xf>
    <xf numFmtId="165" fontId="8" fillId="0" borderId="0" xfId="2" applyNumberFormat="1" applyFont="1" applyBorder="1"/>
    <xf numFmtId="166" fontId="0" fillId="0" borderId="0" xfId="1" applyNumberFormat="1" applyFont="1"/>
    <xf numFmtId="3" fontId="0" fillId="0" borderId="0" xfId="0" applyNumberFormat="1"/>
    <xf numFmtId="9" fontId="0" fillId="0" borderId="0" xfId="1" applyFont="1"/>
    <xf numFmtId="0" fontId="8" fillId="0" borderId="7" xfId="0" applyFont="1" applyBorder="1" applyAlignment="1">
      <alignment horizontal="left" indent="3"/>
    </xf>
    <xf numFmtId="0" fontId="6" fillId="5" borderId="7" xfId="0" applyFont="1" applyFill="1" applyBorder="1"/>
    <xf numFmtId="165" fontId="6" fillId="5" borderId="0" xfId="2" applyNumberFormat="1" applyFont="1" applyFill="1" applyBorder="1"/>
    <xf numFmtId="165" fontId="6" fillId="5" borderId="8" xfId="2" applyNumberFormat="1" applyFont="1" applyFill="1" applyBorder="1"/>
    <xf numFmtId="0" fontId="9" fillId="0" borderId="7" xfId="0" quotePrefix="1" applyFont="1" applyBorder="1" applyAlignment="1">
      <alignment horizontal="left" indent="1"/>
    </xf>
    <xf numFmtId="0" fontId="9" fillId="0" borderId="0" xfId="0" quotePrefix="1" applyFont="1" applyBorder="1" applyAlignment="1">
      <alignment horizontal="left" indent="1"/>
    </xf>
    <xf numFmtId="167" fontId="10" fillId="0" borderId="8" xfId="1" applyNumberFormat="1" applyFont="1" applyFill="1" applyBorder="1" applyAlignment="1">
      <alignment horizontal="center"/>
    </xf>
    <xf numFmtId="165" fontId="6" fillId="2" borderId="7" xfId="2" applyNumberFormat="1" applyFont="1" applyFill="1" applyBorder="1"/>
    <xf numFmtId="3" fontId="6" fillId="2" borderId="8" xfId="2" applyNumberFormat="1" applyFont="1" applyFill="1" applyBorder="1" applyAlignment="1">
      <alignment horizontal="center"/>
    </xf>
    <xf numFmtId="167" fontId="10" fillId="0" borderId="0" xfId="1" applyNumberFormat="1" applyFont="1" applyFill="1" applyBorder="1" applyAlignment="1">
      <alignment horizontal="center"/>
    </xf>
    <xf numFmtId="165" fontId="6" fillId="5" borderId="7" xfId="2" applyNumberFormat="1" applyFont="1" applyFill="1" applyBorder="1"/>
    <xf numFmtId="165" fontId="6" fillId="5" borderId="0" xfId="2" applyNumberFormat="1" applyFont="1" applyFill="1" applyBorder="1" applyAlignment="1">
      <alignment horizontal="right"/>
    </xf>
    <xf numFmtId="165" fontId="6" fillId="5" borderId="8" xfId="2" applyNumberFormat="1" applyFont="1" applyFill="1" applyBorder="1" applyAlignment="1">
      <alignment horizontal="right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165" fontId="4" fillId="3" borderId="7" xfId="2" applyNumberFormat="1" applyFont="1" applyFill="1" applyBorder="1"/>
    <xf numFmtId="3" fontId="4" fillId="3" borderId="0" xfId="2" applyNumberFormat="1" applyFont="1" applyFill="1" applyBorder="1" applyAlignment="1">
      <alignment horizontal="center"/>
    </xf>
    <xf numFmtId="1" fontId="9" fillId="0" borderId="0" xfId="1" applyNumberFormat="1" applyFont="1" applyBorder="1" applyAlignment="1">
      <alignment horizontal="right"/>
    </xf>
    <xf numFmtId="1" fontId="9" fillId="0" borderId="8" xfId="1" applyNumberFormat="1" applyFont="1" applyBorder="1" applyAlignment="1">
      <alignment horizontal="right"/>
    </xf>
    <xf numFmtId="0" fontId="9" fillId="0" borderId="7" xfId="0" applyFont="1" applyBorder="1" applyAlignment="1">
      <alignment horizontal="left" indent="1"/>
    </xf>
    <xf numFmtId="167" fontId="9" fillId="0" borderId="0" xfId="1" applyNumberFormat="1" applyFont="1" applyBorder="1" applyAlignment="1">
      <alignment horizontal="left" indent="1"/>
    </xf>
    <xf numFmtId="9" fontId="9" fillId="0" borderId="8" xfId="1" applyFont="1" applyBorder="1" applyAlignment="1">
      <alignment horizontal="center"/>
    </xf>
    <xf numFmtId="165" fontId="10" fillId="2" borderId="7" xfId="2" applyNumberFormat="1" applyFont="1" applyFill="1" applyBorder="1" applyAlignment="1">
      <alignment horizontal="left" indent="1"/>
    </xf>
    <xf numFmtId="168" fontId="10" fillId="2" borderId="0" xfId="2" applyNumberFormat="1" applyFont="1" applyFill="1" applyBorder="1" applyAlignment="1">
      <alignment horizontal="right"/>
    </xf>
    <xf numFmtId="168" fontId="10" fillId="2" borderId="8" xfId="2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9" fontId="0" fillId="0" borderId="8" xfId="1" applyFont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" fontId="6" fillId="2" borderId="8" xfId="2" applyNumberFormat="1" applyFont="1" applyFill="1" applyBorder="1" applyAlignment="1">
      <alignment horizontal="right"/>
    </xf>
    <xf numFmtId="9" fontId="9" fillId="0" borderId="0" xfId="1" applyFont="1" applyBorder="1" applyAlignment="1">
      <alignment horizontal="right"/>
    </xf>
    <xf numFmtId="9" fontId="9" fillId="0" borderId="8" xfId="1" applyFont="1" applyBorder="1" applyAlignment="1">
      <alignment horizontal="right"/>
    </xf>
    <xf numFmtId="0" fontId="9" fillId="0" borderId="0" xfId="0" applyFont="1" applyBorder="1" applyAlignment="1">
      <alignment horizontal="right" indent="1"/>
    </xf>
    <xf numFmtId="165" fontId="6" fillId="2" borderId="8" xfId="2" applyNumberFormat="1" applyFont="1" applyFill="1" applyBorder="1" applyAlignment="1">
      <alignment horizontal="right"/>
    </xf>
    <xf numFmtId="167" fontId="9" fillId="0" borderId="0" xfId="0" applyNumberFormat="1" applyFont="1" applyBorder="1" applyAlignment="1">
      <alignment horizontal="right" indent="1"/>
    </xf>
    <xf numFmtId="9" fontId="0" fillId="0" borderId="8" xfId="1" applyFont="1" applyBorder="1" applyAlignment="1">
      <alignment horizontal="center"/>
    </xf>
    <xf numFmtId="169" fontId="4" fillId="3" borderId="0" xfId="2" applyNumberFormat="1" applyFont="1" applyFill="1" applyBorder="1"/>
    <xf numFmtId="169" fontId="4" fillId="3" borderId="8" xfId="2" applyNumberFormat="1" applyFont="1" applyFill="1" applyBorder="1"/>
    <xf numFmtId="169" fontId="11" fillId="0" borderId="7" xfId="0" applyNumberFormat="1" applyFont="1" applyBorder="1"/>
    <xf numFmtId="167" fontId="11" fillId="0" borderId="0" xfId="1" applyNumberFormat="1" applyFont="1" applyBorder="1"/>
    <xf numFmtId="167" fontId="11" fillId="0" borderId="8" xfId="1" applyNumberFormat="1" applyFont="1" applyBorder="1"/>
    <xf numFmtId="0" fontId="0" fillId="0" borderId="0" xfId="0" applyFill="1"/>
    <xf numFmtId="165" fontId="6" fillId="2" borderId="8" xfId="2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37" fontId="6" fillId="2" borderId="8" xfId="2" applyNumberFormat="1" applyFont="1" applyFill="1" applyBorder="1" applyAlignment="1">
      <alignment horizontal="right"/>
    </xf>
    <xf numFmtId="165" fontId="10" fillId="2" borderId="0" xfId="2" applyNumberFormat="1" applyFont="1" applyFill="1" applyBorder="1" applyAlignment="1">
      <alignment horizontal="left" indent="1"/>
    </xf>
    <xf numFmtId="165" fontId="10" fillId="2" borderId="8" xfId="2" applyNumberFormat="1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9" fontId="0" fillId="0" borderId="8" xfId="0" applyNumberFormat="1" applyBorder="1" applyAlignment="1">
      <alignment horizontal="right"/>
    </xf>
    <xf numFmtId="170" fontId="4" fillId="3" borderId="10" xfId="0" applyNumberFormat="1" applyFont="1" applyFill="1" applyBorder="1"/>
    <xf numFmtId="165" fontId="4" fillId="3" borderId="11" xfId="2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170" fontId="4" fillId="3" borderId="0" xfId="0" applyNumberFormat="1" applyFont="1" applyFill="1" applyBorder="1"/>
    <xf numFmtId="165" fontId="4" fillId="3" borderId="8" xfId="2" applyNumberFormat="1" applyFont="1" applyFill="1" applyBorder="1" applyAlignment="1">
      <alignment horizontal="center"/>
    </xf>
    <xf numFmtId="167" fontId="12" fillId="0" borderId="0" xfId="1" applyNumberFormat="1" applyFont="1" applyBorder="1"/>
    <xf numFmtId="167" fontId="12" fillId="0" borderId="8" xfId="1" applyNumberFormat="1" applyFont="1" applyBorder="1"/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4" fillId="3" borderId="0" xfId="0" applyFont="1" applyFill="1"/>
    <xf numFmtId="165" fontId="7" fillId="0" borderId="0" xfId="2" applyNumberFormat="1" applyFont="1" applyBorder="1" applyAlignment="1">
      <alignment horizontal="center"/>
    </xf>
    <xf numFmtId="167" fontId="10" fillId="0" borderId="0" xfId="1" applyNumberFormat="1" applyFont="1" applyFill="1" applyBorder="1"/>
    <xf numFmtId="167" fontId="10" fillId="0" borderId="8" xfId="1" applyNumberFormat="1" applyFont="1" applyFill="1" applyBorder="1"/>
    <xf numFmtId="3" fontId="6" fillId="2" borderId="0" xfId="2" applyNumberFormat="1" applyFont="1" applyFill="1" applyBorder="1" applyAlignment="1">
      <alignment horizontal="center"/>
    </xf>
    <xf numFmtId="9" fontId="6" fillId="5" borderId="0" xfId="1" applyFont="1" applyFill="1" applyBorder="1"/>
    <xf numFmtId="9" fontId="6" fillId="5" borderId="8" xfId="1" applyFont="1" applyFill="1" applyBorder="1"/>
    <xf numFmtId="0" fontId="0" fillId="0" borderId="8" xfId="0" applyBorder="1"/>
    <xf numFmtId="165" fontId="4" fillId="3" borderId="0" xfId="2" applyNumberFormat="1" applyFont="1" applyFill="1" applyBorder="1"/>
    <xf numFmtId="165" fontId="4" fillId="3" borderId="8" xfId="2" applyNumberFormat="1" applyFont="1" applyFill="1" applyBorder="1"/>
    <xf numFmtId="1" fontId="9" fillId="0" borderId="0" xfId="1" applyNumberFormat="1" applyFont="1" applyBorder="1"/>
    <xf numFmtId="1" fontId="9" fillId="0" borderId="8" xfId="1" applyNumberFormat="1" applyFont="1" applyBorder="1"/>
    <xf numFmtId="165" fontId="0" fillId="0" borderId="0" xfId="0" applyNumberFormat="1"/>
    <xf numFmtId="165" fontId="0" fillId="0" borderId="8" xfId="0" applyNumberFormat="1" applyBorder="1"/>
    <xf numFmtId="9" fontId="9" fillId="0" borderId="0" xfId="1" applyFont="1" applyBorder="1" applyAlignment="1">
      <alignment horizontal="center"/>
    </xf>
    <xf numFmtId="9" fontId="9" fillId="0" borderId="0" xfId="1" applyFont="1" applyBorder="1"/>
    <xf numFmtId="9" fontId="9" fillId="0" borderId="8" xfId="1" applyFont="1" applyBorder="1"/>
    <xf numFmtId="168" fontId="10" fillId="2" borderId="0" xfId="2" applyNumberFormat="1" applyFont="1" applyFill="1" applyBorder="1"/>
    <xf numFmtId="168" fontId="10" fillId="2" borderId="8" xfId="2" applyNumberFormat="1" applyFont="1" applyFill="1" applyBorder="1"/>
    <xf numFmtId="9" fontId="0" fillId="0" borderId="0" xfId="1" applyFont="1" applyBorder="1"/>
    <xf numFmtId="9" fontId="0" fillId="0" borderId="8" xfId="1" applyFont="1" applyBorder="1"/>
    <xf numFmtId="169" fontId="6" fillId="2" borderId="0" xfId="2" applyNumberFormat="1" applyFont="1" applyFill="1" applyBorder="1"/>
    <xf numFmtId="169" fontId="6" fillId="2" borderId="8" xfId="2" applyNumberFormat="1" applyFont="1" applyFill="1" applyBorder="1"/>
    <xf numFmtId="37" fontId="6" fillId="2" borderId="0" xfId="2" applyNumberFormat="1" applyFont="1" applyFill="1" applyBorder="1"/>
    <xf numFmtId="37" fontId="6" fillId="2" borderId="8" xfId="2" applyNumberFormat="1" applyFont="1" applyFill="1" applyBorder="1"/>
    <xf numFmtId="167" fontId="9" fillId="0" borderId="0" xfId="1" applyNumberFormat="1" applyFont="1" applyBorder="1"/>
    <xf numFmtId="167" fontId="9" fillId="0" borderId="8" xfId="1" applyNumberFormat="1" applyFont="1" applyBorder="1"/>
    <xf numFmtId="9" fontId="0" fillId="0" borderId="0" xfId="1" applyFont="1" applyBorder="1" applyAlignment="1">
      <alignment horizontal="center"/>
    </xf>
    <xf numFmtId="169" fontId="0" fillId="0" borderId="0" xfId="0" applyNumberFormat="1" applyBorder="1"/>
    <xf numFmtId="169" fontId="0" fillId="0" borderId="8" xfId="0" applyNumberFormat="1" applyBorder="1"/>
    <xf numFmtId="165" fontId="6" fillId="2" borderId="0" xfId="2" applyNumberFormat="1" applyFont="1" applyFill="1" applyBorder="1" applyAlignment="1">
      <alignment horizontal="center"/>
    </xf>
    <xf numFmtId="3" fontId="10" fillId="2" borderId="0" xfId="2" applyNumberFormat="1" applyFont="1" applyFill="1" applyBorder="1"/>
    <xf numFmtId="3" fontId="10" fillId="2" borderId="8" xfId="2" applyNumberFormat="1" applyFont="1" applyFill="1" applyBorder="1"/>
    <xf numFmtId="165" fontId="4" fillId="3" borderId="10" xfId="2" applyNumberFormat="1" applyFont="1" applyFill="1" applyBorder="1" applyAlignment="1">
      <alignment horizontal="center"/>
    </xf>
    <xf numFmtId="165" fontId="4" fillId="3" borderId="10" xfId="2" applyNumberFormat="1" applyFont="1" applyFill="1" applyBorder="1"/>
    <xf numFmtId="1" fontId="6" fillId="2" borderId="0" xfId="2" applyNumberFormat="1" applyFont="1" applyFill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169" fontId="4" fillId="3" borderId="0" xfId="2" applyNumberFormat="1" applyFont="1" applyFill="1" applyBorder="1" applyAlignment="1">
      <alignment horizontal="center"/>
    </xf>
    <xf numFmtId="167" fontId="11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37" fontId="6" fillId="2" borderId="0" xfId="2" applyNumberFormat="1" applyFont="1" applyFill="1" applyBorder="1" applyAlignment="1">
      <alignment horizontal="center"/>
    </xf>
    <xf numFmtId="165" fontId="10" fillId="2" borderId="0" xfId="2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109902</xdr:colOff>
      <xdr:row>7</xdr:row>
      <xdr:rowOff>175846</xdr:rowOff>
    </xdr:from>
    <xdr:to>
      <xdr:col>9</xdr:col>
      <xdr:colOff>578826</xdr:colOff>
      <xdr:row>17</xdr:row>
      <xdr:rowOff>7327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flipH="1">
          <a:off x="10507667" y="1467318"/>
          <a:ext cx="2467406" cy="1716842"/>
        </a:xfrm>
        <a:prstGeom prst="rightArrow">
          <a:avLst/>
        </a:prstGeom>
        <a:solidFill>
          <a:srgbClr val="00206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596347</xdr:colOff>
      <xdr:row>4</xdr:row>
      <xdr:rowOff>148184</xdr:rowOff>
    </xdr:from>
    <xdr:to>
      <xdr:col>18</xdr:col>
      <xdr:colOff>255592</xdr:colOff>
      <xdr:row>21</xdr:row>
      <xdr:rowOff>143822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92594" y="874048"/>
          <a:ext cx="5400169" cy="3200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109902</xdr:colOff>
      <xdr:row>7</xdr:row>
      <xdr:rowOff>175846</xdr:rowOff>
    </xdr:from>
    <xdr:to>
      <xdr:col>10</xdr:col>
      <xdr:colOff>578826</xdr:colOff>
      <xdr:row>17</xdr:row>
      <xdr:rowOff>7327</xdr:rowOff>
    </xdr:to>
    <xdr:sp macro="" textlink="">
      <xdr:nvSpPr>
        <xdr:cNvPr id="2" name="Seta para a Direita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flipH="1">
          <a:off x="7736187" y="914400"/>
          <a:ext cx="2467406" cy="0"/>
        </a:xfrm>
        <a:prstGeom prst="rightArrow">
          <a:avLst/>
        </a:prstGeom>
        <a:solidFill>
          <a:srgbClr val="00206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o%20MB%2020.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MB"/>
      <sheetName val="Check EBITDA MA VF"/>
      <sheetName val="Check EBITDA MA"/>
      <sheetName val="Check EBITDA PA"/>
      <sheetName val="Check EBITDA PI"/>
      <sheetName val="Check EBITDA AL"/>
      <sheetName val="Planilha RI"/>
      <sheetName val="Operacional"/>
      <sheetName val="Mercado Distribuição"/>
      <sheetName val="Bal. Energético Distribuição"/>
      <sheetName val="Perdas Distribuição"/>
      <sheetName val="Operacional Renováveis"/>
      <sheetName val="DEC FEC"/>
      <sheetName val="Contratos Distribuição"/>
      <sheetName val="Operacional Saneamento"/>
      <sheetName val="DRE ITR"/>
      <sheetName val="DRE ITR Maranhão"/>
      <sheetName val="DRE ITR Pará"/>
      <sheetName val="DRE ITR Piauí"/>
      <sheetName val="DRE ITR Alagoas"/>
      <sheetName val="DRE ITR CEEE-D"/>
      <sheetName val="DRE ITR CEA"/>
      <sheetName val="DRE ITR Goiás"/>
      <sheetName val="DRE ITR Echoenergia"/>
      <sheetName val="DRE ITR Echo Crescimento"/>
      <sheetName val="DRE ITR SPEs"/>
      <sheetName val="DRE ITR EQTT"/>
      <sheetName val="DRE ITR INTESA"/>
      <sheetName val="DRE ITR CSA"/>
      <sheetName val="DRE ITR Serviços"/>
      <sheetName val="DRE ITR Holding"/>
      <sheetName val="DRE ITR Consolidado"/>
      <sheetName val="DRE Resumida"/>
      <sheetName val="DRE Maranhão"/>
      <sheetName val="DRE Pará"/>
      <sheetName val="DRE Piauí"/>
      <sheetName val="DRE Alagoas"/>
      <sheetName val="DRE CEEE-D"/>
      <sheetName val="DRE CEA"/>
      <sheetName val="DRE Goiás"/>
      <sheetName val="DRE Intesa IFRS"/>
      <sheetName val="DRE Intesa Reg"/>
      <sheetName val="DRE EQTT IFRS"/>
      <sheetName val="DRE EQTT Reg"/>
      <sheetName val="DRE Echo Participações"/>
      <sheetName val="DRE CSA"/>
      <sheetName val="DRE EQTL Serviços"/>
      <sheetName val="DRE EQTL Holding"/>
      <sheetName val="DRE EQTL Cons "/>
      <sheetName val="DRE Individual"/>
      <sheetName val="Informações Financeiras Aj."/>
      <sheetName val="BPs"/>
      <sheetName val="BP Maranhão"/>
      <sheetName val="BP Pará"/>
      <sheetName val="BP Piauí"/>
      <sheetName val="BP Alagoas"/>
      <sheetName val="BP CEEE-D "/>
      <sheetName val="BP CEA"/>
      <sheetName val="BP CELG"/>
      <sheetName val="BP CSA"/>
      <sheetName val="BP Echoenergia"/>
      <sheetName val="BP Echo Crescimento"/>
      <sheetName val="BP Transmissão"/>
      <sheetName val="BP Intesa"/>
      <sheetName val="BP EQTL Holding"/>
      <sheetName val="BP EQTL Cons"/>
      <sheetName val="Dívida e CAPEX"/>
      <sheetName val="Dívida Bruta"/>
      <sheetName val="Dívida Líquida"/>
      <sheetName val="Dívida Detalhada"/>
      <sheetName val="Investimentos"/>
      <sheetName val="Balanço CVA"/>
      <sheetName val="Sistemas Isolados"/>
      <sheetName val="Apuração IR CS "/>
      <sheetName val="Dados Regulatórios"/>
      <sheetName val="Dados Concessões"/>
      <sheetName val="Dados Regulatórios Distribuição"/>
      <sheetName val="Dados Leilões Transmissão"/>
      <sheetName val="Beneficios Fiscais"/>
      <sheetName val="Fluxo Ações Preferenci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R9">
            <v>2152649.3553682771</v>
          </cell>
          <cell r="AS9">
            <v>2373270.2062226431</v>
          </cell>
          <cell r="AT9">
            <v>2596928.7265126863</v>
          </cell>
          <cell r="AU9">
            <v>2726720.4920306099</v>
          </cell>
        </row>
        <row r="12">
          <cell r="AR12">
            <v>356703.40833513928</v>
          </cell>
          <cell r="AS12">
            <v>432449.41868181655</v>
          </cell>
          <cell r="AT12">
            <v>490749.9012891138</v>
          </cell>
          <cell r="AU12">
            <v>483696.40553865279</v>
          </cell>
        </row>
      </sheetData>
      <sheetData sheetId="10">
        <row r="8">
          <cell r="AR8">
            <v>0.16865795815283147</v>
          </cell>
          <cell r="AS8">
            <v>0.16865795815283147</v>
          </cell>
          <cell r="AT8">
            <v>0.17254580292624228</v>
          </cell>
          <cell r="AU8">
            <v>0.17254580292624228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58">
          <cell r="P58">
            <v>1591.0426455148943</v>
          </cell>
        </row>
        <row r="59">
          <cell r="P59">
            <v>1432.8528183609114</v>
          </cell>
        </row>
        <row r="60">
          <cell r="P60">
            <v>30.147785883640594</v>
          </cell>
        </row>
        <row r="61">
          <cell r="P61">
            <v>128.0420412703422</v>
          </cell>
        </row>
        <row r="62">
          <cell r="P62">
            <v>1721.3083144842458</v>
          </cell>
        </row>
        <row r="63">
          <cell r="P63">
            <v>1054.3882530466715</v>
          </cell>
        </row>
        <row r="64">
          <cell r="P64">
            <v>482.79659043036617</v>
          </cell>
        </row>
        <row r="65">
          <cell r="P65">
            <v>184.123471007208</v>
          </cell>
        </row>
        <row r="66">
          <cell r="P66">
            <v>3312.3509599991403</v>
          </cell>
        </row>
        <row r="67">
          <cell r="P67">
            <v>3322.4215941261846</v>
          </cell>
        </row>
        <row r="68">
          <cell r="P68">
            <v>54.423117772415949</v>
          </cell>
        </row>
        <row r="69">
          <cell r="P69">
            <v>59.32342919148217</v>
          </cell>
        </row>
        <row r="70">
          <cell r="P70">
            <v>7.6485684617257848</v>
          </cell>
        </row>
        <row r="71">
          <cell r="P71">
            <v>15.63863752584601</v>
          </cell>
        </row>
        <row r="72">
          <cell r="P72">
            <v>82.610635179053958</v>
          </cell>
        </row>
        <row r="73">
          <cell r="P73">
            <v>158.18982715398278</v>
          </cell>
        </row>
        <row r="74">
          <cell r="P74">
            <v>3294.2340767195465</v>
          </cell>
        </row>
      </sheetData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0"/>
  <sheetViews>
    <sheetView showGridLines="0" tabSelected="1" zoomScale="99" workbookViewId="0"/>
  </sheetViews>
  <sheetFormatPr defaultRowHeight="14.85" x14ac:dyDescent="0.25"/>
  <cols>
    <col min="1" max="1" width="3" customWidth="1"/>
    <col min="2" max="2" width="57" bestFit="1" customWidth="1"/>
    <col min="3" max="3" width="12.140625" bestFit="1" customWidth="1"/>
    <col min="4" max="4" width="12.85546875" bestFit="1" customWidth="1"/>
    <col min="5" max="5" width="12.85546875" customWidth="1"/>
    <col min="6" max="6" width="16.28515625" bestFit="1" customWidth="1"/>
    <col min="9" max="9" width="12" bestFit="1" customWidth="1"/>
    <col min="12" max="12" width="13" bestFit="1" customWidth="1"/>
    <col min="13" max="19" width="9.28515625" customWidth="1"/>
  </cols>
  <sheetData>
    <row r="1" spans="2:19" ht="12.8" customHeight="1" x14ac:dyDescent="0.25"/>
    <row r="2" spans="2:19" x14ac:dyDescent="0.25">
      <c r="B2" s="131" t="s">
        <v>69</v>
      </c>
      <c r="C2" s="132"/>
      <c r="D2" s="133"/>
      <c r="E2" s="133"/>
      <c r="F2" s="134"/>
    </row>
    <row r="3" spans="2:19" x14ac:dyDescent="0.25">
      <c r="B3" s="1" t="s">
        <v>1</v>
      </c>
      <c r="C3" s="2" t="s">
        <v>2</v>
      </c>
      <c r="D3" s="85" t="s">
        <v>70</v>
      </c>
      <c r="E3" s="85" t="s">
        <v>70</v>
      </c>
      <c r="F3" s="86" t="s">
        <v>70</v>
      </c>
    </row>
    <row r="4" spans="2:19" x14ac:dyDescent="0.25">
      <c r="B4" s="4" t="s">
        <v>3</v>
      </c>
      <c r="C4" s="87" t="s">
        <v>5</v>
      </c>
      <c r="D4" s="87" t="s">
        <v>71</v>
      </c>
      <c r="E4" s="87" t="s">
        <v>71</v>
      </c>
      <c r="F4" s="6" t="s">
        <v>71</v>
      </c>
    </row>
    <row r="5" spans="2:19" x14ac:dyDescent="0.25">
      <c r="B5" s="7" t="s">
        <v>72</v>
      </c>
      <c r="C5" s="8">
        <v>2023</v>
      </c>
      <c r="D5" s="8">
        <v>2024</v>
      </c>
      <c r="E5" s="8">
        <v>2025</v>
      </c>
      <c r="F5" s="9">
        <v>2026</v>
      </c>
    </row>
    <row r="6" spans="2:19" x14ac:dyDescent="0.25">
      <c r="B6" s="10" t="s">
        <v>11</v>
      </c>
      <c r="C6" s="11">
        <f>SUM(C7:C9)</f>
        <v>1650</v>
      </c>
      <c r="D6" s="11">
        <f>SUM(D7:D9)</f>
        <v>1868.923913043478</v>
      </c>
      <c r="E6" s="11">
        <f>SUM(E7:E9)</f>
        <v>2116.8949046943912</v>
      </c>
      <c r="F6" s="12">
        <f>SUM(F7:F9)</f>
        <v>2397.7669750201471</v>
      </c>
    </row>
    <row r="7" spans="2:19" x14ac:dyDescent="0.25">
      <c r="B7" s="13" t="s">
        <v>12</v>
      </c>
      <c r="C7" s="14">
        <v>1450</v>
      </c>
      <c r="D7" s="14">
        <f>C7/$C$14*$D$22</f>
        <v>1642.38768115942</v>
      </c>
      <c r="E7" s="14">
        <f t="shared" ref="E7:F9" si="0">D7/$C$14*$D$22</f>
        <v>1860.301582913253</v>
      </c>
      <c r="F7" s="15">
        <f t="shared" si="0"/>
        <v>2107.1285538055836</v>
      </c>
      <c r="K7" s="135"/>
      <c r="L7" s="135"/>
      <c r="M7" s="135"/>
      <c r="N7" s="135"/>
      <c r="O7" s="135"/>
      <c r="P7" s="135"/>
      <c r="Q7" s="135"/>
      <c r="R7" s="135"/>
      <c r="S7" s="135"/>
    </row>
    <row r="8" spans="2:19" x14ac:dyDescent="0.25">
      <c r="B8" s="13" t="s">
        <v>13</v>
      </c>
      <c r="C8" s="14">
        <v>50</v>
      </c>
      <c r="D8" s="14">
        <f>C8/$C$14*$D$22</f>
        <v>56.634057971014485</v>
      </c>
      <c r="E8" s="14">
        <f t="shared" si="0"/>
        <v>64.148330445284586</v>
      </c>
      <c r="F8" s="15">
        <f t="shared" si="0"/>
        <v>72.659605303640802</v>
      </c>
    </row>
    <row r="9" spans="2:19" x14ac:dyDescent="0.25">
      <c r="B9" s="13" t="s">
        <v>14</v>
      </c>
      <c r="C9" s="14">
        <v>150</v>
      </c>
      <c r="D9" s="14">
        <f>C9/$C$14*$D$22</f>
        <v>169.90217391304344</v>
      </c>
      <c r="E9" s="14">
        <f t="shared" si="0"/>
        <v>192.44499133585373</v>
      </c>
      <c r="F9" s="15">
        <f t="shared" si="0"/>
        <v>217.97881591092241</v>
      </c>
    </row>
    <row r="10" spans="2:19" x14ac:dyDescent="0.25">
      <c r="B10" s="16" t="s">
        <v>15</v>
      </c>
      <c r="C10" s="17">
        <f>SUM(C11:C13)</f>
        <v>1800</v>
      </c>
      <c r="D10" s="17">
        <f>SUM(D11:D13)</f>
        <v>2038.8260869565215</v>
      </c>
      <c r="E10" s="17">
        <f>SUM(E11:E13)</f>
        <v>2309.3398960302452</v>
      </c>
      <c r="F10" s="18">
        <f>SUM(F11:F13)</f>
        <v>2615.7457909310688</v>
      </c>
    </row>
    <row r="11" spans="2:19" x14ac:dyDescent="0.25">
      <c r="B11" s="13" t="s">
        <v>16</v>
      </c>
      <c r="C11" s="14">
        <v>1100</v>
      </c>
      <c r="D11" s="14">
        <f>C11/$C$14*$D$22</f>
        <v>1245.9492753623185</v>
      </c>
      <c r="E11" s="14">
        <f t="shared" ref="E11:F13" si="1">D11/$C$14*$D$22</f>
        <v>1411.2632697962608</v>
      </c>
      <c r="F11" s="15">
        <f t="shared" si="1"/>
        <v>1598.5113166800977</v>
      </c>
    </row>
    <row r="12" spans="2:19" x14ac:dyDescent="0.25">
      <c r="B12" s="13" t="s">
        <v>17</v>
      </c>
      <c r="C12" s="14">
        <v>500</v>
      </c>
      <c r="D12" s="14">
        <f>C12/$C$14*$D$22</f>
        <v>566.34057971014488</v>
      </c>
      <c r="E12" s="14">
        <f t="shared" si="1"/>
        <v>641.48330445284591</v>
      </c>
      <c r="F12" s="15">
        <f t="shared" si="1"/>
        <v>726.59605303640819</v>
      </c>
    </row>
    <row r="13" spans="2:19" x14ac:dyDescent="0.25">
      <c r="B13" s="13" t="s">
        <v>18</v>
      </c>
      <c r="C13" s="14">
        <v>200</v>
      </c>
      <c r="D13" s="14">
        <f>C13/$C$14*$D$22</f>
        <v>226.53623188405794</v>
      </c>
      <c r="E13" s="14">
        <f t="shared" si="1"/>
        <v>256.59332178113834</v>
      </c>
      <c r="F13" s="15">
        <f t="shared" si="1"/>
        <v>290.63842121456321</v>
      </c>
    </row>
    <row r="14" spans="2:19" x14ac:dyDescent="0.25">
      <c r="B14" s="16" t="s">
        <v>19</v>
      </c>
      <c r="C14" s="17">
        <f>C10+C6</f>
        <v>3450</v>
      </c>
      <c r="D14" s="17">
        <f>SUM(D10,D6)</f>
        <v>3907.7499999999995</v>
      </c>
      <c r="E14" s="17">
        <f>SUM(E10,E6)</f>
        <v>4426.2348007246364</v>
      </c>
      <c r="F14" s="18">
        <f>SUM(F10,F6)</f>
        <v>5013.5127659512164</v>
      </c>
    </row>
    <row r="15" spans="2:19" x14ac:dyDescent="0.25">
      <c r="B15" s="13" t="s">
        <v>20</v>
      </c>
      <c r="C15" s="14">
        <v>3460</v>
      </c>
      <c r="D15" s="88" t="s">
        <v>4</v>
      </c>
      <c r="E15" s="88" t="s">
        <v>4</v>
      </c>
      <c r="F15" s="20" t="s">
        <v>4</v>
      </c>
    </row>
    <row r="16" spans="2:19" x14ac:dyDescent="0.25">
      <c r="B16" s="13" t="s">
        <v>21</v>
      </c>
      <c r="C16" s="14">
        <v>60</v>
      </c>
      <c r="D16" s="88" t="s">
        <v>4</v>
      </c>
      <c r="E16" s="88" t="s">
        <v>4</v>
      </c>
      <c r="F16" s="20" t="s">
        <v>4</v>
      </c>
      <c r="K16" s="21"/>
    </row>
    <row r="17" spans="2:11" x14ac:dyDescent="0.25">
      <c r="B17" s="22" t="s">
        <v>22</v>
      </c>
      <c r="C17" s="23">
        <v>60</v>
      </c>
      <c r="D17" s="88" t="s">
        <v>4</v>
      </c>
      <c r="E17" s="88" t="s">
        <v>4</v>
      </c>
      <c r="F17" s="20" t="s">
        <v>4</v>
      </c>
      <c r="K17" s="24"/>
    </row>
    <row r="18" spans="2:11" x14ac:dyDescent="0.25">
      <c r="B18" s="22" t="s">
        <v>23</v>
      </c>
      <c r="C18" s="23">
        <v>10</v>
      </c>
      <c r="D18" s="88" t="s">
        <v>4</v>
      </c>
      <c r="E18" s="88" t="s">
        <v>4</v>
      </c>
      <c r="F18" s="20" t="s">
        <v>4</v>
      </c>
      <c r="J18" s="25"/>
      <c r="K18" s="24"/>
    </row>
    <row r="19" spans="2:11" x14ac:dyDescent="0.25">
      <c r="B19" s="22" t="s">
        <v>24</v>
      </c>
      <c r="C19" s="23">
        <v>15</v>
      </c>
      <c r="D19" s="88" t="s">
        <v>4</v>
      </c>
      <c r="E19" s="88" t="s">
        <v>4</v>
      </c>
      <c r="F19" s="20" t="s">
        <v>4</v>
      </c>
      <c r="J19" s="25"/>
      <c r="K19" s="24"/>
    </row>
    <row r="20" spans="2:11" x14ac:dyDescent="0.25">
      <c r="B20" s="13" t="s">
        <v>25</v>
      </c>
      <c r="C20" s="14">
        <f>SUM(C17:C19)</f>
        <v>85</v>
      </c>
      <c r="D20" s="88" t="s">
        <v>4</v>
      </c>
      <c r="E20" s="88" t="s">
        <v>4</v>
      </c>
      <c r="F20" s="20" t="s">
        <v>4</v>
      </c>
      <c r="J20" s="25"/>
      <c r="K20" s="26"/>
    </row>
    <row r="21" spans="2:11" x14ac:dyDescent="0.25">
      <c r="B21" s="27" t="s">
        <v>26</v>
      </c>
      <c r="C21" s="14">
        <f>SUM(C8:C9)</f>
        <v>200</v>
      </c>
      <c r="D21" s="88">
        <f>SUM(D8:D9)</f>
        <v>226.53623188405794</v>
      </c>
      <c r="E21" s="88">
        <f>SUM(E8:E9)</f>
        <v>256.59332178113834</v>
      </c>
      <c r="F21" s="20">
        <f>SUM(F8:F9)</f>
        <v>290.63842121456321</v>
      </c>
      <c r="J21" s="25"/>
    </row>
    <row r="22" spans="2:11" ht="15.8" customHeight="1" x14ac:dyDescent="0.25">
      <c r="B22" s="28" t="s">
        <v>27</v>
      </c>
      <c r="C22" s="29">
        <f>C15-C20+C16</f>
        <v>3435</v>
      </c>
      <c r="D22" s="29">
        <f>C31*(1+D23)</f>
        <v>3907.7499999999995</v>
      </c>
      <c r="E22" s="29">
        <f>D31*(1+E23)</f>
        <v>4052.2658438762492</v>
      </c>
      <c r="F22" s="30">
        <f>E31*(1+F23)</f>
        <v>4236.4413264804243</v>
      </c>
    </row>
    <row r="23" spans="2:11" x14ac:dyDescent="0.25">
      <c r="B23" s="31" t="s">
        <v>28</v>
      </c>
      <c r="C23" s="36" t="s">
        <v>4</v>
      </c>
      <c r="D23" s="89">
        <v>1.4999999999999999E-2</v>
      </c>
      <c r="E23" s="89">
        <v>1.4999999999999999E-2</v>
      </c>
      <c r="F23" s="90">
        <v>1.4999999999999999E-2</v>
      </c>
    </row>
    <row r="24" spans="2:11" x14ac:dyDescent="0.25">
      <c r="B24" s="34" t="s">
        <v>29</v>
      </c>
      <c r="C24" s="91">
        <f>C26*(1+C36)</f>
        <v>11990</v>
      </c>
      <c r="D24" s="17">
        <f>C24*(1+D25)</f>
        <v>12349.7</v>
      </c>
      <c r="E24" s="17">
        <f>D24*(1+E25)</f>
        <v>12720.191000000001</v>
      </c>
      <c r="F24" s="18">
        <f>E24*(1+F25)</f>
        <v>13101.796730000002</v>
      </c>
    </row>
    <row r="25" spans="2:11" x14ac:dyDescent="0.25">
      <c r="B25" s="31" t="s">
        <v>30</v>
      </c>
      <c r="C25" s="36" t="s">
        <v>4</v>
      </c>
      <c r="D25" s="89">
        <v>0.03</v>
      </c>
      <c r="E25" s="89">
        <v>0.03</v>
      </c>
      <c r="F25" s="90">
        <v>0.03</v>
      </c>
    </row>
    <row r="26" spans="2:11" x14ac:dyDescent="0.25">
      <c r="B26" s="34" t="s">
        <v>31</v>
      </c>
      <c r="C26" s="91">
        <v>11000</v>
      </c>
      <c r="D26" s="17">
        <f>D24*(1-D36)</f>
        <v>11238.227000000001</v>
      </c>
      <c r="E26" s="17">
        <f>E24*(1-E36)</f>
        <v>11575.373810000001</v>
      </c>
      <c r="F26" s="18">
        <f>F24*(1-F36)</f>
        <v>11922.635024300002</v>
      </c>
    </row>
    <row r="27" spans="2:11" x14ac:dyDescent="0.25">
      <c r="B27" s="37" t="s">
        <v>32</v>
      </c>
      <c r="C27" s="29">
        <v>350</v>
      </c>
      <c r="D27" s="29">
        <f>D22/C26*1000</f>
        <v>355.24999999999994</v>
      </c>
      <c r="E27" s="29">
        <f>E22/D26*1000</f>
        <v>360.5787499999999</v>
      </c>
      <c r="F27" s="30">
        <f>F22/E26*1000</f>
        <v>365.98743124999987</v>
      </c>
    </row>
    <row r="28" spans="2:11" x14ac:dyDescent="0.25">
      <c r="B28" s="37" t="s">
        <v>33</v>
      </c>
      <c r="C28" s="38" t="s">
        <v>4</v>
      </c>
      <c r="D28" s="92">
        <v>0.05</v>
      </c>
      <c r="E28" s="92">
        <v>0.05</v>
      </c>
      <c r="F28" s="93">
        <v>0.05</v>
      </c>
    </row>
    <row r="29" spans="2:11" x14ac:dyDescent="0.25">
      <c r="B29" s="34" t="s">
        <v>34</v>
      </c>
      <c r="C29" s="17">
        <v>225</v>
      </c>
      <c r="D29" s="17">
        <f>C29*(1+D28)</f>
        <v>236.25</v>
      </c>
      <c r="E29" s="17">
        <f>D29*(1+E28)</f>
        <v>248.0625</v>
      </c>
      <c r="F29" s="18">
        <f>E29*(1+F28)</f>
        <v>260.46562499999999</v>
      </c>
    </row>
    <row r="30" spans="2:11" ht="10.6" customHeight="1" x14ac:dyDescent="0.25">
      <c r="B30" s="40"/>
      <c r="C30" s="21"/>
      <c r="F30" s="94"/>
    </row>
    <row r="31" spans="2:11" x14ac:dyDescent="0.25">
      <c r="B31" s="43" t="s">
        <v>35</v>
      </c>
      <c r="C31" s="44">
        <f>(C26)*C27/1000</f>
        <v>3850</v>
      </c>
      <c r="D31" s="95">
        <f>(D26*D27)/1000</f>
        <v>3992.3801417499994</v>
      </c>
      <c r="E31" s="95">
        <f>(E26*E27)/1000</f>
        <v>4173.8338191925368</v>
      </c>
      <c r="F31" s="96">
        <f>(F26*F27)/1000</f>
        <v>4363.5345662748377</v>
      </c>
    </row>
    <row r="32" spans="2:11" x14ac:dyDescent="0.25">
      <c r="B32" s="31" t="s">
        <v>36</v>
      </c>
      <c r="C32" s="123" t="s">
        <v>4</v>
      </c>
      <c r="D32" s="97">
        <f>D31-D22</f>
        <v>84.630141749999893</v>
      </c>
      <c r="E32" s="97">
        <f>E31-E22</f>
        <v>121.56797531628763</v>
      </c>
      <c r="F32" s="98">
        <f>F31-F22</f>
        <v>127.09323979441342</v>
      </c>
    </row>
    <row r="33" spans="2:6" ht="10.6" customHeight="1" x14ac:dyDescent="0.25">
      <c r="B33" s="40"/>
      <c r="C33" s="21"/>
      <c r="D33" s="99"/>
      <c r="E33" s="99"/>
      <c r="F33" s="100"/>
    </row>
    <row r="34" spans="2:6" x14ac:dyDescent="0.25">
      <c r="B34" s="34" t="s">
        <v>37</v>
      </c>
      <c r="C34" s="117" t="s">
        <v>4</v>
      </c>
      <c r="D34" s="17">
        <f>D35-D24</f>
        <v>137.21888888888861</v>
      </c>
      <c r="E34" s="17">
        <f>E35-E24</f>
        <v>141.33545555555611</v>
      </c>
      <c r="F34" s="18">
        <f>F35-F24</f>
        <v>145.57551922222228</v>
      </c>
    </row>
    <row r="35" spans="2:6" x14ac:dyDescent="0.25">
      <c r="B35" s="34" t="s">
        <v>38</v>
      </c>
      <c r="C35" s="117" t="s">
        <v>4</v>
      </c>
      <c r="D35" s="17">
        <f>(D24*(1-D36))/(1-D37)</f>
        <v>12486.918888888889</v>
      </c>
      <c r="E35" s="17">
        <f>(E24*(1-E36))/(1-E37)</f>
        <v>12861.526455555557</v>
      </c>
      <c r="F35" s="18">
        <f>(F24*(1-F36))/(1-F37)</f>
        <v>13247.372249222224</v>
      </c>
    </row>
    <row r="36" spans="2:6" x14ac:dyDescent="0.25">
      <c r="B36" s="47" t="s">
        <v>39</v>
      </c>
      <c r="C36" s="101">
        <v>0.09</v>
      </c>
      <c r="D36" s="102">
        <v>0.09</v>
      </c>
      <c r="E36" s="102">
        <v>0.09</v>
      </c>
      <c r="F36" s="103">
        <v>0.09</v>
      </c>
    </row>
    <row r="37" spans="2:6" x14ac:dyDescent="0.25">
      <c r="B37" s="47" t="s">
        <v>40</v>
      </c>
      <c r="C37" s="101" t="s">
        <v>4</v>
      </c>
      <c r="D37" s="102">
        <v>0.1</v>
      </c>
      <c r="E37" s="102">
        <v>0.1</v>
      </c>
      <c r="F37" s="103">
        <v>0.1</v>
      </c>
    </row>
    <row r="38" spans="2:6" x14ac:dyDescent="0.25">
      <c r="B38" s="50" t="s">
        <v>41</v>
      </c>
      <c r="C38" s="122" t="s">
        <v>4</v>
      </c>
      <c r="D38" s="104">
        <f>D29*D34/1000</f>
        <v>32.417962499999938</v>
      </c>
      <c r="E38" s="104">
        <f>E29*E34/1000</f>
        <v>35.060026443750139</v>
      </c>
      <c r="F38" s="105">
        <f>F29*F34/1000</f>
        <v>37.917418598915638</v>
      </c>
    </row>
    <row r="39" spans="2:6" ht="10.6" customHeight="1" x14ac:dyDescent="0.25">
      <c r="B39" s="40"/>
      <c r="C39" s="114"/>
      <c r="D39" s="106"/>
      <c r="E39" s="106"/>
      <c r="F39" s="107"/>
    </row>
    <row r="40" spans="2:6" x14ac:dyDescent="0.25">
      <c r="B40" s="34" t="s">
        <v>42</v>
      </c>
      <c r="C40" s="122">
        <v>15</v>
      </c>
      <c r="D40" s="108">
        <f>C40*(1+D41)</f>
        <v>15.3</v>
      </c>
      <c r="E40" s="108">
        <f>D40*(1+E41)</f>
        <v>15.606000000000002</v>
      </c>
      <c r="F40" s="109">
        <f>E40*(1+F41)</f>
        <v>15.918120000000002</v>
      </c>
    </row>
    <row r="41" spans="2:6" x14ac:dyDescent="0.25">
      <c r="B41" s="47" t="s">
        <v>43</v>
      </c>
      <c r="C41" s="101" t="s">
        <v>4</v>
      </c>
      <c r="D41" s="102">
        <v>0.02</v>
      </c>
      <c r="E41" s="102">
        <v>0.02</v>
      </c>
      <c r="F41" s="103">
        <v>0.02</v>
      </c>
    </row>
    <row r="42" spans="2:6" ht="10.6" customHeight="1" x14ac:dyDescent="0.25">
      <c r="B42" s="40"/>
      <c r="C42" s="114"/>
      <c r="D42" s="106"/>
      <c r="E42" s="106"/>
      <c r="F42" s="107"/>
    </row>
    <row r="43" spans="2:6" x14ac:dyDescent="0.25">
      <c r="B43" s="34" t="s">
        <v>50</v>
      </c>
      <c r="C43" s="117" t="s">
        <v>4</v>
      </c>
      <c r="D43" s="110">
        <f>-D44*D29/1000</f>
        <v>-13.827566943127611</v>
      </c>
      <c r="E43" s="110">
        <f>-E44*E29/1000</f>
        <v>-14.954513648992723</v>
      </c>
      <c r="F43" s="111">
        <f>-F44*F29/1000</f>
        <v>-16.173306511385242</v>
      </c>
    </row>
    <row r="44" spans="2:6" x14ac:dyDescent="0.25">
      <c r="B44" s="34" t="s">
        <v>51</v>
      </c>
      <c r="C44" s="117" t="s">
        <v>4</v>
      </c>
      <c r="D44" s="17">
        <f>D24-((D24*1.05)/D45)</f>
        <v>58.529383886254436</v>
      </c>
      <c r="E44" s="17">
        <f>E24-((E24*1.05)/E45)</f>
        <v>60.285265402842924</v>
      </c>
      <c r="F44" s="18">
        <f>F24-((F24*1.05)/F45)</f>
        <v>62.09382336492672</v>
      </c>
    </row>
    <row r="45" spans="2:6" x14ac:dyDescent="0.25">
      <c r="B45" s="47" t="s">
        <v>52</v>
      </c>
      <c r="C45" s="101" t="s">
        <v>4</v>
      </c>
      <c r="D45" s="112">
        <v>1.0549999999999999</v>
      </c>
      <c r="E45" s="112">
        <v>1.0549999999999999</v>
      </c>
      <c r="F45" s="113">
        <v>1.0549999999999999</v>
      </c>
    </row>
    <row r="46" spans="2:6" ht="10.6" customHeight="1" x14ac:dyDescent="0.25">
      <c r="B46" s="40"/>
      <c r="C46" s="114"/>
      <c r="D46" s="106"/>
      <c r="E46" s="106"/>
      <c r="F46" s="107"/>
    </row>
    <row r="47" spans="2:6" x14ac:dyDescent="0.25">
      <c r="B47" s="43" t="s">
        <v>53</v>
      </c>
      <c r="C47" s="124" t="s">
        <v>4</v>
      </c>
      <c r="D47" s="63">
        <f>SUM(D22,D32,D38,D40,D43)</f>
        <v>4026.270537306872</v>
      </c>
      <c r="E47" s="63">
        <f>SUM(E22,E32,E38,E40,E43)</f>
        <v>4209.545331987294</v>
      </c>
      <c r="F47" s="64">
        <f>SUM(F22,F32,F38,F40,F43)</f>
        <v>4401.196798362369</v>
      </c>
    </row>
    <row r="48" spans="2:6" s="68" customFormat="1" ht="11.35" customHeight="1" x14ac:dyDescent="0.25">
      <c r="B48" s="65"/>
      <c r="C48" s="125"/>
      <c r="D48" s="115"/>
      <c r="E48" s="115"/>
      <c r="F48" s="116"/>
    </row>
    <row r="49" spans="2:6" x14ac:dyDescent="0.25">
      <c r="B49" s="34" t="s">
        <v>55</v>
      </c>
      <c r="C49" s="117" t="s">
        <v>4</v>
      </c>
      <c r="D49" s="110">
        <f>-D50*D52/1000</f>
        <v>-1040.3</v>
      </c>
      <c r="E49" s="110">
        <f>-E50*E52/1000</f>
        <v>-1082.2240900000002</v>
      </c>
      <c r="F49" s="111">
        <f>-F50*F52/1000</f>
        <v>-1125.8377208269999</v>
      </c>
    </row>
    <row r="50" spans="2:6" x14ac:dyDescent="0.25">
      <c r="B50" s="34" t="s">
        <v>56</v>
      </c>
      <c r="C50" s="122">
        <v>250</v>
      </c>
      <c r="D50" s="110">
        <f>C50*(1+D28-D51)</f>
        <v>252.5</v>
      </c>
      <c r="E50" s="110">
        <f>D50*(1+E28-E51)</f>
        <v>255.02500000000001</v>
      </c>
      <c r="F50" s="110">
        <f>E50*(1+F28-F51)</f>
        <v>257.57524999999998</v>
      </c>
    </row>
    <row r="51" spans="2:6" x14ac:dyDescent="0.25">
      <c r="B51" s="47" t="s">
        <v>57</v>
      </c>
      <c r="C51" s="126" t="s">
        <v>4</v>
      </c>
      <c r="D51" s="102">
        <f>D28-0.01</f>
        <v>0.04</v>
      </c>
      <c r="E51" s="102">
        <f>E28-0.01</f>
        <v>0.04</v>
      </c>
      <c r="F51" s="103">
        <f>F28-0.01</f>
        <v>0.04</v>
      </c>
    </row>
    <row r="52" spans="2:6" x14ac:dyDescent="0.25">
      <c r="B52" s="34" t="s">
        <v>58</v>
      </c>
      <c r="C52" s="127">
        <v>4000</v>
      </c>
      <c r="D52" s="110">
        <f>C52*(1+D53)</f>
        <v>4120</v>
      </c>
      <c r="E52" s="110">
        <f>D52*(1+E53)</f>
        <v>4243.6000000000004</v>
      </c>
      <c r="F52" s="111">
        <f>E52*(1+F53)</f>
        <v>4370.9080000000004</v>
      </c>
    </row>
    <row r="53" spans="2:6" x14ac:dyDescent="0.25">
      <c r="B53" s="47" t="s">
        <v>59</v>
      </c>
      <c r="C53" s="126" t="s">
        <v>4</v>
      </c>
      <c r="D53" s="102">
        <v>0.03</v>
      </c>
      <c r="E53" s="102">
        <v>0.03</v>
      </c>
      <c r="F53" s="103">
        <v>0.03</v>
      </c>
    </row>
    <row r="54" spans="2:6" x14ac:dyDescent="0.25">
      <c r="B54" s="50" t="s">
        <v>60</v>
      </c>
      <c r="C54" s="128"/>
      <c r="D54" s="118">
        <f>D7+D49</f>
        <v>602.08768115942007</v>
      </c>
      <c r="E54" s="118">
        <f>E7+E49</f>
        <v>778.07749291325285</v>
      </c>
      <c r="F54" s="119">
        <f>F7+F49</f>
        <v>981.29083297858369</v>
      </c>
    </row>
    <row r="55" spans="2:6" ht="10.6" customHeight="1" x14ac:dyDescent="0.25">
      <c r="B55" s="40"/>
      <c r="C55" s="21"/>
      <c r="D55" s="106"/>
      <c r="E55" s="106"/>
      <c r="F55" s="107"/>
    </row>
    <row r="56" spans="2:6" x14ac:dyDescent="0.25">
      <c r="B56" s="34" t="s">
        <v>61</v>
      </c>
      <c r="C56" s="117"/>
      <c r="D56" s="17">
        <f>D21/D57</f>
        <v>251.70692431561991</v>
      </c>
      <c r="E56" s="17">
        <f>E21/E57</f>
        <v>285.1036908679315</v>
      </c>
      <c r="F56" s="18">
        <f>F21/F57</f>
        <v>322.93157912729242</v>
      </c>
    </row>
    <row r="57" spans="2:6" x14ac:dyDescent="0.25">
      <c r="B57" s="47" t="s">
        <v>62</v>
      </c>
      <c r="C57" s="129" t="s">
        <v>4</v>
      </c>
      <c r="D57" s="102">
        <v>0.9</v>
      </c>
      <c r="E57" s="102">
        <v>0.9</v>
      </c>
      <c r="F57" s="103">
        <v>0.9</v>
      </c>
    </row>
    <row r="58" spans="2:6" x14ac:dyDescent="0.25">
      <c r="B58" s="50" t="s">
        <v>73</v>
      </c>
      <c r="C58" s="128"/>
      <c r="D58" s="104">
        <f>D56-D21</f>
        <v>25.170692431561974</v>
      </c>
      <c r="E58" s="104">
        <f>E56-E21</f>
        <v>28.510369086793162</v>
      </c>
      <c r="F58" s="105">
        <f>F56-F21</f>
        <v>32.293157912729214</v>
      </c>
    </row>
    <row r="59" spans="2:6" ht="10.6" customHeight="1" x14ac:dyDescent="0.25">
      <c r="B59" s="40"/>
      <c r="C59" s="21"/>
      <c r="F59" s="94"/>
    </row>
    <row r="60" spans="2:6" ht="12.8" customHeight="1" x14ac:dyDescent="0.25">
      <c r="B60" s="7" t="s">
        <v>65</v>
      </c>
      <c r="C60" s="120" t="s">
        <v>4</v>
      </c>
      <c r="D60" s="121">
        <f>SUM(D47,D49,D58)</f>
        <v>3011.141229738434</v>
      </c>
      <c r="E60" s="121">
        <f t="shared" ref="E60:F60" si="2">SUM(E47,E49,E58)</f>
        <v>3155.831611074087</v>
      </c>
      <c r="F60" s="121">
        <f t="shared" si="2"/>
        <v>3307.6522354480985</v>
      </c>
    </row>
  </sheetData>
  <mergeCells count="2">
    <mergeCell ref="B2:F2"/>
    <mergeCell ref="K7:S7"/>
  </mergeCells>
  <pageMargins left="0.511811024" right="0.511811024" top="0.78740157499999996" bottom="0.78740157499999996" header="0.31496062000000002" footer="0.31496062000000002"/>
  <ignoredErrors>
    <ignoredError sqref="C20:C21" formulaRange="1"/>
    <ignoredError sqref="D10:F1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2"/>
  <sheetViews>
    <sheetView showGridLines="0" workbookViewId="0"/>
  </sheetViews>
  <sheetFormatPr defaultRowHeight="14.85" x14ac:dyDescent="0.25"/>
  <cols>
    <col min="1" max="1" width="3" customWidth="1"/>
    <col min="2" max="2" width="57" bestFit="1" customWidth="1"/>
    <col min="3" max="5" width="10.5703125" bestFit="1" customWidth="1"/>
    <col min="6" max="6" width="11.7109375" bestFit="1" customWidth="1"/>
    <col min="7" max="7" width="12.140625" bestFit="1" customWidth="1"/>
    <col min="10" max="10" width="12" bestFit="1" customWidth="1"/>
    <col min="13" max="13" width="13" bestFit="1" customWidth="1"/>
    <col min="14" max="20" width="9.28515625" customWidth="1"/>
  </cols>
  <sheetData>
    <row r="1" spans="2:20" ht="12.8" customHeight="1" x14ac:dyDescent="0.25"/>
    <row r="2" spans="2:20" x14ac:dyDescent="0.25">
      <c r="B2" s="131" t="s">
        <v>0</v>
      </c>
      <c r="C2" s="133"/>
      <c r="D2" s="133"/>
      <c r="E2" s="133"/>
      <c r="F2" s="133"/>
      <c r="G2" s="134"/>
    </row>
    <row r="3" spans="2:20" x14ac:dyDescent="0.25">
      <c r="B3" s="1" t="s">
        <v>1</v>
      </c>
      <c r="C3" s="2" t="s">
        <v>2</v>
      </c>
      <c r="D3" s="2" t="s">
        <v>2</v>
      </c>
      <c r="E3" s="2" t="s">
        <v>2</v>
      </c>
      <c r="F3" s="2" t="s">
        <v>2</v>
      </c>
      <c r="G3" s="3" t="s">
        <v>2</v>
      </c>
    </row>
    <row r="4" spans="2:20" x14ac:dyDescent="0.25">
      <c r="B4" s="4" t="s">
        <v>3</v>
      </c>
      <c r="C4" s="5" t="s">
        <v>4</v>
      </c>
      <c r="D4" s="5" t="s">
        <v>4</v>
      </c>
      <c r="E4" s="5" t="s">
        <v>4</v>
      </c>
      <c r="F4" s="5" t="s">
        <v>4</v>
      </c>
      <c r="G4" s="6" t="s">
        <v>5</v>
      </c>
    </row>
    <row r="5" spans="2:20" x14ac:dyDescent="0.25">
      <c r="B5" s="7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9">
        <v>2023</v>
      </c>
    </row>
    <row r="6" spans="2:20" hidden="1" x14ac:dyDescent="0.25">
      <c r="B6" s="10" t="s">
        <v>11</v>
      </c>
      <c r="C6" s="11">
        <f>$G6/4</f>
        <v>397.76066137872357</v>
      </c>
      <c r="D6" s="11">
        <f>$G6/4</f>
        <v>397.76066137872357</v>
      </c>
      <c r="E6" s="11">
        <f>$G6/4</f>
        <v>397.76066137872357</v>
      </c>
      <c r="F6" s="11">
        <f>$G6/4</f>
        <v>397.76066137872357</v>
      </c>
      <c r="G6" s="12">
        <f>'[1]Dados Regulatórios Distribuição'!P58</f>
        <v>1591.0426455148943</v>
      </c>
    </row>
    <row r="7" spans="2:20" hidden="1" x14ac:dyDescent="0.25">
      <c r="B7" s="13" t="s">
        <v>12</v>
      </c>
      <c r="C7" s="14">
        <f t="shared" ref="C7:F22" si="0">$G7/4</f>
        <v>358.21320459022786</v>
      </c>
      <c r="D7" s="14">
        <f t="shared" si="0"/>
        <v>358.21320459022786</v>
      </c>
      <c r="E7" s="14">
        <f t="shared" si="0"/>
        <v>358.21320459022786</v>
      </c>
      <c r="F7" s="14">
        <f t="shared" si="0"/>
        <v>358.21320459022786</v>
      </c>
      <c r="G7" s="15">
        <f>'[1]Dados Regulatórios Distribuição'!P59</f>
        <v>1432.8528183609114</v>
      </c>
      <c r="L7" s="135"/>
      <c r="M7" s="135"/>
      <c r="N7" s="135"/>
      <c r="O7" s="135"/>
      <c r="P7" s="135"/>
      <c r="Q7" s="135"/>
      <c r="R7" s="135"/>
      <c r="S7" s="135"/>
      <c r="T7" s="135"/>
    </row>
    <row r="8" spans="2:20" hidden="1" x14ac:dyDescent="0.25">
      <c r="B8" s="13" t="s">
        <v>13</v>
      </c>
      <c r="C8" s="14">
        <f t="shared" si="0"/>
        <v>7.5369464709101486</v>
      </c>
      <c r="D8" s="14">
        <f t="shared" si="0"/>
        <v>7.5369464709101486</v>
      </c>
      <c r="E8" s="14">
        <f t="shared" si="0"/>
        <v>7.5369464709101486</v>
      </c>
      <c r="F8" s="14">
        <f t="shared" si="0"/>
        <v>7.5369464709101486</v>
      </c>
      <c r="G8" s="15">
        <f>'[1]Dados Regulatórios Distribuição'!P60</f>
        <v>30.147785883640594</v>
      </c>
    </row>
    <row r="9" spans="2:20" hidden="1" x14ac:dyDescent="0.25">
      <c r="B9" s="13" t="s">
        <v>14</v>
      </c>
      <c r="C9" s="14">
        <f t="shared" si="0"/>
        <v>32.010510317585549</v>
      </c>
      <c r="D9" s="14">
        <f t="shared" si="0"/>
        <v>32.010510317585549</v>
      </c>
      <c r="E9" s="14">
        <f t="shared" si="0"/>
        <v>32.010510317585549</v>
      </c>
      <c r="F9" s="14">
        <f t="shared" si="0"/>
        <v>32.010510317585549</v>
      </c>
      <c r="G9" s="15">
        <f>'[1]Dados Regulatórios Distribuição'!P61</f>
        <v>128.0420412703422</v>
      </c>
    </row>
    <row r="10" spans="2:20" hidden="1" x14ac:dyDescent="0.25">
      <c r="B10" s="16" t="s">
        <v>15</v>
      </c>
      <c r="C10" s="17">
        <f t="shared" si="0"/>
        <v>430.32707862106145</v>
      </c>
      <c r="D10" s="17">
        <f t="shared" si="0"/>
        <v>430.32707862106145</v>
      </c>
      <c r="E10" s="17">
        <f t="shared" si="0"/>
        <v>430.32707862106145</v>
      </c>
      <c r="F10" s="17">
        <f t="shared" si="0"/>
        <v>430.32707862106145</v>
      </c>
      <c r="G10" s="18">
        <f>'[1]Dados Regulatórios Distribuição'!P62</f>
        <v>1721.3083144842458</v>
      </c>
    </row>
    <row r="11" spans="2:20" hidden="1" x14ac:dyDescent="0.25">
      <c r="B11" s="13" t="s">
        <v>16</v>
      </c>
      <c r="C11" s="19">
        <f t="shared" si="0"/>
        <v>263.59706326166787</v>
      </c>
      <c r="D11" s="19">
        <f t="shared" si="0"/>
        <v>263.59706326166787</v>
      </c>
      <c r="E11" s="19">
        <f t="shared" si="0"/>
        <v>263.59706326166787</v>
      </c>
      <c r="F11" s="19">
        <f t="shared" si="0"/>
        <v>263.59706326166787</v>
      </c>
      <c r="G11" s="15">
        <f>'[1]Dados Regulatórios Distribuição'!P63</f>
        <v>1054.3882530466715</v>
      </c>
    </row>
    <row r="12" spans="2:20" hidden="1" x14ac:dyDescent="0.25">
      <c r="B12" s="13" t="s">
        <v>17</v>
      </c>
      <c r="C12" s="14">
        <f t="shared" si="0"/>
        <v>120.69914760759154</v>
      </c>
      <c r="D12" s="14">
        <f t="shared" si="0"/>
        <v>120.69914760759154</v>
      </c>
      <c r="E12" s="14">
        <f t="shared" si="0"/>
        <v>120.69914760759154</v>
      </c>
      <c r="F12" s="14">
        <f t="shared" si="0"/>
        <v>120.69914760759154</v>
      </c>
      <c r="G12" s="15">
        <f>'[1]Dados Regulatórios Distribuição'!P64</f>
        <v>482.79659043036617</v>
      </c>
    </row>
    <row r="13" spans="2:20" hidden="1" x14ac:dyDescent="0.25">
      <c r="B13" s="13" t="s">
        <v>18</v>
      </c>
      <c r="C13" s="14">
        <f t="shared" si="0"/>
        <v>46.030867751801999</v>
      </c>
      <c r="D13" s="14">
        <f t="shared" si="0"/>
        <v>46.030867751801999</v>
      </c>
      <c r="E13" s="14">
        <f t="shared" si="0"/>
        <v>46.030867751801999</v>
      </c>
      <c r="F13" s="14">
        <f t="shared" si="0"/>
        <v>46.030867751801999</v>
      </c>
      <c r="G13" s="15">
        <f>'[1]Dados Regulatórios Distribuição'!P65</f>
        <v>184.123471007208</v>
      </c>
    </row>
    <row r="14" spans="2:20" hidden="1" x14ac:dyDescent="0.25">
      <c r="B14" s="16" t="s">
        <v>19</v>
      </c>
      <c r="C14" s="17">
        <f t="shared" si="0"/>
        <v>828.08773999978507</v>
      </c>
      <c r="D14" s="17">
        <f t="shared" si="0"/>
        <v>828.08773999978507</v>
      </c>
      <c r="E14" s="17">
        <f t="shared" si="0"/>
        <v>828.08773999978507</v>
      </c>
      <c r="F14" s="17">
        <f t="shared" si="0"/>
        <v>828.08773999978507</v>
      </c>
      <c r="G14" s="18">
        <f>'[1]Dados Regulatórios Distribuição'!P66</f>
        <v>3312.3509599991403</v>
      </c>
    </row>
    <row r="15" spans="2:20" hidden="1" x14ac:dyDescent="0.25">
      <c r="B15" s="13" t="s">
        <v>20</v>
      </c>
      <c r="C15" s="14">
        <f t="shared" si="0"/>
        <v>830.60539853154614</v>
      </c>
      <c r="D15" s="14">
        <f t="shared" si="0"/>
        <v>830.60539853154614</v>
      </c>
      <c r="E15" s="14">
        <f t="shared" si="0"/>
        <v>830.60539853154614</v>
      </c>
      <c r="F15" s="14">
        <f t="shared" si="0"/>
        <v>830.60539853154614</v>
      </c>
      <c r="G15" s="20">
        <f>'[1]Dados Regulatórios Distribuição'!P67</f>
        <v>3322.4215941261846</v>
      </c>
    </row>
    <row r="16" spans="2:20" hidden="1" x14ac:dyDescent="0.25">
      <c r="B16" s="13" t="s">
        <v>21</v>
      </c>
      <c r="C16" s="14">
        <f t="shared" si="0"/>
        <v>13.605779443103987</v>
      </c>
      <c r="D16" s="14">
        <f t="shared" si="0"/>
        <v>13.605779443103987</v>
      </c>
      <c r="E16" s="14">
        <f t="shared" si="0"/>
        <v>13.605779443103987</v>
      </c>
      <c r="F16" s="14">
        <f t="shared" si="0"/>
        <v>13.605779443103987</v>
      </c>
      <c r="G16" s="20">
        <f>'[1]Dados Regulatórios Distribuição'!P68</f>
        <v>54.423117772415949</v>
      </c>
      <c r="L16" s="21"/>
    </row>
    <row r="17" spans="2:12" hidden="1" x14ac:dyDescent="0.25">
      <c r="B17" s="22" t="s">
        <v>22</v>
      </c>
      <c r="C17" s="23">
        <f t="shared" si="0"/>
        <v>14.830857297870542</v>
      </c>
      <c r="D17" s="23">
        <f t="shared" si="0"/>
        <v>14.830857297870542</v>
      </c>
      <c r="E17" s="23">
        <f t="shared" si="0"/>
        <v>14.830857297870542</v>
      </c>
      <c r="F17" s="23">
        <f t="shared" si="0"/>
        <v>14.830857297870542</v>
      </c>
      <c r="G17" s="20">
        <f>'[1]Dados Regulatórios Distribuição'!P69</f>
        <v>59.32342919148217</v>
      </c>
      <c r="L17" s="24"/>
    </row>
    <row r="18" spans="2:12" hidden="1" x14ac:dyDescent="0.25">
      <c r="B18" s="22" t="s">
        <v>23</v>
      </c>
      <c r="C18" s="23">
        <f t="shared" si="0"/>
        <v>1.9121421154314462</v>
      </c>
      <c r="D18" s="23">
        <f t="shared" si="0"/>
        <v>1.9121421154314462</v>
      </c>
      <c r="E18" s="23">
        <f t="shared" si="0"/>
        <v>1.9121421154314462</v>
      </c>
      <c r="F18" s="23">
        <f t="shared" si="0"/>
        <v>1.9121421154314462</v>
      </c>
      <c r="G18" s="20">
        <f>'[1]Dados Regulatórios Distribuição'!P70</f>
        <v>7.6485684617257848</v>
      </c>
      <c r="K18" s="25"/>
      <c r="L18" s="24"/>
    </row>
    <row r="19" spans="2:12" hidden="1" x14ac:dyDescent="0.25">
      <c r="B19" s="22" t="s">
        <v>24</v>
      </c>
      <c r="C19" s="23">
        <f t="shared" si="0"/>
        <v>3.9096593814615024</v>
      </c>
      <c r="D19" s="23">
        <f t="shared" si="0"/>
        <v>3.9096593814615024</v>
      </c>
      <c r="E19" s="23">
        <f t="shared" si="0"/>
        <v>3.9096593814615024</v>
      </c>
      <c r="F19" s="23">
        <f t="shared" si="0"/>
        <v>3.9096593814615024</v>
      </c>
      <c r="G19" s="20">
        <f>'[1]Dados Regulatórios Distribuição'!P71</f>
        <v>15.63863752584601</v>
      </c>
      <c r="K19" s="25"/>
      <c r="L19" s="24"/>
    </row>
    <row r="20" spans="2:12" hidden="1" x14ac:dyDescent="0.25">
      <c r="B20" s="13" t="s">
        <v>25</v>
      </c>
      <c r="C20" s="14">
        <f t="shared" si="0"/>
        <v>20.652658794763489</v>
      </c>
      <c r="D20" s="14">
        <f t="shared" si="0"/>
        <v>20.652658794763489</v>
      </c>
      <c r="E20" s="14">
        <f t="shared" si="0"/>
        <v>20.652658794763489</v>
      </c>
      <c r="F20" s="14">
        <f t="shared" si="0"/>
        <v>20.652658794763489</v>
      </c>
      <c r="G20" s="20">
        <f>'[1]Dados Regulatórios Distribuição'!P72</f>
        <v>82.610635179053958</v>
      </c>
      <c r="K20" s="25"/>
      <c r="L20" s="26"/>
    </row>
    <row r="21" spans="2:12" hidden="1" x14ac:dyDescent="0.25">
      <c r="B21" s="27" t="s">
        <v>26</v>
      </c>
      <c r="C21" s="14">
        <f t="shared" si="0"/>
        <v>39.547456788495694</v>
      </c>
      <c r="D21" s="14">
        <f t="shared" si="0"/>
        <v>39.547456788495694</v>
      </c>
      <c r="E21" s="14">
        <f t="shared" si="0"/>
        <v>39.547456788495694</v>
      </c>
      <c r="F21" s="14">
        <f t="shared" si="0"/>
        <v>39.547456788495694</v>
      </c>
      <c r="G21" s="20">
        <f>'[1]Dados Regulatórios Distribuição'!P73</f>
        <v>158.18982715398278</v>
      </c>
      <c r="K21" s="25"/>
    </row>
    <row r="22" spans="2:12" ht="15.8" hidden="1" customHeight="1" x14ac:dyDescent="0.25">
      <c r="B22" s="28" t="s">
        <v>27</v>
      </c>
      <c r="C22" s="29">
        <f t="shared" si="0"/>
        <v>823.55851917988662</v>
      </c>
      <c r="D22" s="29">
        <f t="shared" si="0"/>
        <v>823.55851917988662</v>
      </c>
      <c r="E22" s="29">
        <f t="shared" si="0"/>
        <v>823.55851917988662</v>
      </c>
      <c r="F22" s="29">
        <f t="shared" si="0"/>
        <v>823.55851917988662</v>
      </c>
      <c r="G22" s="30">
        <f>'[1]Dados Regulatórios Distribuição'!P74</f>
        <v>3294.2340767195465</v>
      </c>
    </row>
    <row r="23" spans="2:12" hidden="1" x14ac:dyDescent="0.25">
      <c r="B23" s="31" t="s">
        <v>28</v>
      </c>
      <c r="C23" s="32"/>
      <c r="D23" s="32"/>
      <c r="E23" s="32"/>
      <c r="F23" s="32"/>
      <c r="G23" s="33" t="s">
        <v>4</v>
      </c>
    </row>
    <row r="24" spans="2:12" x14ac:dyDescent="0.25">
      <c r="B24" s="34" t="s">
        <v>29</v>
      </c>
      <c r="C24" s="17">
        <v>2152.6493553682772</v>
      </c>
      <c r="D24" s="17">
        <v>2373.2702062226431</v>
      </c>
      <c r="E24" s="17">
        <v>2596.9287265126864</v>
      </c>
      <c r="F24" s="17">
        <v>2726.7204920306099</v>
      </c>
      <c r="G24" s="35">
        <f>SUM(C24:F24)</f>
        <v>9849.5687801342174</v>
      </c>
    </row>
    <row r="25" spans="2:12" x14ac:dyDescent="0.25">
      <c r="B25" s="31" t="s">
        <v>30</v>
      </c>
      <c r="C25" s="36" t="s">
        <v>4</v>
      </c>
      <c r="D25" s="36" t="s">
        <v>4</v>
      </c>
      <c r="E25" s="36" t="s">
        <v>4</v>
      </c>
      <c r="F25" s="36" t="s">
        <v>4</v>
      </c>
      <c r="G25" s="33" t="s">
        <v>4</v>
      </c>
    </row>
    <row r="26" spans="2:12" x14ac:dyDescent="0.25">
      <c r="B26" s="34" t="s">
        <v>31</v>
      </c>
      <c r="C26" s="17">
        <v>1713.7769090331376</v>
      </c>
      <c r="D26" s="17">
        <v>1840.9983485408268</v>
      </c>
      <c r="E26" s="17">
        <v>1987.3443502235725</v>
      </c>
      <c r="F26" s="17">
        <v>2111.8341654919573</v>
      </c>
      <c r="G26" s="35">
        <f>SUM(C26:F26)</f>
        <v>7653.9537732894933</v>
      </c>
    </row>
    <row r="27" spans="2:12" x14ac:dyDescent="0.25">
      <c r="B27" s="37" t="s">
        <v>32</v>
      </c>
      <c r="C27" s="29">
        <v>258.45366222991225</v>
      </c>
      <c r="D27" s="29">
        <v>258.61885209116161</v>
      </c>
      <c r="E27" s="29">
        <v>247.22742636664032</v>
      </c>
      <c r="F27" s="29">
        <v>240.94370378566256</v>
      </c>
      <c r="G27" s="30">
        <f>AVERAGE(C27:F27)</f>
        <v>251.31091111834419</v>
      </c>
    </row>
    <row r="28" spans="2:12" x14ac:dyDescent="0.25">
      <c r="B28" s="37" t="s">
        <v>33</v>
      </c>
      <c r="C28" s="38" t="s">
        <v>4</v>
      </c>
      <c r="D28" s="38" t="s">
        <v>4</v>
      </c>
      <c r="E28" s="38" t="s">
        <v>4</v>
      </c>
      <c r="F28" s="38" t="s">
        <v>4</v>
      </c>
      <c r="G28" s="39" t="s">
        <v>4</v>
      </c>
    </row>
    <row r="29" spans="2:12" x14ac:dyDescent="0.25">
      <c r="B29" s="34" t="s">
        <v>34</v>
      </c>
      <c r="C29" s="17">
        <v>225.37705474989062</v>
      </c>
      <c r="D29" s="17">
        <v>225.37705474989062</v>
      </c>
      <c r="E29" s="17">
        <v>225.37705474989062</v>
      </c>
      <c r="F29" s="17">
        <v>225.37705474989062</v>
      </c>
      <c r="G29" s="18">
        <f>AVERAGE(C29:F29)</f>
        <v>225.37705474989062</v>
      </c>
    </row>
    <row r="30" spans="2:12" ht="10.6" customHeight="1" x14ac:dyDescent="0.25">
      <c r="B30" s="40"/>
      <c r="C30" s="41"/>
      <c r="D30" s="41"/>
      <c r="E30" s="41"/>
      <c r="F30" s="41"/>
      <c r="G30" s="42"/>
    </row>
    <row r="31" spans="2:12" x14ac:dyDescent="0.25">
      <c r="B31" s="43" t="s">
        <v>35</v>
      </c>
      <c r="C31" s="44">
        <f>(C26)*C27/1000</f>
        <v>442.93191838467362</v>
      </c>
      <c r="D31" s="44">
        <f t="shared" ref="D31:G31" si="1">(D26)*D27/1000</f>
        <v>476.11687960135293</v>
      </c>
      <c r="E31" s="44">
        <f t="shared" si="1"/>
        <v>491.32602901005691</v>
      </c>
      <c r="F31" s="44">
        <f t="shared" si="1"/>
        <v>508.83314561473605</v>
      </c>
      <c r="G31" s="44">
        <f t="shared" si="1"/>
        <v>1923.5220964230712</v>
      </c>
    </row>
    <row r="32" spans="2:12" x14ac:dyDescent="0.25">
      <c r="B32" s="31" t="s">
        <v>36</v>
      </c>
      <c r="C32" s="45" t="s">
        <v>4</v>
      </c>
      <c r="D32" s="45" t="s">
        <v>4</v>
      </c>
      <c r="E32" s="45" t="s">
        <v>4</v>
      </c>
      <c r="F32" s="45" t="s">
        <v>4</v>
      </c>
      <c r="G32" s="46" t="s">
        <v>4</v>
      </c>
    </row>
    <row r="33" spans="2:7" ht="10.6" customHeight="1" x14ac:dyDescent="0.25">
      <c r="B33" s="40"/>
      <c r="C33" s="41"/>
      <c r="D33" s="41"/>
      <c r="E33" s="41"/>
      <c r="F33" s="41"/>
      <c r="G33" s="42"/>
    </row>
    <row r="34" spans="2:7" x14ac:dyDescent="0.25">
      <c r="B34" s="34" t="s">
        <v>37</v>
      </c>
      <c r="C34" s="17">
        <f>C35-C24</f>
        <v>7.6479189554233926</v>
      </c>
      <c r="D34" s="17">
        <f>D35-D24</f>
        <v>-38.70670546609017</v>
      </c>
      <c r="E34" s="17">
        <f>E35-E24</f>
        <v>-51.556628973090938</v>
      </c>
      <c r="F34" s="17">
        <f>F35-F24</f>
        <v>-15.967323547958586</v>
      </c>
      <c r="G34" s="18">
        <f>G35-G24</f>
        <v>-94.642249653421459</v>
      </c>
    </row>
    <row r="35" spans="2:7" x14ac:dyDescent="0.25">
      <c r="B35" s="34" t="s">
        <v>38</v>
      </c>
      <c r="C35" s="17">
        <f>(C24*(1-C36))/(1-C37)</f>
        <v>2160.2972743237005</v>
      </c>
      <c r="D35" s="17">
        <f>(D24*(1-D36))/(1-D37)</f>
        <v>2334.5635007565529</v>
      </c>
      <c r="E35" s="17">
        <f>(E24*(1-E36))/(1-E37)</f>
        <v>2545.3720975395954</v>
      </c>
      <c r="F35" s="17">
        <f>(F24*(1-F36))/(1-F37)</f>
        <v>2710.7531684826513</v>
      </c>
      <c r="G35" s="18">
        <f>(G24*(1-G36))/(1-G37)</f>
        <v>9754.9265304807959</v>
      </c>
    </row>
    <row r="36" spans="2:7" x14ac:dyDescent="0.25">
      <c r="B36" s="47" t="s">
        <v>39</v>
      </c>
      <c r="C36" s="48">
        <f>'[1]Bal. Energético Distribuição'!AR12/'[1]Bal. Energético Distribuição'!AR9</f>
        <v>0.16570437142751201</v>
      </c>
      <c r="D36" s="48">
        <f>'[1]Bal. Energético Distribuição'!AS12/'[1]Bal. Energético Distribuição'!AS9</f>
        <v>0.18221668040493122</v>
      </c>
      <c r="E36" s="48">
        <f>'[1]Bal. Energético Distribuição'!AT12/'[1]Bal. Energético Distribuição'!AT9</f>
        <v>0.18897318832008245</v>
      </c>
      <c r="F36" s="48">
        <f>'[1]Bal. Energético Distribuição'!AU12/'[1]Bal. Energético Distribuição'!AU9</f>
        <v>0.17739126799110982</v>
      </c>
      <c r="G36" s="49">
        <f>AVERAGE(C36:F36)</f>
        <v>0.17857137703590889</v>
      </c>
    </row>
    <row r="37" spans="2:7" x14ac:dyDescent="0.25">
      <c r="B37" s="47" t="s">
        <v>40</v>
      </c>
      <c r="C37" s="48">
        <f>'[1]Perdas Distribuição'!AR8</f>
        <v>0.16865795815283147</v>
      </c>
      <c r="D37" s="48">
        <f>'[1]Perdas Distribuição'!AS8</f>
        <v>0.16865795815283147</v>
      </c>
      <c r="E37" s="48">
        <f>'[1]Perdas Distribuição'!AT8</f>
        <v>0.17254580292624228</v>
      </c>
      <c r="F37" s="48">
        <f>'[1]Perdas Distribuição'!AU8</f>
        <v>0.17254580292624228</v>
      </c>
      <c r="G37" s="49">
        <f>AVERAGE(C37:F37)</f>
        <v>0.1706018805395369</v>
      </c>
    </row>
    <row r="38" spans="2:7" x14ac:dyDescent="0.25">
      <c r="B38" s="50" t="s">
        <v>41</v>
      </c>
      <c r="C38" s="51">
        <f>C29*C34/1000</f>
        <v>1.7236654491391841</v>
      </c>
      <c r="D38" s="51">
        <f>D29*D34/1000</f>
        <v>-8.7236032770188938</v>
      </c>
      <c r="E38" s="51">
        <f>E29*E34/1000</f>
        <v>-11.619681190788112</v>
      </c>
      <c r="F38" s="51">
        <f>F29*F34/1000</f>
        <v>-3.5986683534774797</v>
      </c>
      <c r="G38" s="52">
        <f>SUM(C38:F38)</f>
        <v>-22.218287372145301</v>
      </c>
    </row>
    <row r="39" spans="2:7" ht="10.6" customHeight="1" x14ac:dyDescent="0.25">
      <c r="B39" s="40"/>
      <c r="C39" s="53"/>
      <c r="D39" s="53"/>
      <c r="E39" s="53"/>
      <c r="F39" s="53"/>
      <c r="G39" s="54"/>
    </row>
    <row r="40" spans="2:7" x14ac:dyDescent="0.25">
      <c r="B40" s="34" t="s">
        <v>42</v>
      </c>
      <c r="C40" s="55">
        <v>-11</v>
      </c>
      <c r="D40" s="55">
        <v>11</v>
      </c>
      <c r="E40" s="55">
        <v>18</v>
      </c>
      <c r="F40" s="55">
        <v>14</v>
      </c>
      <c r="G40" s="56">
        <f>SUM(C40:F40)</f>
        <v>32</v>
      </c>
    </row>
    <row r="41" spans="2:7" x14ac:dyDescent="0.25">
      <c r="B41" s="47" t="s">
        <v>43</v>
      </c>
      <c r="C41" s="57" t="s">
        <v>4</v>
      </c>
      <c r="D41" s="57" t="s">
        <v>4</v>
      </c>
      <c r="E41" s="57" t="s">
        <v>4</v>
      </c>
      <c r="F41" s="57" t="s">
        <v>4</v>
      </c>
      <c r="G41" s="58" t="s">
        <v>4</v>
      </c>
    </row>
    <row r="42" spans="2:7" ht="10.6" customHeight="1" x14ac:dyDescent="0.25">
      <c r="B42" s="40"/>
      <c r="C42" s="53"/>
      <c r="D42" s="53"/>
      <c r="E42" s="53"/>
      <c r="F42" s="53"/>
      <c r="G42" s="54"/>
    </row>
    <row r="43" spans="2:7" x14ac:dyDescent="0.25">
      <c r="B43" s="34" t="s">
        <v>44</v>
      </c>
      <c r="C43" s="55">
        <v>-3</v>
      </c>
      <c r="D43" s="55">
        <v>-4</v>
      </c>
      <c r="E43" s="55">
        <v>-4</v>
      </c>
      <c r="F43" s="55">
        <v>-5</v>
      </c>
      <c r="G43" s="56">
        <f>SUM(C43:F43)</f>
        <v>-16</v>
      </c>
    </row>
    <row r="44" spans="2:7" x14ac:dyDescent="0.25">
      <c r="B44" s="47" t="s">
        <v>45</v>
      </c>
      <c r="C44" s="59" t="s">
        <v>4</v>
      </c>
      <c r="D44" s="59" t="s">
        <v>4</v>
      </c>
      <c r="E44" s="59" t="s">
        <v>4</v>
      </c>
      <c r="F44" s="59" t="s">
        <v>4</v>
      </c>
      <c r="G44" s="58" t="s">
        <v>4</v>
      </c>
    </row>
    <row r="45" spans="2:7" ht="10.6" customHeight="1" x14ac:dyDescent="0.25">
      <c r="B45" s="40"/>
      <c r="C45" s="53"/>
      <c r="D45" s="53"/>
      <c r="E45" s="53"/>
      <c r="F45" s="53"/>
      <c r="G45" s="54"/>
    </row>
    <row r="46" spans="2:7" x14ac:dyDescent="0.25">
      <c r="B46" s="34" t="s">
        <v>46</v>
      </c>
      <c r="C46" s="55">
        <v>6</v>
      </c>
      <c r="D46" s="55">
        <v>10</v>
      </c>
      <c r="E46" s="55">
        <v>4</v>
      </c>
      <c r="F46" s="55">
        <v>6</v>
      </c>
      <c r="G46" s="56">
        <f>SUM(C46:F46)</f>
        <v>26</v>
      </c>
    </row>
    <row r="47" spans="2:7" ht="10.6" customHeight="1" x14ac:dyDescent="0.25">
      <c r="B47" s="40"/>
      <c r="C47" s="53"/>
      <c r="D47" s="53"/>
      <c r="E47" s="53"/>
      <c r="F47" s="53"/>
      <c r="G47" s="54"/>
    </row>
    <row r="48" spans="2:7" x14ac:dyDescent="0.25">
      <c r="B48" s="34" t="s">
        <v>47</v>
      </c>
      <c r="C48" s="55">
        <v>-10</v>
      </c>
      <c r="D48" s="55">
        <v>-7</v>
      </c>
      <c r="E48" s="55">
        <v>-4</v>
      </c>
      <c r="F48" s="55">
        <v>-7</v>
      </c>
      <c r="G48" s="60">
        <f>SUM(C48:F48)</f>
        <v>-28</v>
      </c>
    </row>
    <row r="49" spans="2:7" ht="10.6" customHeight="1" x14ac:dyDescent="0.25">
      <c r="B49" s="40"/>
      <c r="C49" s="53"/>
      <c r="D49" s="53"/>
      <c r="E49" s="53"/>
      <c r="F49" s="53"/>
      <c r="G49" s="54"/>
    </row>
    <row r="50" spans="2:7" x14ac:dyDescent="0.25">
      <c r="B50" s="34" t="s">
        <v>48</v>
      </c>
      <c r="C50" s="55">
        <v>12</v>
      </c>
      <c r="D50" s="55">
        <v>12</v>
      </c>
      <c r="E50" s="55">
        <v>13</v>
      </c>
      <c r="F50" s="55">
        <v>27</v>
      </c>
      <c r="G50" s="56">
        <f>SUM(C50:F50)</f>
        <v>64</v>
      </c>
    </row>
    <row r="51" spans="2:7" x14ac:dyDescent="0.25">
      <c r="B51" s="47" t="s">
        <v>49</v>
      </c>
      <c r="C51" s="57" t="s">
        <v>4</v>
      </c>
      <c r="D51" s="57" t="s">
        <v>4</v>
      </c>
      <c r="E51" s="57" t="s">
        <v>4</v>
      </c>
      <c r="F51" s="57" t="s">
        <v>4</v>
      </c>
      <c r="G51" s="58" t="s">
        <v>4</v>
      </c>
    </row>
    <row r="52" spans="2:7" ht="10.6" customHeight="1" x14ac:dyDescent="0.25">
      <c r="B52" s="40"/>
      <c r="C52" s="53"/>
      <c r="D52" s="53"/>
      <c r="E52" s="53"/>
      <c r="F52" s="53"/>
      <c r="G52" s="54"/>
    </row>
    <row r="53" spans="2:7" x14ac:dyDescent="0.25">
      <c r="B53" s="34" t="s">
        <v>50</v>
      </c>
      <c r="C53" s="55" t="s">
        <v>4</v>
      </c>
      <c r="D53" s="55" t="s">
        <v>4</v>
      </c>
      <c r="E53" s="55" t="s">
        <v>4</v>
      </c>
      <c r="F53" s="55" t="s">
        <v>4</v>
      </c>
      <c r="G53" s="60" t="s">
        <v>4</v>
      </c>
    </row>
    <row r="54" spans="2:7" x14ac:dyDescent="0.25">
      <c r="B54" s="34" t="s">
        <v>51</v>
      </c>
      <c r="C54" s="55" t="s">
        <v>4</v>
      </c>
      <c r="D54" s="55" t="s">
        <v>4</v>
      </c>
      <c r="E54" s="55" t="s">
        <v>4</v>
      </c>
      <c r="F54" s="55" t="s">
        <v>4</v>
      </c>
      <c r="G54" s="60" t="s">
        <v>4</v>
      </c>
    </row>
    <row r="55" spans="2:7" x14ac:dyDescent="0.25">
      <c r="B55" s="47" t="s">
        <v>52</v>
      </c>
      <c r="C55" s="61">
        <v>1.022</v>
      </c>
      <c r="D55" s="61">
        <v>1.022</v>
      </c>
      <c r="E55" s="61">
        <v>1.002</v>
      </c>
      <c r="F55" s="61">
        <v>0.95</v>
      </c>
      <c r="G55" s="58" t="s">
        <v>4</v>
      </c>
    </row>
    <row r="56" spans="2:7" ht="10.6" customHeight="1" x14ac:dyDescent="0.25">
      <c r="B56" s="40"/>
      <c r="C56" s="41"/>
      <c r="D56" s="41"/>
      <c r="E56" s="41"/>
      <c r="F56" s="41"/>
      <c r="G56" s="62"/>
    </row>
    <row r="57" spans="2:7" x14ac:dyDescent="0.25">
      <c r="B57" s="43" t="s">
        <v>53</v>
      </c>
      <c r="C57" s="63">
        <f>SUM(C31,C38,C40,C53,C43,C46,C48,C50)</f>
        <v>438.65558383381278</v>
      </c>
      <c r="D57" s="63">
        <f>SUM(D31,D38,D40,D53,D43,D46,D48,D50)</f>
        <v>489.39327632433407</v>
      </c>
      <c r="E57" s="63">
        <f>SUM(E31,E38,E40,E53,E43,E46,E48,E50)</f>
        <v>506.70634781926879</v>
      </c>
      <c r="F57" s="63">
        <f>SUM(F31,F38,F40,F53,F43,F46,F48,F50)</f>
        <v>540.23447726125858</v>
      </c>
      <c r="G57" s="64">
        <f>SUM(G31,G38,G40,G53,G43,G46,G48,G50)</f>
        <v>1979.3038090509258</v>
      </c>
    </row>
    <row r="58" spans="2:7" s="68" customFormat="1" ht="11.35" customHeight="1" x14ac:dyDescent="0.25">
      <c r="B58" s="65"/>
      <c r="C58" s="66"/>
      <c r="D58" s="66"/>
      <c r="E58" s="66"/>
      <c r="F58" s="66"/>
      <c r="G58" s="67"/>
    </row>
    <row r="59" spans="2:7" x14ac:dyDescent="0.25">
      <c r="B59" s="34" t="s">
        <v>55</v>
      </c>
      <c r="C59" s="17">
        <v>-152</v>
      </c>
      <c r="D59" s="17">
        <v>-169</v>
      </c>
      <c r="E59" s="17">
        <v>-165</v>
      </c>
      <c r="F59" s="17">
        <v>-172</v>
      </c>
      <c r="G59" s="69">
        <f>SUM(C59:F59)</f>
        <v>-658</v>
      </c>
    </row>
    <row r="60" spans="2:7" x14ac:dyDescent="0.25">
      <c r="B60" s="34" t="s">
        <v>56</v>
      </c>
      <c r="C60" s="17">
        <f>-C59*1000000/C62</f>
        <v>56.466469504577312</v>
      </c>
      <c r="D60" s="17">
        <f t="shared" ref="D60:F60" si="2">-D59*1000000/D62</f>
        <v>62.443445267211757</v>
      </c>
      <c r="E60" s="17">
        <f t="shared" si="2"/>
        <v>60.669794531629186</v>
      </c>
      <c r="F60" s="17">
        <f t="shared" si="2"/>
        <v>62.80329060031913</v>
      </c>
      <c r="G60" s="56">
        <f>AVERAGE(C60:F60)</f>
        <v>60.595749975934339</v>
      </c>
    </row>
    <row r="61" spans="2:7" x14ac:dyDescent="0.25">
      <c r="B61" s="47" t="s">
        <v>57</v>
      </c>
      <c r="C61" s="70" t="s">
        <v>4</v>
      </c>
      <c r="D61" s="70" t="s">
        <v>4</v>
      </c>
      <c r="E61" s="70" t="s">
        <v>4</v>
      </c>
      <c r="F61" s="70" t="s">
        <v>4</v>
      </c>
      <c r="G61" s="71" t="s">
        <v>4</v>
      </c>
    </row>
    <row r="62" spans="2:7" x14ac:dyDescent="0.25">
      <c r="B62" s="34" t="s">
        <v>58</v>
      </c>
      <c r="C62" s="55">
        <v>2691863</v>
      </c>
      <c r="D62" s="55">
        <v>2706449</v>
      </c>
      <c r="E62" s="55">
        <v>2719640</v>
      </c>
      <c r="F62" s="55">
        <v>2738710</v>
      </c>
      <c r="G62" s="72">
        <f>F62</f>
        <v>2738710</v>
      </c>
    </row>
    <row r="63" spans="2:7" x14ac:dyDescent="0.25">
      <c r="B63" s="47" t="s">
        <v>59</v>
      </c>
      <c r="C63" s="70" t="s">
        <v>4</v>
      </c>
      <c r="D63" s="70" t="s">
        <v>4</v>
      </c>
      <c r="E63" s="70" t="s">
        <v>4</v>
      </c>
      <c r="F63" s="70" t="s">
        <v>4</v>
      </c>
      <c r="G63" s="71" t="s">
        <v>4</v>
      </c>
    </row>
    <row r="64" spans="2:7" x14ac:dyDescent="0.25">
      <c r="B64" s="50" t="s">
        <v>60</v>
      </c>
      <c r="C64" s="73"/>
      <c r="D64" s="73"/>
      <c r="E64" s="73"/>
      <c r="F64" s="73"/>
      <c r="G64" s="74"/>
    </row>
    <row r="65" spans="2:7" ht="10.6" customHeight="1" x14ac:dyDescent="0.25">
      <c r="B65" s="40"/>
      <c r="C65" s="41"/>
      <c r="D65" s="41"/>
      <c r="E65" s="41"/>
      <c r="F65" s="41"/>
      <c r="G65" s="75"/>
    </row>
    <row r="66" spans="2:7" x14ac:dyDescent="0.25">
      <c r="B66" s="34" t="s">
        <v>61</v>
      </c>
      <c r="C66" s="17">
        <v>-27</v>
      </c>
      <c r="D66" s="17">
        <v>-24</v>
      </c>
      <c r="E66" s="17">
        <v>-23</v>
      </c>
      <c r="F66" s="17">
        <v>-32.799999999999997</v>
      </c>
      <c r="G66" s="60">
        <f>SUM(C66:F66)</f>
        <v>-106.8</v>
      </c>
    </row>
    <row r="67" spans="2:7" x14ac:dyDescent="0.25">
      <c r="B67" s="47" t="s">
        <v>62</v>
      </c>
      <c r="C67" s="70" t="s">
        <v>4</v>
      </c>
      <c r="D67" s="70" t="s">
        <v>4</v>
      </c>
      <c r="E67" s="70" t="s">
        <v>4</v>
      </c>
      <c r="F67" s="70" t="s">
        <v>4</v>
      </c>
      <c r="G67" s="76" t="s">
        <v>4</v>
      </c>
    </row>
    <row r="68" spans="2:7" ht="10.6" customHeight="1" x14ac:dyDescent="0.25">
      <c r="B68" s="40"/>
      <c r="C68" s="53"/>
      <c r="D68" s="53"/>
      <c r="E68" s="53"/>
      <c r="F68" s="53"/>
      <c r="G68" s="75"/>
    </row>
    <row r="69" spans="2:7" x14ac:dyDescent="0.25">
      <c r="B69" s="34" t="s">
        <v>63</v>
      </c>
      <c r="C69" s="55">
        <v>-5</v>
      </c>
      <c r="D69" s="55">
        <v>-4</v>
      </c>
      <c r="E69" s="55">
        <v>-4</v>
      </c>
      <c r="F69" s="55">
        <v>-13</v>
      </c>
      <c r="G69" s="60">
        <f>SUM(C69:F69)</f>
        <v>-26</v>
      </c>
    </row>
    <row r="70" spans="2:7" x14ac:dyDescent="0.25">
      <c r="B70" s="47" t="s">
        <v>64</v>
      </c>
      <c r="C70" s="70" t="s">
        <v>4</v>
      </c>
      <c r="D70" s="70" t="s">
        <v>4</v>
      </c>
      <c r="E70" s="70" t="s">
        <v>4</v>
      </c>
      <c r="F70" s="70" t="s">
        <v>4</v>
      </c>
      <c r="G70" s="58" t="s">
        <v>4</v>
      </c>
    </row>
    <row r="71" spans="2:7" ht="10.6" customHeight="1" x14ac:dyDescent="0.25">
      <c r="B71" s="40"/>
      <c r="C71" s="53"/>
      <c r="D71" s="53"/>
      <c r="E71" s="53"/>
      <c r="F71" s="53"/>
      <c r="G71" s="54"/>
    </row>
    <row r="72" spans="2:7" ht="12.8" customHeight="1" x14ac:dyDescent="0.25">
      <c r="B72" s="4" t="s">
        <v>65</v>
      </c>
      <c r="C72" s="81">
        <f>SUM(C57,C59,C66,C69)</f>
        <v>254.65558383381278</v>
      </c>
      <c r="D72" s="81">
        <f>SUM(D57,D59,D66,D69)</f>
        <v>292.39327632433407</v>
      </c>
      <c r="E72" s="81">
        <f>SUM(E57,E59,E66,E69)</f>
        <v>314.70634781926879</v>
      </c>
      <c r="F72" s="81">
        <f>SUM(F57,F59,F66,F69)</f>
        <v>322.43447726125856</v>
      </c>
      <c r="G72" s="82">
        <f>SUM(C72:F72)</f>
        <v>1184.1896852386742</v>
      </c>
    </row>
    <row r="73" spans="2:7" ht="11.35" customHeight="1" x14ac:dyDescent="0.25">
      <c r="B73" s="65" t="s">
        <v>54</v>
      </c>
      <c r="C73" s="83">
        <f>C$72/C77-1</f>
        <v>-1.2962853357314841E-2</v>
      </c>
      <c r="D73" s="83">
        <f>D$72/D77-1</f>
        <v>-2.5355745585553091E-2</v>
      </c>
      <c r="E73" s="83">
        <f>E$72/E77-1</f>
        <v>-1.6542663064785024E-2</v>
      </c>
      <c r="F73" s="83">
        <f>F$72/F77-1</f>
        <v>-2.2925826481034695E-2</v>
      </c>
      <c r="G73" s="84">
        <f>G$72/G77-1</f>
        <v>-1.9710525464673667E-2</v>
      </c>
    </row>
    <row r="74" spans="2:7" x14ac:dyDescent="0.25">
      <c r="B74" s="47" t="s">
        <v>67</v>
      </c>
      <c r="C74" s="70">
        <v>27</v>
      </c>
      <c r="D74" s="70">
        <v>7</v>
      </c>
      <c r="E74" s="70">
        <v>48</v>
      </c>
      <c r="F74" s="70">
        <v>29</v>
      </c>
      <c r="G74" s="71">
        <f>SUM(C74:F74)</f>
        <v>111</v>
      </c>
    </row>
    <row r="75" spans="2:7" ht="12.8" customHeight="1" x14ac:dyDescent="0.25">
      <c r="B75" s="7" t="s">
        <v>68</v>
      </c>
      <c r="C75" s="77">
        <f>C72+C74</f>
        <v>281.65558383381278</v>
      </c>
      <c r="D75" s="77">
        <f t="shared" ref="D75:F75" si="3">D72+D74</f>
        <v>299.39327632433407</v>
      </c>
      <c r="E75" s="77">
        <f t="shared" si="3"/>
        <v>362.70634781926879</v>
      </c>
      <c r="F75" s="77">
        <f t="shared" si="3"/>
        <v>351.43447726125856</v>
      </c>
      <c r="G75" s="78">
        <f>SUM(C75:F75)</f>
        <v>1295.1896852386742</v>
      </c>
    </row>
    <row r="77" spans="2:7" hidden="1" x14ac:dyDescent="0.25">
      <c r="B77" s="7" t="s">
        <v>66</v>
      </c>
      <c r="C77" s="79">
        <v>258</v>
      </c>
      <c r="D77" s="79">
        <v>300</v>
      </c>
      <c r="E77" s="79">
        <v>320</v>
      </c>
      <c r="F77" s="79">
        <v>330</v>
      </c>
      <c r="G77" s="80">
        <f>SUM(C77:F77)</f>
        <v>1208</v>
      </c>
    </row>
    <row r="92" spans="11:14" x14ac:dyDescent="0.25">
      <c r="K92" s="130"/>
      <c r="L92" s="130"/>
      <c r="M92" s="130"/>
      <c r="N92" s="130"/>
    </row>
  </sheetData>
  <mergeCells count="2">
    <mergeCell ref="B2:G2"/>
    <mergeCell ref="L7:T7"/>
  </mergeCells>
  <pageMargins left="0.511811024" right="0.511811024" top="0.78740157499999996" bottom="0.78740157499999996" header="0.31496062000000002" footer="0.31496062000000002"/>
  <ignoredErrors>
    <ignoredError sqref="G73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e9c80-94cf-4020-8681-39b8c8bd0d52">
      <Terms xmlns="http://schemas.microsoft.com/office/infopath/2007/PartnerControls"/>
    </lcf76f155ced4ddcb4097134ff3c332f>
    <TaxCatchAll xmlns="cdcab5b5-3742-4006-a8e2-5e4262a551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D607EAAD0DBE45964E53B615BE650E" ma:contentTypeVersion="16" ma:contentTypeDescription="Crie um novo documento." ma:contentTypeScope="" ma:versionID="cade09ef50831298b44143ad2473f546">
  <xsd:schema xmlns:xsd="http://www.w3.org/2001/XMLSchema" xmlns:xs="http://www.w3.org/2001/XMLSchema" xmlns:p="http://schemas.microsoft.com/office/2006/metadata/properties" xmlns:ns2="54fe9c80-94cf-4020-8681-39b8c8bd0d52" xmlns:ns3="cdcab5b5-3742-4006-a8e2-5e4262a551e3" targetNamespace="http://schemas.microsoft.com/office/2006/metadata/properties" ma:root="true" ma:fieldsID="a1a01ec1ba5314c9b9862eee54d976ad" ns2:_="" ns3:_="">
    <xsd:import namespace="54fe9c80-94cf-4020-8681-39b8c8bd0d52"/>
    <xsd:import namespace="cdcab5b5-3742-4006-a8e2-5e4262a551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e9c80-94cf-4020-8681-39b8c8bd0d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296ee902-957c-4640-87b6-40205da5e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ab5b5-3742-4006-a8e2-5e4262a551e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145d1a-dadc-4c6e-b8ac-b51f39fe42ed}" ma:internalName="TaxCatchAll" ma:showField="CatchAllData" ma:web="cdcab5b5-3742-4006-a8e2-5e4262a551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2A6BA5-A282-4829-8D53-D521E6390C7B}">
  <ds:schemaRefs>
    <ds:schemaRef ds:uri="http://schemas.microsoft.com/office/2006/metadata/properties"/>
    <ds:schemaRef ds:uri="cdcab5b5-3742-4006-a8e2-5e4262a551e3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4fe9c80-94cf-4020-8681-39b8c8bd0d5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95B5D0-51AF-4DC1-8434-3C7D1D2937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11420E-111B-47FB-A0CF-6A8C82200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fe9c80-94cf-4020-8681-39b8c8bd0d52"/>
    <ds:schemaRef ds:uri="cdcab5b5-3742-4006-a8e2-5e4262a551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Cenário Conceitual</vt:lpstr>
      <vt:lpstr>Check EBITDA - EQTL MA</vt:lpstr>
    </vt:vector>
  </TitlesOfParts>
  <Company>Equatorial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Equatorial</dc:creator>
  <cp:lastModifiedBy>Equatorial</cp:lastModifiedBy>
  <dcterms:created xsi:type="dcterms:W3CDTF">2025-03-25T11:22:32Z</dcterms:created>
  <dcterms:modified xsi:type="dcterms:W3CDTF">2025-03-27T18:21:10Z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0x0101008AD607EAAD0DBE45964E53B615BE650E</vt:lpwstr>
  </property>
  <property fmtid="{D5CDD505-2E9C-101B-9397-08002B2CF9AE}" pid="3" name="MediaServiceImageTags">
    <vt:lpwstr/>
  </property>
</Properties>
</file>