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084\Desktop\"/>
    </mc:Choice>
  </mc:AlternateContent>
  <xr:revisionPtr revIDLastSave="0" documentId="13_ncr:1_{31F99B83-EC51-4F49-A632-0208F3FF21CD}" xr6:coauthVersionLast="47" xr6:coauthVersionMax="47" xr10:uidLastSave="{00000000-0000-0000-0000-000000000000}"/>
  <bookViews>
    <workbookView xWindow="28690" yWindow="-110" windowWidth="24220" windowHeight="13000" xr2:uid="{30508035-5484-4BF0-8B88-AEF6EC3B8020}"/>
  </bookViews>
  <sheets>
    <sheet name="Capa" sheetId="1" r:id="rId1"/>
    <sheet name="Operacional" sheetId="53" r:id="rId2"/>
    <sheet name="Mercado Distribuição" sheetId="12" r:id="rId3"/>
    <sheet name="Bal. Energético Distribuição" sheetId="13" r:id="rId4"/>
    <sheet name="Perdas Distribuição" sheetId="14" r:id="rId5"/>
    <sheet name="DEC FEC" sheetId="15" r:id="rId6"/>
    <sheet name="Contratos Distribuição" sheetId="16" r:id="rId7"/>
    <sheet name="Operacional Renováveis" sheetId="41" r:id="rId8"/>
    <sheet name="Operacional Saneamento" sheetId="44" r:id="rId9"/>
    <sheet name="DRE ITR" sheetId="48" r:id="rId10"/>
    <sheet name="DRE ITR Maranhão" sheetId="55" r:id="rId11"/>
    <sheet name="DRE ITR Pará" sheetId="56" r:id="rId12"/>
    <sheet name="DRE ITR Piauí" sheetId="57" r:id="rId13"/>
    <sheet name="DRE ITR Alagoas" sheetId="58" r:id="rId14"/>
    <sheet name="DRE ITR CEEE-D" sheetId="59" r:id="rId15"/>
    <sheet name="DRE ITR CEA" sheetId="60" r:id="rId16"/>
    <sheet name="DRE ITR Goiás" sheetId="61" r:id="rId17"/>
    <sheet name="DRE ITR SPEs" sheetId="62" r:id="rId18"/>
    <sheet name="DRE ITR Echoenergia" sheetId="63" r:id="rId19"/>
    <sheet name="DRE ITR Echo Crescimento" sheetId="64" r:id="rId20"/>
    <sheet name="DRE ITR EQTT" sheetId="65" r:id="rId21"/>
    <sheet name="DRE ITR INTESA" sheetId="66" r:id="rId22"/>
    <sheet name="DRE ITR CSA" sheetId="67" r:id="rId23"/>
    <sheet name="DRE ITR Serviços" sheetId="68" r:id="rId24"/>
    <sheet name="DRE ITR Holding" sheetId="69" r:id="rId25"/>
    <sheet name="DRE ITR Consolidado" sheetId="70" r:id="rId26"/>
    <sheet name="DRE Resumida" sheetId="49" r:id="rId27"/>
    <sheet name="DRE Maranhão" sheetId="20" r:id="rId28"/>
    <sheet name="DRE Pará" sheetId="21" r:id="rId29"/>
    <sheet name="DRE Piauí" sheetId="22" r:id="rId30"/>
    <sheet name="DRE Alagoas" sheetId="23" r:id="rId31"/>
    <sheet name="DRE CEEE-D" sheetId="24" r:id="rId32"/>
    <sheet name="DRE CEA" sheetId="25" r:id="rId33"/>
    <sheet name="DRE Goiás" sheetId="26" r:id="rId34"/>
    <sheet name="DRE Intesa IFRS" sheetId="35" r:id="rId35"/>
    <sheet name="DRE Intesa Reg" sheetId="36" r:id="rId36"/>
    <sheet name="DRE EQTT IFRS" sheetId="37" r:id="rId37"/>
    <sheet name="DRE EQTT Reg" sheetId="38" r:id="rId38"/>
    <sheet name="DRE Echoenergia" sheetId="42" r:id="rId39"/>
    <sheet name="DRE CSA" sheetId="45" r:id="rId40"/>
    <sheet name="DRE EQTL Serviços" sheetId="47" r:id="rId41"/>
    <sheet name="DRE EQTL Cons " sheetId="7" r:id="rId42"/>
    <sheet name="DRE EQTL Holding" sheetId="8" r:id="rId43"/>
    <sheet name="DRE Individual" sheetId="9" r:id="rId44"/>
    <sheet name="Informações Financeiras Aj." sheetId="71" r:id="rId45"/>
    <sheet name="BPs" sheetId="50" r:id="rId46"/>
    <sheet name="BP Maranhão" sheetId="27" r:id="rId47"/>
    <sheet name="BP Pará" sheetId="28" r:id="rId48"/>
    <sheet name="BP Piauí" sheetId="29" r:id="rId49"/>
    <sheet name="BP Alagoas" sheetId="30" r:id="rId50"/>
    <sheet name="BP CEEE-D " sheetId="31" r:id="rId51"/>
    <sheet name="BP CEA" sheetId="32" r:id="rId52"/>
    <sheet name="BP CELG" sheetId="33" r:id="rId53"/>
    <sheet name="BP CSA" sheetId="46" r:id="rId54"/>
    <sheet name="BP Echoenergia" sheetId="43" r:id="rId55"/>
    <sheet name="BP Transmissão" sheetId="39" r:id="rId56"/>
    <sheet name="BP Intesa" sheetId="40" r:id="rId57"/>
    <sheet name="BP EQTL Cons" sheetId="10" r:id="rId58"/>
    <sheet name="BP EQTL Holding" sheetId="11" r:id="rId59"/>
    <sheet name="Dívida e CAPEX" sheetId="51" r:id="rId60"/>
    <sheet name="Dívida Bruta" sheetId="4" r:id="rId61"/>
    <sheet name="Dívida Líquida" sheetId="5" r:id="rId62"/>
    <sheet name="Dívida Detalhada" sheetId="6" r:id="rId63"/>
    <sheet name="Investimentos" sheetId="3" r:id="rId64"/>
    <sheet name="Balanço CVA" sheetId="17" r:id="rId65"/>
    <sheet name="Sistemas Isolados" sheetId="18" r:id="rId66"/>
    <sheet name="Apuração IR CS " sheetId="19" r:id="rId67"/>
    <sheet name="Dados Regulatórios" sheetId="54" r:id="rId68"/>
    <sheet name="Dados Concessões" sheetId="72" r:id="rId69"/>
    <sheet name="Dados Regulatórios Distribuição" sheetId="2" r:id="rId70"/>
    <sheet name="Dados Leilões Transmissão" sheetId="34" r:id="rId71"/>
  </sheets>
  <externalReferences>
    <externalReference r:id="rId72"/>
    <externalReference r:id="rId73"/>
    <externalReference r:id="rId74"/>
  </externalReferences>
  <definedNames>
    <definedName name="LnkTxtIGPMFatorX">[1]VPB1!$F$44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6" i="2" l="1"/>
  <c r="E137" i="2"/>
  <c r="E104" i="2"/>
  <c r="G71" i="2"/>
  <c r="I38" i="2"/>
  <c r="E38" i="2"/>
  <c r="E237" i="2" l="1"/>
  <c r="J236" i="2" l="1"/>
  <c r="O236" i="2" l="1"/>
  <c r="I203" i="2" l="1"/>
  <c r="H171" i="2" l="1"/>
  <c r="E138" i="2" l="1"/>
  <c r="L137" i="2" l="1"/>
  <c r="E105" i="2" l="1"/>
  <c r="L104" i="2" l="1"/>
  <c r="O104" i="2" l="1"/>
  <c r="K71" i="2" l="1"/>
  <c r="G72" i="2" l="1"/>
  <c r="K72" i="2"/>
  <c r="O72" i="2"/>
  <c r="O71" i="2"/>
  <c r="E39" i="2" l="1"/>
  <c r="I39" i="2"/>
  <c r="M39" i="2"/>
  <c r="M38" i="2"/>
  <c r="AT42" i="14" l="1"/>
  <c r="AT36" i="14"/>
  <c r="AT30" i="14"/>
  <c r="AT24" i="14"/>
  <c r="AT18" i="14"/>
  <c r="AT12" i="14"/>
  <c r="AT81" i="13"/>
  <c r="AT77" i="13"/>
  <c r="AT70" i="13"/>
  <c r="AT67" i="13"/>
  <c r="AT61" i="13"/>
  <c r="AT57" i="13"/>
  <c r="AT50" i="13"/>
  <c r="AT47" i="13"/>
  <c r="AT40" i="13"/>
  <c r="AT27" i="13"/>
  <c r="AT37" i="13" s="1"/>
  <c r="AT30" i="13"/>
  <c r="AT20" i="13"/>
  <c r="AT16" i="13"/>
  <c r="AT9" i="13"/>
  <c r="AT174" i="12"/>
  <c r="AT172" i="12"/>
  <c r="AT164" i="12"/>
  <c r="AT156" i="12"/>
  <c r="AT148" i="12"/>
  <c r="AT140" i="12"/>
  <c r="AT132" i="12"/>
  <c r="AT124" i="12"/>
  <c r="AT114" i="12"/>
  <c r="AT111" i="12"/>
  <c r="AT112" i="12" s="1"/>
  <c r="AT108" i="12"/>
  <c r="AT104" i="12"/>
  <c r="AT96" i="12"/>
  <c r="AT97" i="12" s="1"/>
  <c r="AT93" i="12"/>
  <c r="AT89" i="12"/>
  <c r="AT81" i="12"/>
  <c r="AT82" i="12" s="1"/>
  <c r="AT78" i="12"/>
  <c r="AT74" i="12"/>
  <c r="AT66" i="12" l="1"/>
  <c r="AT67" i="12" s="1"/>
  <c r="AT63" i="12"/>
  <c r="AT59" i="12"/>
  <c r="AT51" i="12"/>
  <c r="AT52" i="12" s="1"/>
  <c r="AT48" i="12"/>
  <c r="AT44" i="12"/>
  <c r="AT36" i="12"/>
  <c r="AT37" i="12" s="1"/>
  <c r="AT33" i="12"/>
  <c r="AT29" i="12"/>
  <c r="AT20" i="12"/>
  <c r="AT21" i="12" s="1"/>
  <c r="AT17" i="12"/>
  <c r="AT13" i="12"/>
  <c r="K47" i="72" l="1"/>
  <c r="J47" i="72"/>
  <c r="I47" i="72"/>
  <c r="H47" i="72"/>
  <c r="K17" i="72"/>
  <c r="K30" i="72" s="1"/>
  <c r="K42" i="72" s="1"/>
  <c r="K54" i="72" s="1"/>
  <c r="K66" i="72" s="1"/>
  <c r="K78" i="72" s="1"/>
  <c r="U58" i="71" l="1"/>
  <c r="U57" i="71"/>
  <c r="U56" i="71"/>
  <c r="Q56" i="71"/>
  <c r="U55" i="71"/>
  <c r="T52" i="71"/>
  <c r="S52" i="71"/>
  <c r="R52" i="71"/>
  <c r="Q52" i="71"/>
  <c r="P52" i="71"/>
  <c r="O52" i="71"/>
  <c r="N52" i="71"/>
  <c r="M52" i="71"/>
  <c r="L52" i="71"/>
  <c r="K52" i="71"/>
  <c r="J52" i="71"/>
  <c r="I52" i="71"/>
  <c r="H52" i="71"/>
  <c r="G52" i="71"/>
  <c r="F52" i="71"/>
  <c r="E52" i="71"/>
  <c r="D52" i="71"/>
  <c r="C52" i="71"/>
  <c r="T51" i="71"/>
  <c r="S51" i="71"/>
  <c r="R51" i="71"/>
  <c r="Q51" i="71"/>
  <c r="P51" i="71"/>
  <c r="O51" i="71"/>
  <c r="N51" i="71"/>
  <c r="M51" i="71"/>
  <c r="L51" i="71"/>
  <c r="K51" i="71"/>
  <c r="J51" i="71"/>
  <c r="I51" i="71"/>
  <c r="H51" i="71"/>
  <c r="G51" i="71"/>
  <c r="F51" i="71"/>
  <c r="E51" i="71"/>
  <c r="D51" i="71"/>
  <c r="C51" i="71"/>
  <c r="T50" i="71"/>
  <c r="S50" i="71"/>
  <c r="R50" i="71"/>
  <c r="Q50" i="71"/>
  <c r="P50" i="71"/>
  <c r="O50" i="71"/>
  <c r="N50" i="71"/>
  <c r="M50" i="71"/>
  <c r="L50" i="71"/>
  <c r="K50" i="71"/>
  <c r="J50" i="71"/>
  <c r="I50" i="71"/>
  <c r="H50" i="71"/>
  <c r="G50" i="71"/>
  <c r="F50" i="71"/>
  <c r="E50" i="71"/>
  <c r="D50" i="71"/>
  <c r="C50" i="71"/>
  <c r="T49" i="71"/>
  <c r="S49" i="71"/>
  <c r="R49" i="71"/>
  <c r="Q49" i="71"/>
  <c r="P49" i="71"/>
  <c r="O49" i="71"/>
  <c r="N49" i="71"/>
  <c r="M49" i="71"/>
  <c r="L49" i="71"/>
  <c r="K49" i="71"/>
  <c r="J49" i="71"/>
  <c r="I49" i="71"/>
  <c r="H49" i="71"/>
  <c r="G49" i="71"/>
  <c r="F49" i="71"/>
  <c r="E49" i="71"/>
  <c r="D49" i="71"/>
  <c r="C49" i="71"/>
  <c r="U46" i="71"/>
  <c r="U45" i="71"/>
  <c r="U44" i="71"/>
  <c r="U43" i="71"/>
  <c r="U40" i="71"/>
  <c r="U39" i="71"/>
  <c r="U38" i="71"/>
  <c r="U37" i="71"/>
  <c r="U34" i="71"/>
  <c r="U33" i="71"/>
  <c r="U32" i="71"/>
  <c r="U31" i="71"/>
  <c r="U28" i="71"/>
  <c r="U27" i="71"/>
  <c r="U26" i="71"/>
  <c r="U25" i="71"/>
  <c r="U22" i="71"/>
  <c r="U21" i="71"/>
  <c r="U20" i="71"/>
  <c r="U19" i="71"/>
  <c r="U16" i="71"/>
  <c r="U15" i="71"/>
  <c r="U13" i="71"/>
  <c r="U10" i="71"/>
  <c r="U52" i="71" s="1"/>
  <c r="U9" i="71"/>
  <c r="U8" i="71"/>
  <c r="U50" i="71" s="1"/>
  <c r="U7" i="71"/>
  <c r="U49" i="71" s="1"/>
  <c r="U51" i="71" l="1"/>
  <c r="G7" i="2"/>
  <c r="Q47" i="29"/>
  <c r="Q49" i="28"/>
  <c r="Q44" i="27"/>
  <c r="C27" i="67"/>
  <c r="C17" i="67"/>
  <c r="C8" i="67"/>
  <c r="C110" i="58" l="1"/>
  <c r="C97" i="58"/>
  <c r="C88" i="58"/>
  <c r="C78" i="58"/>
  <c r="C68" i="58"/>
  <c r="C61" i="58"/>
  <c r="C48" i="58"/>
  <c r="C41" i="58" s="1"/>
  <c r="C27" i="58"/>
  <c r="C17" i="58"/>
  <c r="C8" i="58"/>
  <c r="C6" i="58" s="1"/>
  <c r="D110" i="59"/>
  <c r="D97" i="59"/>
  <c r="D88" i="59"/>
  <c r="D86" i="59" s="1"/>
  <c r="D78" i="59"/>
  <c r="D68" i="59"/>
  <c r="D61" i="59"/>
  <c r="D59" i="59" s="1"/>
  <c r="D48" i="59"/>
  <c r="D41" i="59"/>
  <c r="D27" i="59"/>
  <c r="D39" i="59" s="1"/>
  <c r="D57" i="59" s="1"/>
  <c r="D84" i="59" s="1"/>
  <c r="D17" i="59"/>
  <c r="D8" i="59"/>
  <c r="D6" i="59" s="1"/>
  <c r="C86" i="58" l="1"/>
  <c r="C59" i="58"/>
  <c r="C39" i="58"/>
  <c r="C57" i="58" s="1"/>
  <c r="C84" i="58" s="1"/>
  <c r="C82" i="58" s="1"/>
  <c r="D82" i="59"/>
  <c r="D108" i="59"/>
  <c r="D117" i="59" s="1"/>
  <c r="C108" i="58" l="1"/>
  <c r="C117" i="58" s="1"/>
  <c r="C121" i="58"/>
  <c r="C120" i="58" s="1"/>
  <c r="C123" i="58" s="1"/>
  <c r="D121" i="59"/>
  <c r="D120" i="59" s="1"/>
  <c r="D123" i="59" s="1"/>
  <c r="H121" i="63" l="1"/>
  <c r="H120" i="63" s="1"/>
  <c r="G121" i="63"/>
  <c r="G120" i="63"/>
  <c r="E110" i="60"/>
  <c r="E97" i="60"/>
  <c r="E88" i="60"/>
  <c r="E78" i="60"/>
  <c r="E68" i="60"/>
  <c r="E61" i="60"/>
  <c r="E48" i="60"/>
  <c r="E41" i="60" s="1"/>
  <c r="E27" i="60"/>
  <c r="E17" i="60"/>
  <c r="E6" i="60" s="1"/>
  <c r="E8" i="60"/>
  <c r="F110" i="62"/>
  <c r="F97" i="62"/>
  <c r="F88" i="62"/>
  <c r="F78" i="62"/>
  <c r="F68" i="62"/>
  <c r="F61" i="62"/>
  <c r="F48" i="62"/>
  <c r="F41" i="62" s="1"/>
  <c r="F39" i="62"/>
  <c r="F27" i="62"/>
  <c r="F17" i="62"/>
  <c r="F8" i="62"/>
  <c r="F6" i="62"/>
  <c r="E86" i="60" l="1"/>
  <c r="E59" i="60"/>
  <c r="E39" i="60"/>
  <c r="E57" i="60" s="1"/>
  <c r="F86" i="62"/>
  <c r="F59" i="62"/>
  <c r="F57" i="62"/>
  <c r="E84" i="60" l="1"/>
  <c r="E82" i="60" s="1"/>
  <c r="E108" i="60"/>
  <c r="E117" i="60" s="1"/>
  <c r="E121" i="60" s="1"/>
  <c r="F84" i="62"/>
  <c r="E120" i="60" l="1"/>
  <c r="E123" i="60" s="1"/>
  <c r="F108" i="62"/>
  <c r="F117" i="62" s="1"/>
  <c r="F121" i="62" s="1"/>
  <c r="F120" i="62" s="1"/>
  <c r="F123" i="62" s="1"/>
  <c r="F82" i="62"/>
  <c r="H110" i="70" l="1"/>
  <c r="G110" i="70"/>
  <c r="F110" i="70"/>
  <c r="E110" i="70"/>
  <c r="D110" i="70"/>
  <c r="C110" i="70"/>
  <c r="H110" i="69"/>
  <c r="G110" i="69"/>
  <c r="F110" i="69"/>
  <c r="E110" i="69"/>
  <c r="D110" i="69"/>
  <c r="C110" i="69"/>
  <c r="H48" i="69"/>
  <c r="G48" i="69"/>
  <c r="G41" i="69" s="1"/>
  <c r="F48" i="69"/>
  <c r="F41" i="69" s="1"/>
  <c r="E48" i="69"/>
  <c r="E41" i="69" s="1"/>
  <c r="D48" i="69"/>
  <c r="C48" i="69"/>
  <c r="H41" i="69"/>
  <c r="D41" i="69"/>
  <c r="C41" i="69"/>
  <c r="H27" i="69"/>
  <c r="G27" i="69"/>
  <c r="F27" i="69"/>
  <c r="E27" i="69"/>
  <c r="D27" i="69"/>
  <c r="C27" i="69"/>
  <c r="H17" i="69"/>
  <c r="G17" i="69"/>
  <c r="F17" i="69"/>
  <c r="E17" i="69"/>
  <c r="D17" i="69"/>
  <c r="C17" i="69"/>
  <c r="H8" i="69"/>
  <c r="G8" i="69"/>
  <c r="F8" i="69"/>
  <c r="E8" i="69"/>
  <c r="D8" i="69"/>
  <c r="C8" i="69"/>
  <c r="H117" i="67"/>
  <c r="H110" i="67"/>
  <c r="G110" i="67"/>
  <c r="F110" i="67"/>
  <c r="E110" i="67"/>
  <c r="D110" i="67"/>
  <c r="C110" i="67"/>
  <c r="H117" i="68"/>
  <c r="H110" i="68"/>
  <c r="G110" i="68"/>
  <c r="F110" i="68"/>
  <c r="E110" i="68"/>
  <c r="D110" i="68"/>
  <c r="C110" i="68"/>
  <c r="H110" i="66"/>
  <c r="G110" i="66"/>
  <c r="F110" i="66"/>
  <c r="E110" i="66"/>
  <c r="D110" i="66"/>
  <c r="C110" i="66"/>
  <c r="H117" i="66"/>
  <c r="H110" i="65"/>
  <c r="G110" i="65"/>
  <c r="F110" i="65"/>
  <c r="E110" i="65"/>
  <c r="D110" i="65"/>
  <c r="C110" i="65"/>
  <c r="G121" i="64"/>
  <c r="G120" i="64" s="1"/>
  <c r="G123" i="64" s="1"/>
  <c r="G117" i="64"/>
  <c r="F117" i="64"/>
  <c r="F121" i="64" s="1"/>
  <c r="F120" i="64" s="1"/>
  <c r="F123" i="64" s="1"/>
  <c r="E117" i="64"/>
  <c r="E121" i="64" s="1"/>
  <c r="E120" i="64" s="1"/>
  <c r="E123" i="64" s="1"/>
  <c r="D117" i="64"/>
  <c r="C117" i="64"/>
  <c r="H110" i="64"/>
  <c r="G110" i="64"/>
  <c r="F110" i="64"/>
  <c r="E110" i="64"/>
  <c r="D110" i="64"/>
  <c r="C110" i="64"/>
  <c r="H110" i="63"/>
  <c r="H117" i="63" s="1"/>
  <c r="H123" i="63" s="1"/>
  <c r="G110" i="63"/>
  <c r="F110" i="63"/>
  <c r="E110" i="63"/>
  <c r="D110" i="63"/>
  <c r="C110" i="63"/>
  <c r="H110" i="62"/>
  <c r="H117" i="62" s="1"/>
  <c r="H121" i="62" s="1"/>
  <c r="H120" i="62" s="1"/>
  <c r="H123" i="62" s="1"/>
  <c r="G110" i="62"/>
  <c r="E110" i="62"/>
  <c r="D110" i="62"/>
  <c r="C110" i="62"/>
  <c r="H121" i="67" l="1"/>
  <c r="H120" i="67" s="1"/>
  <c r="H123" i="67" s="1"/>
  <c r="H120" i="68"/>
  <c r="H123" i="68" s="1"/>
  <c r="H121" i="68"/>
  <c r="H121" i="66"/>
  <c r="H120" i="66" s="1"/>
  <c r="H123" i="66" s="1"/>
  <c r="C121" i="64"/>
  <c r="C120" i="64" s="1"/>
  <c r="C123" i="64" s="1"/>
  <c r="D121" i="64"/>
  <c r="D120" i="64" s="1"/>
  <c r="D123" i="64" s="1"/>
  <c r="C110" i="60" l="1"/>
  <c r="D110" i="60"/>
  <c r="F110" i="60"/>
  <c r="G110" i="60"/>
  <c r="H110" i="60"/>
  <c r="H117" i="60" s="1"/>
  <c r="H121" i="60" s="1"/>
  <c r="H120" i="60" s="1"/>
  <c r="H123" i="60" s="1"/>
  <c r="C123" i="61"/>
  <c r="D123" i="61"/>
  <c r="E123" i="61"/>
  <c r="F123" i="61"/>
  <c r="G123" i="61"/>
  <c r="H123" i="61"/>
  <c r="C110" i="61"/>
  <c r="D110" i="61"/>
  <c r="E110" i="61"/>
  <c r="F110" i="61"/>
  <c r="G110" i="61"/>
  <c r="H110" i="61"/>
  <c r="C110" i="59" l="1"/>
  <c r="E110" i="59"/>
  <c r="F110" i="59"/>
  <c r="G110" i="59"/>
  <c r="H110" i="59"/>
  <c r="H121" i="58"/>
  <c r="T121" i="58" s="1"/>
  <c r="D110" i="58"/>
  <c r="E110" i="58"/>
  <c r="F110" i="58"/>
  <c r="G110" i="58"/>
  <c r="H110" i="58"/>
  <c r="H117" i="58" s="1"/>
  <c r="H121" i="57"/>
  <c r="H120" i="57" s="1"/>
  <c r="H117" i="57"/>
  <c r="C110" i="57"/>
  <c r="D110" i="57"/>
  <c r="E110" i="57"/>
  <c r="F110" i="57"/>
  <c r="G110" i="57"/>
  <c r="H110" i="57"/>
  <c r="H121" i="56"/>
  <c r="T121" i="56" s="1"/>
  <c r="H117" i="56"/>
  <c r="C110" i="56"/>
  <c r="D110" i="56"/>
  <c r="E110" i="56"/>
  <c r="F110" i="56"/>
  <c r="G110" i="56"/>
  <c r="H110" i="56"/>
  <c r="T115" i="70"/>
  <c r="T114" i="70"/>
  <c r="T113" i="70"/>
  <c r="T112" i="70"/>
  <c r="T106" i="70"/>
  <c r="T105" i="70"/>
  <c r="T104" i="70"/>
  <c r="T103" i="70"/>
  <c r="T102" i="70"/>
  <c r="T101" i="70"/>
  <c r="T100" i="70"/>
  <c r="T99" i="70"/>
  <c r="T98" i="70"/>
  <c r="T96" i="70"/>
  <c r="T95" i="70"/>
  <c r="T94" i="70"/>
  <c r="T93" i="70"/>
  <c r="T92" i="70"/>
  <c r="T91" i="70"/>
  <c r="T90" i="70"/>
  <c r="T89" i="70"/>
  <c r="T80" i="70"/>
  <c r="T79" i="70"/>
  <c r="T78" i="70" s="1"/>
  <c r="T77" i="70"/>
  <c r="T76" i="70"/>
  <c r="T75" i="70"/>
  <c r="T74" i="70"/>
  <c r="T73" i="70"/>
  <c r="T72" i="70"/>
  <c r="T71" i="70"/>
  <c r="T70" i="70"/>
  <c r="T69" i="70"/>
  <c r="T67" i="70"/>
  <c r="T66" i="70"/>
  <c r="T65" i="70"/>
  <c r="T64" i="70"/>
  <c r="T63" i="70"/>
  <c r="T62" i="70"/>
  <c r="T61" i="70"/>
  <c r="T55" i="70"/>
  <c r="T54" i="70"/>
  <c r="T53" i="70"/>
  <c r="T52" i="70"/>
  <c r="T51" i="70"/>
  <c r="T50" i="70"/>
  <c r="T49" i="70"/>
  <c r="T48" i="70" s="1"/>
  <c r="T47" i="70"/>
  <c r="T46" i="70"/>
  <c r="T45" i="70"/>
  <c r="T44" i="70"/>
  <c r="T43" i="70"/>
  <c r="T37" i="70"/>
  <c r="T36" i="70"/>
  <c r="T35" i="70"/>
  <c r="T34" i="70"/>
  <c r="T33" i="70"/>
  <c r="T32" i="70"/>
  <c r="T31" i="70"/>
  <c r="T30" i="70"/>
  <c r="T29" i="70"/>
  <c r="T25" i="70"/>
  <c r="T24" i="70"/>
  <c r="T23" i="70"/>
  <c r="T22" i="70"/>
  <c r="T21" i="70"/>
  <c r="T20" i="70"/>
  <c r="T19" i="70"/>
  <c r="T18" i="70"/>
  <c r="T16" i="70"/>
  <c r="T15" i="70"/>
  <c r="T14" i="70"/>
  <c r="T13" i="70"/>
  <c r="T12" i="70"/>
  <c r="T11" i="70"/>
  <c r="T10" i="70"/>
  <c r="T9" i="70"/>
  <c r="T8" i="70"/>
  <c r="T115" i="69"/>
  <c r="T114" i="69"/>
  <c r="T113" i="69"/>
  <c r="T112" i="69"/>
  <c r="T106" i="69"/>
  <c r="T105" i="69"/>
  <c r="T104" i="69"/>
  <c r="T103" i="69"/>
  <c r="T97" i="69" s="1"/>
  <c r="T102" i="69"/>
  <c r="T101" i="69"/>
  <c r="T100" i="69"/>
  <c r="T99" i="69"/>
  <c r="T98" i="69"/>
  <c r="T96" i="69"/>
  <c r="T95" i="69"/>
  <c r="T94" i="69"/>
  <c r="T93" i="69"/>
  <c r="T92" i="69"/>
  <c r="T91" i="69"/>
  <c r="T90" i="69"/>
  <c r="T89" i="69"/>
  <c r="T80" i="69"/>
  <c r="T79" i="69"/>
  <c r="T78" i="69"/>
  <c r="T77" i="69"/>
  <c r="T76" i="69"/>
  <c r="T75" i="69"/>
  <c r="T74" i="69"/>
  <c r="T73" i="69"/>
  <c r="T72" i="69"/>
  <c r="T71" i="69"/>
  <c r="T70" i="69"/>
  <c r="T69" i="69"/>
  <c r="T67" i="69"/>
  <c r="T66" i="69"/>
  <c r="T65" i="69"/>
  <c r="T64" i="69"/>
  <c r="T63" i="69"/>
  <c r="T62" i="69"/>
  <c r="T61" i="69" s="1"/>
  <c r="T55" i="69"/>
  <c r="T54" i="69"/>
  <c r="T53" i="69"/>
  <c r="T52" i="69"/>
  <c r="T51" i="69"/>
  <c r="T50" i="69"/>
  <c r="T49" i="69"/>
  <c r="T48" i="69"/>
  <c r="T41" i="69" s="1"/>
  <c r="T47" i="69"/>
  <c r="T46" i="69"/>
  <c r="T45" i="69"/>
  <c r="T44" i="69"/>
  <c r="T43" i="69"/>
  <c r="T37" i="69"/>
  <c r="T36" i="69"/>
  <c r="T35" i="69"/>
  <c r="T34" i="69"/>
  <c r="T33" i="69"/>
  <c r="T32" i="69"/>
  <c r="T31" i="69"/>
  <c r="T30" i="69"/>
  <c r="T29" i="69"/>
  <c r="T25" i="69"/>
  <c r="T24" i="69"/>
  <c r="T23" i="69"/>
  <c r="T22" i="69"/>
  <c r="T21" i="69"/>
  <c r="T20" i="69"/>
  <c r="T19" i="69"/>
  <c r="T18" i="69"/>
  <c r="T16" i="69"/>
  <c r="T15" i="69"/>
  <c r="T14" i="69"/>
  <c r="T13" i="69"/>
  <c r="T12" i="69"/>
  <c r="T11" i="69"/>
  <c r="T10" i="69"/>
  <c r="T9" i="69"/>
  <c r="T8" i="69" s="1"/>
  <c r="T126" i="68"/>
  <c r="T125" i="68"/>
  <c r="T121" i="68"/>
  <c r="T120" i="68"/>
  <c r="T123" i="68" s="1"/>
  <c r="T115" i="68"/>
  <c r="T114" i="68"/>
  <c r="T113" i="68"/>
  <c r="T112" i="68"/>
  <c r="T110" i="68"/>
  <c r="T106" i="68"/>
  <c r="T105" i="68"/>
  <c r="T104" i="68"/>
  <c r="T103" i="68"/>
  <c r="T102" i="68"/>
  <c r="T101" i="68"/>
  <c r="T100" i="68"/>
  <c r="T99" i="68"/>
  <c r="T98" i="68"/>
  <c r="T97" i="68" s="1"/>
  <c r="T96" i="68"/>
  <c r="T95" i="68"/>
  <c r="T94" i="68"/>
  <c r="T93" i="68"/>
  <c r="T92" i="68"/>
  <c r="T91" i="68"/>
  <c r="T90" i="68"/>
  <c r="T89" i="68"/>
  <c r="T80" i="68"/>
  <c r="T79" i="68"/>
  <c r="T78" i="68" s="1"/>
  <c r="T77" i="68"/>
  <c r="T76" i="68"/>
  <c r="T75" i="68"/>
  <c r="T74" i="68"/>
  <c r="T73" i="68"/>
  <c r="T72" i="68"/>
  <c r="T71" i="68"/>
  <c r="T70" i="68"/>
  <c r="T69" i="68"/>
  <c r="T67" i="68"/>
  <c r="T66" i="68"/>
  <c r="T65" i="68"/>
  <c r="T61" i="68" s="1"/>
  <c r="T64" i="68"/>
  <c r="T63" i="68"/>
  <c r="T62" i="68"/>
  <c r="T55" i="68"/>
  <c r="T54" i="68"/>
  <c r="T53" i="68"/>
  <c r="T52" i="68"/>
  <c r="T51" i="68"/>
  <c r="T50" i="68"/>
  <c r="T49" i="68"/>
  <c r="T47" i="68"/>
  <c r="T46" i="68"/>
  <c r="T45" i="68"/>
  <c r="T44" i="68"/>
  <c r="T43" i="68"/>
  <c r="T37" i="68"/>
  <c r="T36" i="68"/>
  <c r="T35" i="68"/>
  <c r="T34" i="68"/>
  <c r="T33" i="68"/>
  <c r="T32" i="68"/>
  <c r="T31" i="68"/>
  <c r="T30" i="68"/>
  <c r="T29" i="68"/>
  <c r="T27" i="68" s="1"/>
  <c r="T25" i="68"/>
  <c r="T24" i="68"/>
  <c r="T23" i="68"/>
  <c r="T22" i="68"/>
  <c r="T21" i="68"/>
  <c r="T20" i="68"/>
  <c r="T19" i="68"/>
  <c r="T18" i="68"/>
  <c r="T16" i="68"/>
  <c r="T15" i="68"/>
  <c r="T14" i="68"/>
  <c r="T13" i="68"/>
  <c r="T12" i="68"/>
  <c r="T11" i="68"/>
  <c r="T10" i="68"/>
  <c r="T9" i="68"/>
  <c r="T8" i="68"/>
  <c r="T126" i="67"/>
  <c r="T125" i="67"/>
  <c r="T123" i="67"/>
  <c r="T121" i="67"/>
  <c r="T120" i="67"/>
  <c r="T115" i="67"/>
  <c r="T114" i="67"/>
  <c r="T113" i="67"/>
  <c r="T112" i="67"/>
  <c r="T106" i="67"/>
  <c r="T105" i="67"/>
  <c r="T104" i="67"/>
  <c r="T103" i="67"/>
  <c r="T102" i="67"/>
  <c r="T101" i="67"/>
  <c r="T97" i="67" s="1"/>
  <c r="T100" i="67"/>
  <c r="T99" i="67"/>
  <c r="T98" i="67"/>
  <c r="T96" i="67"/>
  <c r="T95" i="67"/>
  <c r="T94" i="67"/>
  <c r="T93" i="67"/>
  <c r="T92" i="67"/>
  <c r="T91" i="67"/>
  <c r="T90" i="67"/>
  <c r="T89" i="67"/>
  <c r="T80" i="67"/>
  <c r="T79" i="67"/>
  <c r="T78" i="67" s="1"/>
  <c r="T77" i="67"/>
  <c r="T76" i="67"/>
  <c r="T75" i="67"/>
  <c r="T74" i="67"/>
  <c r="T73" i="67"/>
  <c r="T72" i="67"/>
  <c r="T71" i="67"/>
  <c r="T70" i="67"/>
  <c r="T69" i="67"/>
  <c r="T68" i="67" s="1"/>
  <c r="T67" i="67"/>
  <c r="T66" i="67"/>
  <c r="T65" i="67"/>
  <c r="T64" i="67"/>
  <c r="T63" i="67"/>
  <c r="T62" i="67"/>
  <c r="T61" i="67" s="1"/>
  <c r="T55" i="67"/>
  <c r="T54" i="67"/>
  <c r="T53" i="67"/>
  <c r="T52" i="67"/>
  <c r="T51" i="67"/>
  <c r="T50" i="67"/>
  <c r="T49" i="67"/>
  <c r="T47" i="67"/>
  <c r="T46" i="67"/>
  <c r="T45" i="67"/>
  <c r="T44" i="67"/>
  <c r="T43" i="67"/>
  <c r="T37" i="67"/>
  <c r="T36" i="67"/>
  <c r="T35" i="67"/>
  <c r="T34" i="67"/>
  <c r="T33" i="67"/>
  <c r="T32" i="67"/>
  <c r="T31" i="67"/>
  <c r="T30" i="67"/>
  <c r="T29" i="67"/>
  <c r="T25" i="67"/>
  <c r="T24" i="67"/>
  <c r="T23" i="67"/>
  <c r="T22" i="67"/>
  <c r="T21" i="67"/>
  <c r="T20" i="67"/>
  <c r="T19" i="67"/>
  <c r="T18" i="67"/>
  <c r="T16" i="67"/>
  <c r="T15" i="67"/>
  <c r="T14" i="67"/>
  <c r="T13" i="67"/>
  <c r="T12" i="67"/>
  <c r="T11" i="67"/>
  <c r="T10" i="67"/>
  <c r="T8" i="67" s="1"/>
  <c r="T9" i="67"/>
  <c r="T126" i="66"/>
  <c r="T125" i="66"/>
  <c r="T121" i="66"/>
  <c r="T120" i="66"/>
  <c r="T123" i="66" s="1"/>
  <c r="T115" i="66"/>
  <c r="T114" i="66"/>
  <c r="T110" i="66" s="1"/>
  <c r="T113" i="66"/>
  <c r="T112" i="66"/>
  <c r="T106" i="66"/>
  <c r="T105" i="66"/>
  <c r="T104" i="66"/>
  <c r="T103" i="66"/>
  <c r="T102" i="66"/>
  <c r="T101" i="66"/>
  <c r="T100" i="66"/>
  <c r="T99" i="66"/>
  <c r="T98" i="66"/>
  <c r="T97" i="66"/>
  <c r="T96" i="66"/>
  <c r="T95" i="66"/>
  <c r="T94" i="66"/>
  <c r="T93" i="66"/>
  <c r="T92" i="66"/>
  <c r="T91" i="66"/>
  <c r="T90" i="66"/>
  <c r="T89" i="66"/>
  <c r="T80" i="66"/>
  <c r="T79" i="66"/>
  <c r="T78" i="66" s="1"/>
  <c r="T77" i="66"/>
  <c r="T76" i="66"/>
  <c r="T75" i="66"/>
  <c r="T74" i="66"/>
  <c r="T73" i="66"/>
  <c r="T72" i="66"/>
  <c r="T71" i="66"/>
  <c r="T70" i="66"/>
  <c r="T69" i="66"/>
  <c r="T67" i="66"/>
  <c r="T66" i="66"/>
  <c r="T65" i="66"/>
  <c r="T64" i="66"/>
  <c r="T63" i="66"/>
  <c r="T62" i="66"/>
  <c r="T61" i="66"/>
  <c r="T55" i="66"/>
  <c r="T54" i="66"/>
  <c r="T53" i="66"/>
  <c r="T52" i="66"/>
  <c r="T51" i="66"/>
  <c r="T50" i="66"/>
  <c r="T49" i="66"/>
  <c r="T48" i="66"/>
  <c r="T41" i="66" s="1"/>
  <c r="T47" i="66"/>
  <c r="T46" i="66"/>
  <c r="T45" i="66"/>
  <c r="T44" i="66"/>
  <c r="T43" i="66"/>
  <c r="T37" i="66"/>
  <c r="T36" i="66"/>
  <c r="T35" i="66"/>
  <c r="T34" i="66"/>
  <c r="T33" i="66"/>
  <c r="T32" i="66"/>
  <c r="T31" i="66"/>
  <c r="T30" i="66"/>
  <c r="T29" i="66"/>
  <c r="T25" i="66"/>
  <c r="T24" i="66"/>
  <c r="T23" i="66"/>
  <c r="T22" i="66"/>
  <c r="T21" i="66"/>
  <c r="T20" i="66"/>
  <c r="T19" i="66"/>
  <c r="T18" i="66"/>
  <c r="T16" i="66"/>
  <c r="T15" i="66"/>
  <c r="T14" i="66"/>
  <c r="T13" i="66"/>
  <c r="T12" i="66"/>
  <c r="T11" i="66"/>
  <c r="T10" i="66"/>
  <c r="T9" i="66"/>
  <c r="T8" i="66"/>
  <c r="T126" i="65"/>
  <c r="T125" i="65"/>
  <c r="T115" i="65"/>
  <c r="T114" i="65"/>
  <c r="T113" i="65"/>
  <c r="T110" i="65" s="1"/>
  <c r="T112" i="65"/>
  <c r="T106" i="65"/>
  <c r="T105" i="65"/>
  <c r="T104" i="65"/>
  <c r="T103" i="65"/>
  <c r="T102" i="65"/>
  <c r="T101" i="65"/>
  <c r="T100" i="65"/>
  <c r="T99" i="65"/>
  <c r="T98" i="65"/>
  <c r="T96" i="65"/>
  <c r="T95" i="65"/>
  <c r="T94" i="65"/>
  <c r="T93" i="65"/>
  <c r="T92" i="65"/>
  <c r="T91" i="65"/>
  <c r="T90" i="65"/>
  <c r="T89" i="65"/>
  <c r="T80" i="65"/>
  <c r="T79" i="65"/>
  <c r="T78" i="65" s="1"/>
  <c r="T77" i="65"/>
  <c r="T76" i="65"/>
  <c r="T75" i="65"/>
  <c r="T74" i="65"/>
  <c r="T73" i="65"/>
  <c r="T72" i="65"/>
  <c r="T71" i="65"/>
  <c r="T70" i="65"/>
  <c r="T69" i="65"/>
  <c r="T67" i="65"/>
  <c r="T66" i="65"/>
  <c r="T65" i="65"/>
  <c r="T64" i="65"/>
  <c r="T63" i="65"/>
  <c r="T62" i="65"/>
  <c r="T55" i="65"/>
  <c r="T54" i="65"/>
  <c r="T53" i="65"/>
  <c r="T52" i="65"/>
  <c r="T51" i="65"/>
  <c r="T50" i="65"/>
  <c r="T49" i="65"/>
  <c r="T47" i="65"/>
  <c r="T46" i="65"/>
  <c r="T45" i="65"/>
  <c r="T44" i="65"/>
  <c r="T43" i="65"/>
  <c r="T37" i="65"/>
  <c r="T36" i="65"/>
  <c r="T35" i="65"/>
  <c r="T34" i="65"/>
  <c r="T33" i="65"/>
  <c r="T32" i="65"/>
  <c r="T31" i="65"/>
  <c r="T30" i="65"/>
  <c r="T29" i="65"/>
  <c r="T27" i="65"/>
  <c r="T25" i="65"/>
  <c r="T24" i="65"/>
  <c r="T23" i="65"/>
  <c r="T22" i="65"/>
  <c r="T21" i="65"/>
  <c r="T20" i="65"/>
  <c r="T19" i="65"/>
  <c r="T18" i="65"/>
  <c r="T17" i="65" s="1"/>
  <c r="T16" i="65"/>
  <c r="T15" i="65"/>
  <c r="T14" i="65"/>
  <c r="T13" i="65"/>
  <c r="T12" i="65"/>
  <c r="T11" i="65"/>
  <c r="T10" i="65"/>
  <c r="T9" i="65"/>
  <c r="T8" i="65" s="1"/>
  <c r="T126" i="64"/>
  <c r="T125" i="64"/>
  <c r="T115" i="64"/>
  <c r="T114" i="64"/>
  <c r="T113" i="64"/>
  <c r="T112" i="64"/>
  <c r="T110" i="64" s="1"/>
  <c r="T106" i="64"/>
  <c r="T105" i="64"/>
  <c r="T104" i="64"/>
  <c r="T103" i="64"/>
  <c r="T102" i="64"/>
  <c r="T101" i="64"/>
  <c r="T100" i="64"/>
  <c r="T99" i="64"/>
  <c r="T98" i="64"/>
  <c r="T96" i="64"/>
  <c r="T95" i="64"/>
  <c r="T94" i="64"/>
  <c r="T93" i="64"/>
  <c r="T92" i="64"/>
  <c r="T91" i="64"/>
  <c r="T90" i="64"/>
  <c r="T89" i="64"/>
  <c r="T80" i="64"/>
  <c r="T79" i="64"/>
  <c r="T77" i="64"/>
  <c r="T76" i="64"/>
  <c r="T75" i="64"/>
  <c r="T74" i="64"/>
  <c r="T73" i="64"/>
  <c r="T72" i="64"/>
  <c r="T71" i="64"/>
  <c r="T70" i="64"/>
  <c r="T69" i="64"/>
  <c r="T67" i="64"/>
  <c r="T66" i="64"/>
  <c r="T65" i="64"/>
  <c r="T64" i="64"/>
  <c r="T63" i="64"/>
  <c r="T62" i="64"/>
  <c r="T55" i="64"/>
  <c r="T54" i="64"/>
  <c r="T53" i="64"/>
  <c r="T52" i="64"/>
  <c r="T48" i="64" s="1"/>
  <c r="T51" i="64"/>
  <c r="T50" i="64"/>
  <c r="T49" i="64"/>
  <c r="T47" i="64"/>
  <c r="T46" i="64"/>
  <c r="T45" i="64"/>
  <c r="T44" i="64"/>
  <c r="T43" i="64"/>
  <c r="T41" i="64" s="1"/>
  <c r="T37" i="64"/>
  <c r="T36" i="64"/>
  <c r="T35" i="64"/>
  <c r="T34" i="64"/>
  <c r="T33" i="64"/>
  <c r="T32" i="64"/>
  <c r="T31" i="64"/>
  <c r="T30" i="64"/>
  <c r="T29" i="64"/>
  <c r="T27" i="64"/>
  <c r="T25" i="64"/>
  <c r="T24" i="64"/>
  <c r="T23" i="64"/>
  <c r="T22" i="64"/>
  <c r="T21" i="64"/>
  <c r="T20" i="64"/>
  <c r="T19" i="64"/>
  <c r="T18" i="64"/>
  <c r="T17" i="64" s="1"/>
  <c r="T16" i="64"/>
  <c r="T15" i="64"/>
  <c r="T14" i="64"/>
  <c r="T13" i="64"/>
  <c r="T12" i="64"/>
  <c r="T11" i="64"/>
  <c r="T10" i="64"/>
  <c r="T9" i="64"/>
  <c r="T8" i="64" s="1"/>
  <c r="T6" i="64" s="1"/>
  <c r="T126" i="63"/>
  <c r="T125" i="63"/>
  <c r="T121" i="63"/>
  <c r="T120" i="63"/>
  <c r="T123" i="63" s="1"/>
  <c r="T115" i="63"/>
  <c r="T114" i="63"/>
  <c r="T113" i="63"/>
  <c r="T112" i="63"/>
  <c r="T106" i="63"/>
  <c r="T105" i="63"/>
  <c r="T104" i="63"/>
  <c r="T103" i="63"/>
  <c r="T102" i="63"/>
  <c r="T101" i="63"/>
  <c r="T100" i="63"/>
  <c r="T99" i="63"/>
  <c r="T98" i="63"/>
  <c r="T96" i="63"/>
  <c r="T95" i="63"/>
  <c r="T94" i="63"/>
  <c r="T93" i="63"/>
  <c r="T92" i="63"/>
  <c r="T91" i="63"/>
  <c r="T90" i="63"/>
  <c r="T89" i="63"/>
  <c r="T80" i="63"/>
  <c r="T78" i="63" s="1"/>
  <c r="T79" i="63"/>
  <c r="T77" i="63"/>
  <c r="T76" i="63"/>
  <c r="T75" i="63"/>
  <c r="T68" i="63" s="1"/>
  <c r="T74" i="63"/>
  <c r="T73" i="63"/>
  <c r="T72" i="63"/>
  <c r="T71" i="63"/>
  <c r="T70" i="63"/>
  <c r="T69" i="63"/>
  <c r="T67" i="63"/>
  <c r="T66" i="63"/>
  <c r="T65" i="63"/>
  <c r="T64" i="63"/>
  <c r="T63" i="63"/>
  <c r="T62" i="63"/>
  <c r="T55" i="63"/>
  <c r="T54" i="63"/>
  <c r="T53" i="63"/>
  <c r="T52" i="63"/>
  <c r="T51" i="63"/>
  <c r="T48" i="63" s="1"/>
  <c r="T50" i="63"/>
  <c r="T49" i="63"/>
  <c r="T47" i="63"/>
  <c r="T46" i="63"/>
  <c r="T45" i="63"/>
  <c r="T44" i="63"/>
  <c r="T43" i="63"/>
  <c r="T37" i="63"/>
  <c r="T36" i="63"/>
  <c r="T35" i="63"/>
  <c r="T34" i="63"/>
  <c r="T33" i="63"/>
  <c r="T32" i="63"/>
  <c r="T31" i="63"/>
  <c r="T30" i="63"/>
  <c r="T29" i="63"/>
  <c r="T27" i="63" s="1"/>
  <c r="T25" i="63"/>
  <c r="T24" i="63"/>
  <c r="T23" i="63"/>
  <c r="T22" i="63"/>
  <c r="T21" i="63"/>
  <c r="T20" i="63"/>
  <c r="T19" i="63"/>
  <c r="T18" i="63"/>
  <c r="T16" i="63"/>
  <c r="T15" i="63"/>
  <c r="T14" i="63"/>
  <c r="T13" i="63"/>
  <c r="T12" i="63"/>
  <c r="T11" i="63"/>
  <c r="T10" i="63"/>
  <c r="T9" i="63"/>
  <c r="T8" i="63"/>
  <c r="T126" i="62"/>
  <c r="T125" i="62"/>
  <c r="T121" i="62"/>
  <c r="T120" i="62"/>
  <c r="T123" i="62" s="1"/>
  <c r="T115" i="62"/>
  <c r="T114" i="62"/>
  <c r="T113" i="62"/>
  <c r="T112" i="62"/>
  <c r="T106" i="62"/>
  <c r="T105" i="62"/>
  <c r="T104" i="62"/>
  <c r="T103" i="62"/>
  <c r="T102" i="62"/>
  <c r="T101" i="62"/>
  <c r="T100" i="62"/>
  <c r="T99" i="62"/>
  <c r="T98" i="62"/>
  <c r="T96" i="62"/>
  <c r="T95" i="62"/>
  <c r="T94" i="62"/>
  <c r="T93" i="62"/>
  <c r="T92" i="62"/>
  <c r="T91" i="62"/>
  <c r="T90" i="62"/>
  <c r="T89" i="62"/>
  <c r="T80" i="62"/>
  <c r="T78" i="62" s="1"/>
  <c r="T79" i="62"/>
  <c r="T77" i="62"/>
  <c r="T76" i="62"/>
  <c r="T75" i="62"/>
  <c r="T74" i="62"/>
  <c r="T73" i="62"/>
  <c r="T72" i="62"/>
  <c r="T71" i="62"/>
  <c r="T70" i="62"/>
  <c r="T69" i="62"/>
  <c r="T68" i="62" s="1"/>
  <c r="T67" i="62"/>
  <c r="T66" i="62"/>
  <c r="T65" i="62"/>
  <c r="T64" i="62"/>
  <c r="T61" i="62" s="1"/>
  <c r="T63" i="62"/>
  <c r="T62" i="62"/>
  <c r="T55" i="62"/>
  <c r="T54" i="62"/>
  <c r="T53" i="62"/>
  <c r="T52" i="62"/>
  <c r="T51" i="62"/>
  <c r="T50" i="62"/>
  <c r="T49" i="62"/>
  <c r="T47" i="62"/>
  <c r="T46" i="62"/>
  <c r="T45" i="62"/>
  <c r="T44" i="62"/>
  <c r="T43" i="62"/>
  <c r="T37" i="62"/>
  <c r="T36" i="62"/>
  <c r="T35" i="62"/>
  <c r="T34" i="62"/>
  <c r="T33" i="62"/>
  <c r="T32" i="62"/>
  <c r="T31" i="62"/>
  <c r="T30" i="62"/>
  <c r="T27" i="62" s="1"/>
  <c r="T29" i="62"/>
  <c r="T25" i="62"/>
  <c r="T24" i="62"/>
  <c r="T23" i="62"/>
  <c r="T22" i="62"/>
  <c r="T21" i="62"/>
  <c r="T20" i="62"/>
  <c r="T19" i="62"/>
  <c r="T18" i="62"/>
  <c r="T16" i="62"/>
  <c r="T15" i="62"/>
  <c r="T14" i="62"/>
  <c r="T13" i="62"/>
  <c r="T12" i="62"/>
  <c r="T11" i="62"/>
  <c r="T10" i="62"/>
  <c r="T8" i="62" s="1"/>
  <c r="T9" i="62"/>
  <c r="T126" i="61"/>
  <c r="T125" i="61"/>
  <c r="T121" i="61"/>
  <c r="T120" i="61"/>
  <c r="T123" i="61" s="1"/>
  <c r="T115" i="61"/>
  <c r="T114" i="61"/>
  <c r="T110" i="61" s="1"/>
  <c r="T113" i="61"/>
  <c r="T112" i="61"/>
  <c r="T106" i="61"/>
  <c r="T105" i="61"/>
  <c r="T104" i="61"/>
  <c r="T103" i="61"/>
  <c r="T102" i="61"/>
  <c r="T101" i="61"/>
  <c r="T100" i="61"/>
  <c r="T99" i="61"/>
  <c r="T98" i="61"/>
  <c r="T96" i="61"/>
  <c r="T95" i="61"/>
  <c r="T94" i="61"/>
  <c r="T93" i="61"/>
  <c r="T92" i="61"/>
  <c r="T91" i="61"/>
  <c r="T90" i="61"/>
  <c r="T89" i="61"/>
  <c r="T80" i="61"/>
  <c r="T78" i="61" s="1"/>
  <c r="T79" i="61"/>
  <c r="T77" i="61"/>
  <c r="T76" i="61"/>
  <c r="T75" i="61"/>
  <c r="T68" i="61" s="1"/>
  <c r="T74" i="61"/>
  <c r="T73" i="61"/>
  <c r="T72" i="61"/>
  <c r="T71" i="61"/>
  <c r="T70" i="61"/>
  <c r="T69" i="61"/>
  <c r="T67" i="61"/>
  <c r="T66" i="61"/>
  <c r="T65" i="61"/>
  <c r="T64" i="61"/>
  <c r="T63" i="61"/>
  <c r="T62" i="61"/>
  <c r="T55" i="61"/>
  <c r="T54" i="61"/>
  <c r="T53" i="61"/>
  <c r="T52" i="61"/>
  <c r="T51" i="61"/>
  <c r="T50" i="61"/>
  <c r="T48" i="61" s="1"/>
  <c r="T49" i="61"/>
  <c r="T47" i="61"/>
  <c r="T46" i="61"/>
  <c r="T45" i="61"/>
  <c r="T44" i="61"/>
  <c r="T43" i="61"/>
  <c r="T37" i="61"/>
  <c r="T36" i="61"/>
  <c r="T35" i="61"/>
  <c r="T34" i="61"/>
  <c r="T33" i="61"/>
  <c r="T32" i="61"/>
  <c r="T31" i="61"/>
  <c r="T30" i="61"/>
  <c r="T29" i="61"/>
  <c r="T27" i="61" s="1"/>
  <c r="T25" i="61"/>
  <c r="T24" i="61"/>
  <c r="T23" i="61"/>
  <c r="T22" i="61"/>
  <c r="T21" i="61"/>
  <c r="T20" i="61"/>
  <c r="T19" i="61"/>
  <c r="T18" i="61"/>
  <c r="T17" i="61" s="1"/>
  <c r="T16" i="61"/>
  <c r="T15" i="61"/>
  <c r="T14" i="61"/>
  <c r="T13" i="61"/>
  <c r="T12" i="61"/>
  <c r="T11" i="61"/>
  <c r="T10" i="61"/>
  <c r="T9" i="61"/>
  <c r="T8" i="61" s="1"/>
  <c r="T126" i="60"/>
  <c r="T125" i="60"/>
  <c r="T121" i="60"/>
  <c r="T120" i="60"/>
  <c r="T115" i="60"/>
  <c r="T114" i="60"/>
  <c r="T113" i="60"/>
  <c r="T112" i="60"/>
  <c r="T106" i="60"/>
  <c r="T105" i="60"/>
  <c r="T104" i="60"/>
  <c r="T103" i="60"/>
  <c r="T102" i="60"/>
  <c r="T101" i="60"/>
  <c r="T100" i="60"/>
  <c r="T99" i="60"/>
  <c r="T98" i="60"/>
  <c r="T96" i="60"/>
  <c r="T95" i="60"/>
  <c r="T94" i="60"/>
  <c r="T93" i="60"/>
  <c r="T92" i="60"/>
  <c r="T91" i="60"/>
  <c r="T90" i="60"/>
  <c r="T89" i="60"/>
  <c r="T80" i="60"/>
  <c r="T79" i="60"/>
  <c r="T78" i="60" s="1"/>
  <c r="T77" i="60"/>
  <c r="T76" i="60"/>
  <c r="T75" i="60"/>
  <c r="T74" i="60"/>
  <c r="T73" i="60"/>
  <c r="T72" i="60"/>
  <c r="T68" i="60" s="1"/>
  <c r="T71" i="60"/>
  <c r="T70" i="60"/>
  <c r="T69" i="60"/>
  <c r="T67" i="60"/>
  <c r="T66" i="60"/>
  <c r="T65" i="60"/>
  <c r="T64" i="60"/>
  <c r="T63" i="60"/>
  <c r="T62" i="60"/>
  <c r="T55" i="60"/>
  <c r="T54" i="60"/>
  <c r="T53" i="60"/>
  <c r="T52" i="60"/>
  <c r="T51" i="60"/>
  <c r="T50" i="60"/>
  <c r="T49" i="60"/>
  <c r="T47" i="60"/>
  <c r="T46" i="60"/>
  <c r="T45" i="60"/>
  <c r="T44" i="60"/>
  <c r="T43" i="60"/>
  <c r="T37" i="60"/>
  <c r="T36" i="60"/>
  <c r="T35" i="60"/>
  <c r="T34" i="60"/>
  <c r="T33" i="60"/>
  <c r="T32" i="60"/>
  <c r="T31" i="60"/>
  <c r="T30" i="60"/>
  <c r="T29" i="60"/>
  <c r="T27" i="60" s="1"/>
  <c r="T25" i="60"/>
  <c r="T24" i="60"/>
  <c r="T23" i="60"/>
  <c r="T22" i="60"/>
  <c r="T21" i="60"/>
  <c r="T20" i="60"/>
  <c r="T19" i="60"/>
  <c r="T18" i="60"/>
  <c r="T17" i="60" s="1"/>
  <c r="T16" i="60"/>
  <c r="T15" i="60"/>
  <c r="T14" i="60"/>
  <c r="T13" i="60"/>
  <c r="T12" i="60"/>
  <c r="T11" i="60"/>
  <c r="T10" i="60"/>
  <c r="T9" i="60"/>
  <c r="T126" i="59"/>
  <c r="T125" i="59"/>
  <c r="T115" i="59"/>
  <c r="T114" i="59"/>
  <c r="T113" i="59"/>
  <c r="T112" i="59"/>
  <c r="T106" i="59"/>
  <c r="T105" i="59"/>
  <c r="T104" i="59"/>
  <c r="T103" i="59"/>
  <c r="T102" i="59"/>
  <c r="T101" i="59"/>
  <c r="T97" i="59" s="1"/>
  <c r="T100" i="59"/>
  <c r="T99" i="59"/>
  <c r="T98" i="59"/>
  <c r="T96" i="59"/>
  <c r="T95" i="59"/>
  <c r="T94" i="59"/>
  <c r="T93" i="59"/>
  <c r="T92" i="59"/>
  <c r="T91" i="59"/>
  <c r="T90" i="59"/>
  <c r="T89" i="59"/>
  <c r="T80" i="59"/>
  <c r="T79" i="59"/>
  <c r="T78" i="59"/>
  <c r="T77" i="59"/>
  <c r="T76" i="59"/>
  <c r="T75" i="59"/>
  <c r="T74" i="59"/>
  <c r="T73" i="59"/>
  <c r="T72" i="59"/>
  <c r="T71" i="59"/>
  <c r="T70" i="59"/>
  <c r="T69" i="59"/>
  <c r="T67" i="59"/>
  <c r="T66" i="59"/>
  <c r="T65" i="59"/>
  <c r="T64" i="59"/>
  <c r="T63" i="59"/>
  <c r="T62" i="59"/>
  <c r="T61" i="59" s="1"/>
  <c r="T55" i="59"/>
  <c r="T54" i="59"/>
  <c r="T53" i="59"/>
  <c r="T52" i="59"/>
  <c r="T51" i="59"/>
  <c r="T50" i="59"/>
  <c r="T49" i="59"/>
  <c r="T47" i="59"/>
  <c r="T46" i="59"/>
  <c r="T45" i="59"/>
  <c r="T44" i="59"/>
  <c r="T43" i="59"/>
  <c r="T37" i="59"/>
  <c r="T36" i="59"/>
  <c r="T35" i="59"/>
  <c r="T34" i="59"/>
  <c r="T33" i="59"/>
  <c r="T32" i="59"/>
  <c r="T31" i="59"/>
  <c r="T30" i="59"/>
  <c r="T29" i="59"/>
  <c r="T25" i="59"/>
  <c r="T24" i="59"/>
  <c r="T23" i="59"/>
  <c r="T22" i="59"/>
  <c r="T21" i="59"/>
  <c r="T20" i="59"/>
  <c r="T19" i="59"/>
  <c r="T18" i="59"/>
  <c r="T16" i="59"/>
  <c r="T15" i="59"/>
  <c r="T14" i="59"/>
  <c r="T13" i="59"/>
  <c r="T12" i="59"/>
  <c r="T11" i="59"/>
  <c r="T10" i="59"/>
  <c r="T9" i="59"/>
  <c r="T126" i="58"/>
  <c r="T125" i="58"/>
  <c r="T115" i="58"/>
  <c r="T114" i="58"/>
  <c r="T113" i="58"/>
  <c r="T112" i="58"/>
  <c r="T106" i="58"/>
  <c r="T105" i="58"/>
  <c r="T104" i="58"/>
  <c r="T103" i="58"/>
  <c r="T102" i="58"/>
  <c r="T101" i="58"/>
  <c r="T100" i="58"/>
  <c r="T97" i="58" s="1"/>
  <c r="T99" i="58"/>
  <c r="T98" i="58"/>
  <c r="T96" i="58"/>
  <c r="T95" i="58"/>
  <c r="T94" i="58"/>
  <c r="T93" i="58"/>
  <c r="T92" i="58"/>
  <c r="T91" i="58"/>
  <c r="T90" i="58"/>
  <c r="T89" i="58"/>
  <c r="T88" i="58" s="1"/>
  <c r="T80" i="58"/>
  <c r="T78" i="58" s="1"/>
  <c r="T79" i="58"/>
  <c r="T77" i="58"/>
  <c r="T76" i="58"/>
  <c r="T75" i="58"/>
  <c r="T74" i="58"/>
  <c r="T73" i="58"/>
  <c r="T72" i="58"/>
  <c r="T71" i="58"/>
  <c r="T70" i="58"/>
  <c r="T69" i="58"/>
  <c r="T67" i="58"/>
  <c r="T66" i="58"/>
  <c r="T65" i="58"/>
  <c r="T64" i="58"/>
  <c r="T63" i="58"/>
  <c r="T62" i="58"/>
  <c r="T55" i="58"/>
  <c r="T54" i="58"/>
  <c r="T53" i="58"/>
  <c r="T52" i="58"/>
  <c r="T51" i="58"/>
  <c r="T50" i="58"/>
  <c r="T49" i="58"/>
  <c r="T48" i="58" s="1"/>
  <c r="T47" i="58"/>
  <c r="T46" i="58"/>
  <c r="T45" i="58"/>
  <c r="T44" i="58"/>
  <c r="T43" i="58"/>
  <c r="T37" i="58"/>
  <c r="T36" i="58"/>
  <c r="T35" i="58"/>
  <c r="T34" i="58"/>
  <c r="T33" i="58"/>
  <c r="T32" i="58"/>
  <c r="T31" i="58"/>
  <c r="T30" i="58"/>
  <c r="T29" i="58"/>
  <c r="T25" i="58"/>
  <c r="T24" i="58"/>
  <c r="T23" i="58"/>
  <c r="T22" i="58"/>
  <c r="T21" i="58"/>
  <c r="T20" i="58"/>
  <c r="T19" i="58"/>
  <c r="T18" i="58"/>
  <c r="T16" i="58"/>
  <c r="T15" i="58"/>
  <c r="T14" i="58"/>
  <c r="T13" i="58"/>
  <c r="T12" i="58"/>
  <c r="T11" i="58"/>
  <c r="T10" i="58"/>
  <c r="T8" i="58" s="1"/>
  <c r="T9" i="58"/>
  <c r="T126" i="57"/>
  <c r="T125" i="57"/>
  <c r="T115" i="57"/>
  <c r="T114" i="57"/>
  <c r="T110" i="57" s="1"/>
  <c r="T113" i="57"/>
  <c r="T112" i="57"/>
  <c r="T106" i="57"/>
  <c r="T105" i="57"/>
  <c r="T104" i="57"/>
  <c r="T103" i="57"/>
  <c r="T102" i="57"/>
  <c r="T101" i="57"/>
  <c r="T100" i="57"/>
  <c r="T99" i="57"/>
  <c r="T98" i="57"/>
  <c r="T96" i="57"/>
  <c r="T95" i="57"/>
  <c r="T94" i="57"/>
  <c r="T93" i="57"/>
  <c r="T92" i="57"/>
  <c r="T91" i="57"/>
  <c r="T90" i="57"/>
  <c r="T89" i="57"/>
  <c r="T80" i="57"/>
  <c r="T79" i="57"/>
  <c r="T78" i="57" s="1"/>
  <c r="T77" i="57"/>
  <c r="T76" i="57"/>
  <c r="T75" i="57"/>
  <c r="T74" i="57"/>
  <c r="T73" i="57"/>
  <c r="T72" i="57"/>
  <c r="T71" i="57"/>
  <c r="T70" i="57"/>
  <c r="T69" i="57"/>
  <c r="T67" i="57"/>
  <c r="T66" i="57"/>
  <c r="T65" i="57"/>
  <c r="T64" i="57"/>
  <c r="T61" i="57" s="1"/>
  <c r="T63" i="57"/>
  <c r="T62" i="57"/>
  <c r="T55" i="57"/>
  <c r="T54" i="57"/>
  <c r="T53" i="57"/>
  <c r="T52" i="57"/>
  <c r="T51" i="57"/>
  <c r="T48" i="57" s="1"/>
  <c r="T50" i="57"/>
  <c r="T49" i="57"/>
  <c r="T47" i="57"/>
  <c r="T46" i="57"/>
  <c r="T45" i="57"/>
  <c r="T44" i="57"/>
  <c r="T43" i="57"/>
  <c r="T37" i="57"/>
  <c r="T36" i="57"/>
  <c r="T35" i="57"/>
  <c r="T34" i="57"/>
  <c r="T33" i="57"/>
  <c r="T32" i="57"/>
  <c r="T31" i="57"/>
  <c r="T30" i="57"/>
  <c r="T29" i="57"/>
  <c r="T25" i="57"/>
  <c r="T24" i="57"/>
  <c r="T23" i="57"/>
  <c r="T22" i="57"/>
  <c r="T21" i="57"/>
  <c r="T20" i="57"/>
  <c r="T19" i="57"/>
  <c r="T18" i="57"/>
  <c r="T16" i="57"/>
  <c r="T15" i="57"/>
  <c r="T14" i="57"/>
  <c r="T13" i="57"/>
  <c r="T12" i="57"/>
  <c r="T11" i="57"/>
  <c r="T10" i="57"/>
  <c r="T9" i="57"/>
  <c r="T8" i="57" s="1"/>
  <c r="T126" i="56"/>
  <c r="T125" i="56"/>
  <c r="T115" i="56"/>
  <c r="T114" i="56"/>
  <c r="T113" i="56"/>
  <c r="T112" i="56"/>
  <c r="T110" i="56"/>
  <c r="T106" i="56"/>
  <c r="T105" i="56"/>
  <c r="T104" i="56"/>
  <c r="T103" i="56"/>
  <c r="T102" i="56"/>
  <c r="T101" i="56"/>
  <c r="T100" i="56"/>
  <c r="T99" i="56"/>
  <c r="T98" i="56"/>
  <c r="T96" i="56"/>
  <c r="T95" i="56"/>
  <c r="T94" i="56"/>
  <c r="T93" i="56"/>
  <c r="T92" i="56"/>
  <c r="T91" i="56"/>
  <c r="T90" i="56"/>
  <c r="T89" i="56"/>
  <c r="T80" i="56"/>
  <c r="T78" i="56" s="1"/>
  <c r="T79" i="56"/>
  <c r="T77" i="56"/>
  <c r="T76" i="56"/>
  <c r="T75" i="56"/>
  <c r="T74" i="56"/>
  <c r="T73" i="56"/>
  <c r="T72" i="56"/>
  <c r="T71" i="56"/>
  <c r="T70" i="56"/>
  <c r="T69" i="56"/>
  <c r="T67" i="56"/>
  <c r="T66" i="56"/>
  <c r="T65" i="56"/>
  <c r="T64" i="56"/>
  <c r="T63" i="56"/>
  <c r="T62" i="56"/>
  <c r="T55" i="56"/>
  <c r="T54" i="56"/>
  <c r="T53" i="56"/>
  <c r="T52" i="56"/>
  <c r="T51" i="56"/>
  <c r="T50" i="56"/>
  <c r="T49" i="56"/>
  <c r="T47" i="56"/>
  <c r="T46" i="56"/>
  <c r="T45" i="56"/>
  <c r="T44" i="56"/>
  <c r="T43" i="56"/>
  <c r="T37" i="56"/>
  <c r="T36" i="56"/>
  <c r="T35" i="56"/>
  <c r="T34" i="56"/>
  <c r="T33" i="56"/>
  <c r="T32" i="56"/>
  <c r="T31" i="56"/>
  <c r="T30" i="56"/>
  <c r="T29" i="56"/>
  <c r="T25" i="56"/>
  <c r="T24" i="56"/>
  <c r="T23" i="56"/>
  <c r="T22" i="56"/>
  <c r="T21" i="56"/>
  <c r="T20" i="56"/>
  <c r="T19" i="56"/>
  <c r="T18" i="56"/>
  <c r="T16" i="56"/>
  <c r="T15" i="56"/>
  <c r="T14" i="56"/>
  <c r="T13" i="56"/>
  <c r="T12" i="56"/>
  <c r="T11" i="56"/>
  <c r="T10" i="56"/>
  <c r="T9" i="56"/>
  <c r="T8" i="56"/>
  <c r="T115" i="55"/>
  <c r="T114" i="55"/>
  <c r="T113" i="55"/>
  <c r="T112" i="55"/>
  <c r="T106" i="55"/>
  <c r="T105" i="55"/>
  <c r="T104" i="55"/>
  <c r="T103" i="55"/>
  <c r="T102" i="55"/>
  <c r="T101" i="55"/>
  <c r="T100" i="55"/>
  <c r="T99" i="55"/>
  <c r="T98" i="55"/>
  <c r="T96" i="55"/>
  <c r="T95" i="55"/>
  <c r="T94" i="55"/>
  <c r="T93" i="55"/>
  <c r="T92" i="55"/>
  <c r="T91" i="55"/>
  <c r="T90" i="55"/>
  <c r="T89" i="55"/>
  <c r="T80" i="55"/>
  <c r="T79" i="55"/>
  <c r="T77" i="55"/>
  <c r="T76" i="55"/>
  <c r="T75" i="55"/>
  <c r="T74" i="55"/>
  <c r="T73" i="55"/>
  <c r="T72" i="55"/>
  <c r="T71" i="55"/>
  <c r="T70" i="55"/>
  <c r="T69" i="55"/>
  <c r="T67" i="55"/>
  <c r="T66" i="55"/>
  <c r="T65" i="55"/>
  <c r="T64" i="55"/>
  <c r="T63" i="55"/>
  <c r="T62" i="55"/>
  <c r="T55" i="55"/>
  <c r="T54" i="55"/>
  <c r="T53" i="55"/>
  <c r="T52" i="55"/>
  <c r="T51" i="55"/>
  <c r="T50" i="55"/>
  <c r="T49" i="55"/>
  <c r="T47" i="55"/>
  <c r="T46" i="55"/>
  <c r="T45" i="55"/>
  <c r="T44" i="55"/>
  <c r="T43" i="55"/>
  <c r="T37" i="55"/>
  <c r="T36" i="55"/>
  <c r="T35" i="55"/>
  <c r="T34" i="55"/>
  <c r="T33" i="55"/>
  <c r="T32" i="55"/>
  <c r="T31" i="55"/>
  <c r="T30" i="55"/>
  <c r="T29" i="55"/>
  <c r="T25" i="55"/>
  <c r="T24" i="55"/>
  <c r="T23" i="55"/>
  <c r="T22" i="55"/>
  <c r="T21" i="55"/>
  <c r="T20" i="55"/>
  <c r="T19" i="55"/>
  <c r="T18" i="55"/>
  <c r="T16" i="55"/>
  <c r="T15" i="55"/>
  <c r="T14" i="55"/>
  <c r="T13" i="55"/>
  <c r="T12" i="55"/>
  <c r="T11" i="55"/>
  <c r="T10" i="55"/>
  <c r="T9" i="55"/>
  <c r="T126" i="55"/>
  <c r="T125" i="55"/>
  <c r="T110" i="55"/>
  <c r="H110" i="55"/>
  <c r="G110" i="55"/>
  <c r="F110" i="55"/>
  <c r="E110" i="55"/>
  <c r="D110" i="55"/>
  <c r="C110" i="55"/>
  <c r="T110" i="70" l="1"/>
  <c r="T97" i="70"/>
  <c r="T88" i="70"/>
  <c r="T86" i="70" s="1"/>
  <c r="T68" i="70"/>
  <c r="T41" i="70"/>
  <c r="T27" i="70"/>
  <c r="T17" i="70"/>
  <c r="T6" i="70"/>
  <c r="T110" i="69"/>
  <c r="T88" i="69"/>
  <c r="T68" i="69"/>
  <c r="T6" i="69"/>
  <c r="T17" i="69"/>
  <c r="T27" i="69"/>
  <c r="T110" i="67"/>
  <c r="T88" i="67"/>
  <c r="T86" i="67" s="1"/>
  <c r="T48" i="67"/>
  <c r="T41" i="67"/>
  <c r="T27" i="67"/>
  <c r="T17" i="67"/>
  <c r="T6" i="67" s="1"/>
  <c r="T88" i="68"/>
  <c r="T86" i="68" s="1"/>
  <c r="T68" i="68"/>
  <c r="T59" i="68"/>
  <c r="T48" i="68"/>
  <c r="T41" i="68" s="1"/>
  <c r="T17" i="68"/>
  <c r="T88" i="66"/>
  <c r="T86" i="66" s="1"/>
  <c r="T68" i="66"/>
  <c r="T27" i="66"/>
  <c r="T17" i="66"/>
  <c r="T6" i="66"/>
  <c r="T97" i="65"/>
  <c r="T88" i="65"/>
  <c r="T86" i="65" s="1"/>
  <c r="T68" i="65"/>
  <c r="T61" i="65"/>
  <c r="T48" i="65"/>
  <c r="T41" i="65" s="1"/>
  <c r="T6" i="65"/>
  <c r="T61" i="64"/>
  <c r="T68" i="64"/>
  <c r="T78" i="64"/>
  <c r="T88" i="64"/>
  <c r="T97" i="64"/>
  <c r="T86" i="64"/>
  <c r="T59" i="64"/>
  <c r="T110" i="63"/>
  <c r="T97" i="63"/>
  <c r="T88" i="63"/>
  <c r="T86" i="63" s="1"/>
  <c r="T61" i="63"/>
  <c r="T59" i="63" s="1"/>
  <c r="T41" i="63"/>
  <c r="T17" i="63"/>
  <c r="T110" i="62"/>
  <c r="T97" i="62"/>
  <c r="T88" i="62"/>
  <c r="T48" i="62"/>
  <c r="T17" i="62"/>
  <c r="T6" i="62"/>
  <c r="T110" i="60"/>
  <c r="T123" i="60"/>
  <c r="T97" i="60"/>
  <c r="T88" i="60"/>
  <c r="T86" i="60" s="1"/>
  <c r="T61" i="60"/>
  <c r="T59" i="60" s="1"/>
  <c r="T48" i="60"/>
  <c r="T41" i="60"/>
  <c r="T8" i="60"/>
  <c r="T6" i="60" s="1"/>
  <c r="T97" i="61"/>
  <c r="T88" i="61"/>
  <c r="T61" i="61"/>
  <c r="T59" i="61" s="1"/>
  <c r="T41" i="61"/>
  <c r="T6" i="61"/>
  <c r="T110" i="59"/>
  <c r="T88" i="59"/>
  <c r="T86" i="59" s="1"/>
  <c r="T68" i="59"/>
  <c r="T48" i="59"/>
  <c r="T41" i="59"/>
  <c r="T27" i="59"/>
  <c r="T17" i="59"/>
  <c r="T8" i="59"/>
  <c r="T6" i="59" s="1"/>
  <c r="H120" i="58"/>
  <c r="T120" i="58" s="1"/>
  <c r="T123" i="58"/>
  <c r="H123" i="58"/>
  <c r="T110" i="58"/>
  <c r="T68" i="58"/>
  <c r="T61" i="58"/>
  <c r="T41" i="58"/>
  <c r="T27" i="58"/>
  <c r="T17" i="58"/>
  <c r="T6" i="58"/>
  <c r="T39" i="58" s="1"/>
  <c r="T57" i="58" s="1"/>
  <c r="T121" i="57"/>
  <c r="T120" i="57"/>
  <c r="T123" i="57" s="1"/>
  <c r="H123" i="57"/>
  <c r="T97" i="57"/>
  <c r="T88" i="57"/>
  <c r="T86" i="57" s="1"/>
  <c r="T68" i="57"/>
  <c r="T41" i="57"/>
  <c r="T27" i="57"/>
  <c r="T17" i="57"/>
  <c r="T6" i="57"/>
  <c r="T39" i="57" s="1"/>
  <c r="T57" i="57" s="1"/>
  <c r="H120" i="56"/>
  <c r="T120" i="56" s="1"/>
  <c r="T123" i="56" s="1"/>
  <c r="H123" i="56"/>
  <c r="T97" i="56"/>
  <c r="T88" i="56"/>
  <c r="T68" i="56"/>
  <c r="T61" i="56"/>
  <c r="T59" i="56" s="1"/>
  <c r="T48" i="56"/>
  <c r="T27" i="56"/>
  <c r="T17" i="56"/>
  <c r="T6" i="56" s="1"/>
  <c r="T39" i="56" s="1"/>
  <c r="T68" i="55"/>
  <c r="T78" i="55"/>
  <c r="T61" i="55"/>
  <c r="T59" i="70"/>
  <c r="T59" i="69"/>
  <c r="T86" i="69"/>
  <c r="T39" i="69"/>
  <c r="T57" i="69" s="1"/>
  <c r="T6" i="68"/>
  <c r="T39" i="68" s="1"/>
  <c r="T59" i="67"/>
  <c r="T59" i="66"/>
  <c r="T39" i="66"/>
  <c r="T57" i="66" s="1"/>
  <c r="T59" i="65"/>
  <c r="T39" i="65"/>
  <c r="T39" i="64"/>
  <c r="T57" i="64" s="1"/>
  <c r="T6" i="63"/>
  <c r="T39" i="63" s="1"/>
  <c r="T57" i="63" s="1"/>
  <c r="T84" i="63" s="1"/>
  <c r="T41" i="62"/>
  <c r="T86" i="62"/>
  <c r="T39" i="62"/>
  <c r="T59" i="62"/>
  <c r="T39" i="61"/>
  <c r="T57" i="61" s="1"/>
  <c r="T86" i="61"/>
  <c r="T39" i="60"/>
  <c r="T57" i="60" s="1"/>
  <c r="T59" i="59"/>
  <c r="T86" i="58"/>
  <c r="T59" i="58"/>
  <c r="T59" i="57"/>
  <c r="T41" i="56"/>
  <c r="T86" i="56"/>
  <c r="T88" i="55"/>
  <c r="T86" i="55" s="1"/>
  <c r="T48" i="55"/>
  <c r="T41" i="55" s="1"/>
  <c r="T97" i="55"/>
  <c r="T8" i="55"/>
  <c r="T17" i="55"/>
  <c r="T27" i="55"/>
  <c r="T6" i="55"/>
  <c r="T39" i="55" s="1"/>
  <c r="T57" i="55" s="1"/>
  <c r="T59" i="55"/>
  <c r="T39" i="70" l="1"/>
  <c r="T57" i="70" s="1"/>
  <c r="T84" i="70" s="1"/>
  <c r="T84" i="69"/>
  <c r="T39" i="67"/>
  <c r="T57" i="67" s="1"/>
  <c r="T84" i="67" s="1"/>
  <c r="T57" i="68"/>
  <c r="T84" i="68" s="1"/>
  <c r="T82" i="68" s="1"/>
  <c r="T84" i="66"/>
  <c r="T57" i="65"/>
  <c r="T84" i="65" s="1"/>
  <c r="T82" i="65" s="1"/>
  <c r="T84" i="64"/>
  <c r="T57" i="62"/>
  <c r="T84" i="60"/>
  <c r="T108" i="60" s="1"/>
  <c r="T117" i="60" s="1"/>
  <c r="T39" i="59"/>
  <c r="T57" i="59" s="1"/>
  <c r="T84" i="59" s="1"/>
  <c r="T82" i="59" s="1"/>
  <c r="T82" i="69"/>
  <c r="T108" i="69"/>
  <c r="T117" i="69" s="1"/>
  <c r="T82" i="66"/>
  <c r="T108" i="66"/>
  <c r="T117" i="66" s="1"/>
  <c r="T82" i="64"/>
  <c r="T108" i="64"/>
  <c r="T117" i="64" s="1"/>
  <c r="T82" i="63"/>
  <c r="T108" i="63"/>
  <c r="T117" i="63" s="1"/>
  <c r="T84" i="62"/>
  <c r="T84" i="61"/>
  <c r="T84" i="58"/>
  <c r="T84" i="57"/>
  <c r="T57" i="56"/>
  <c r="T84" i="56" s="1"/>
  <c r="T84" i="55"/>
  <c r="T82" i="55" s="1"/>
  <c r="T82" i="70" l="1"/>
  <c r="T108" i="70"/>
  <c r="T117" i="70" s="1"/>
  <c r="T108" i="65"/>
  <c r="T117" i="65" s="1"/>
  <c r="T108" i="67"/>
  <c r="T117" i="67" s="1"/>
  <c r="T82" i="67"/>
  <c r="T108" i="68"/>
  <c r="T117" i="68" s="1"/>
  <c r="T82" i="60"/>
  <c r="T108" i="59"/>
  <c r="T117" i="59" s="1"/>
  <c r="T82" i="62"/>
  <c r="T108" i="62"/>
  <c r="T117" i="62" s="1"/>
  <c r="T82" i="61"/>
  <c r="T108" i="61"/>
  <c r="T117" i="61" s="1"/>
  <c r="T82" i="58"/>
  <c r="T108" i="58"/>
  <c r="T117" i="58" s="1"/>
  <c r="T82" i="57"/>
  <c r="T108" i="57"/>
  <c r="T117" i="57" s="1"/>
  <c r="T108" i="56"/>
  <c r="T117" i="56" s="1"/>
  <c r="T82" i="56"/>
  <c r="T108" i="55"/>
  <c r="T117" i="55" s="1"/>
  <c r="I6" i="56" l="1"/>
  <c r="I6" i="57"/>
  <c r="I6" i="58"/>
  <c r="I6" i="59"/>
  <c r="I6" i="60"/>
  <c r="I6" i="61"/>
  <c r="F6" i="61"/>
  <c r="E6" i="61"/>
  <c r="D6" i="61"/>
  <c r="C6" i="61"/>
  <c r="I6" i="62"/>
  <c r="I6" i="63"/>
  <c r="I6" i="64"/>
  <c r="G6" i="64"/>
  <c r="F6" i="64"/>
  <c r="E6" i="64"/>
  <c r="D6" i="64"/>
  <c r="C6" i="64"/>
  <c r="I6" i="65"/>
  <c r="I6" i="66"/>
  <c r="I6" i="67"/>
  <c r="C6" i="67"/>
  <c r="C39" i="67" s="1"/>
  <c r="H6" i="68"/>
  <c r="D6" i="68"/>
  <c r="O6" i="68"/>
  <c r="N6" i="68"/>
  <c r="M6" i="68"/>
  <c r="L6" i="68"/>
  <c r="K6" i="68"/>
  <c r="J6" i="68"/>
  <c r="I6" i="68"/>
  <c r="H6" i="69"/>
  <c r="H39" i="69" s="1"/>
  <c r="H57" i="69" s="1"/>
  <c r="G6" i="69"/>
  <c r="G39" i="69" s="1"/>
  <c r="G57" i="69" s="1"/>
  <c r="F6" i="69"/>
  <c r="F39" i="69" s="1"/>
  <c r="F57" i="69" s="1"/>
  <c r="E6" i="69"/>
  <c r="E39" i="69" s="1"/>
  <c r="E57" i="69" s="1"/>
  <c r="D6" i="69"/>
  <c r="D39" i="69" s="1"/>
  <c r="D57" i="69" s="1"/>
  <c r="C6" i="69"/>
  <c r="C39" i="69" s="1"/>
  <c r="C57" i="69" s="1"/>
  <c r="I110" i="70"/>
  <c r="I97" i="70"/>
  <c r="H97" i="70"/>
  <c r="H86" i="70" s="1"/>
  <c r="G97" i="70"/>
  <c r="F97" i="70"/>
  <c r="E97" i="70"/>
  <c r="D97" i="70"/>
  <c r="C97" i="70"/>
  <c r="I88" i="70"/>
  <c r="H88" i="70"/>
  <c r="G88" i="70"/>
  <c r="F88" i="70"/>
  <c r="E88" i="70"/>
  <c r="D88" i="70"/>
  <c r="C88" i="70"/>
  <c r="I78" i="70"/>
  <c r="H78" i="70"/>
  <c r="G78" i="70"/>
  <c r="F78" i="70"/>
  <c r="E78" i="70"/>
  <c r="D78" i="70"/>
  <c r="C78" i="70"/>
  <c r="I68" i="70"/>
  <c r="H68" i="70"/>
  <c r="G68" i="70"/>
  <c r="F68" i="70"/>
  <c r="E68" i="70"/>
  <c r="D68" i="70"/>
  <c r="C68" i="70"/>
  <c r="I61" i="70"/>
  <c r="H61" i="70"/>
  <c r="G61" i="70"/>
  <c r="F61" i="70"/>
  <c r="E61" i="70"/>
  <c r="D61" i="70"/>
  <c r="C61" i="70"/>
  <c r="I48" i="70"/>
  <c r="I41" i="70" s="1"/>
  <c r="H48" i="70"/>
  <c r="H41" i="70" s="1"/>
  <c r="G48" i="70"/>
  <c r="G41" i="70" s="1"/>
  <c r="F48" i="70"/>
  <c r="F41" i="70" s="1"/>
  <c r="E48" i="70"/>
  <c r="D48" i="70"/>
  <c r="D41" i="70" s="1"/>
  <c r="C48" i="70"/>
  <c r="C41" i="70" s="1"/>
  <c r="E41" i="70"/>
  <c r="I27" i="70"/>
  <c r="H27" i="70"/>
  <c r="G27" i="70"/>
  <c r="F27" i="70"/>
  <c r="E27" i="70"/>
  <c r="D27" i="70"/>
  <c r="C27" i="70"/>
  <c r="I17" i="70"/>
  <c r="H17" i="70"/>
  <c r="G17" i="70"/>
  <c r="F17" i="70"/>
  <c r="E17" i="70"/>
  <c r="D17" i="70"/>
  <c r="C17" i="70"/>
  <c r="I8" i="70"/>
  <c r="H8" i="70"/>
  <c r="G8" i="70"/>
  <c r="G6" i="70" s="1"/>
  <c r="F8" i="70"/>
  <c r="E8" i="70"/>
  <c r="E6" i="70" s="1"/>
  <c r="D8" i="70"/>
  <c r="C8" i="70"/>
  <c r="C6" i="70" s="1"/>
  <c r="I110" i="69"/>
  <c r="I97" i="69"/>
  <c r="H97" i="69"/>
  <c r="G97" i="69"/>
  <c r="F97" i="69"/>
  <c r="F86" i="69" s="1"/>
  <c r="E97" i="69"/>
  <c r="D97" i="69"/>
  <c r="C97" i="69"/>
  <c r="I88" i="69"/>
  <c r="H88" i="69"/>
  <c r="G88" i="69"/>
  <c r="F88" i="69"/>
  <c r="E88" i="69"/>
  <c r="D88" i="69"/>
  <c r="C88" i="69"/>
  <c r="I78" i="69"/>
  <c r="H78" i="69"/>
  <c r="G78" i="69"/>
  <c r="F78" i="69"/>
  <c r="E78" i="69"/>
  <c r="D78" i="69"/>
  <c r="C78" i="69"/>
  <c r="I68" i="69"/>
  <c r="H68" i="69"/>
  <c r="G68" i="69"/>
  <c r="F68" i="69"/>
  <c r="E68" i="69"/>
  <c r="D68" i="69"/>
  <c r="C68" i="69"/>
  <c r="I61" i="69"/>
  <c r="H61" i="69"/>
  <c r="G61" i="69"/>
  <c r="F61" i="69"/>
  <c r="E61" i="69"/>
  <c r="D61" i="69"/>
  <c r="C61" i="69"/>
  <c r="I48" i="69"/>
  <c r="I41" i="69" s="1"/>
  <c r="I27" i="69"/>
  <c r="I17" i="69"/>
  <c r="I8" i="69"/>
  <c r="I6" i="69" s="1"/>
  <c r="I110" i="68"/>
  <c r="I97" i="68"/>
  <c r="I86" i="68" s="1"/>
  <c r="H97" i="68"/>
  <c r="G97" i="68"/>
  <c r="F97" i="68"/>
  <c r="E97" i="68"/>
  <c r="D97" i="68"/>
  <c r="C97" i="68"/>
  <c r="I88" i="68"/>
  <c r="H88" i="68"/>
  <c r="G88" i="68"/>
  <c r="F88" i="68"/>
  <c r="E88" i="68"/>
  <c r="D88" i="68"/>
  <c r="C88" i="68"/>
  <c r="C86" i="68" s="1"/>
  <c r="I78" i="68"/>
  <c r="H78" i="68"/>
  <c r="G78" i="68"/>
  <c r="F78" i="68"/>
  <c r="E78" i="68"/>
  <c r="D78" i="68"/>
  <c r="C78" i="68"/>
  <c r="I68" i="68"/>
  <c r="H68" i="68"/>
  <c r="G68" i="68"/>
  <c r="F68" i="68"/>
  <c r="E68" i="68"/>
  <c r="D68" i="68"/>
  <c r="C68" i="68"/>
  <c r="I61" i="68"/>
  <c r="H61" i="68"/>
  <c r="G61" i="68"/>
  <c r="F61" i="68"/>
  <c r="E61" i="68"/>
  <c r="D61" i="68"/>
  <c r="C61" i="68"/>
  <c r="I48" i="68"/>
  <c r="I41" i="68" s="1"/>
  <c r="H48" i="68"/>
  <c r="H41" i="68" s="1"/>
  <c r="G48" i="68"/>
  <c r="G41" i="68" s="1"/>
  <c r="F48" i="68"/>
  <c r="F41" i="68" s="1"/>
  <c r="E48" i="68"/>
  <c r="E41" i="68" s="1"/>
  <c r="D48" i="68"/>
  <c r="D41" i="68" s="1"/>
  <c r="C48" i="68"/>
  <c r="C41" i="68" s="1"/>
  <c r="I27" i="68"/>
  <c r="H27" i="68"/>
  <c r="G27" i="68"/>
  <c r="F27" i="68"/>
  <c r="E27" i="68"/>
  <c r="D27" i="68"/>
  <c r="C27" i="68"/>
  <c r="I17" i="68"/>
  <c r="H17" i="68"/>
  <c r="G17" i="68"/>
  <c r="F17" i="68"/>
  <c r="E17" i="68"/>
  <c r="D17" i="68"/>
  <c r="C17" i="68"/>
  <c r="I8" i="68"/>
  <c r="H8" i="68"/>
  <c r="G8" i="68"/>
  <c r="G6" i="68" s="1"/>
  <c r="F8" i="68"/>
  <c r="F6" i="68" s="1"/>
  <c r="E8" i="68"/>
  <c r="E6" i="68" s="1"/>
  <c r="D8" i="68"/>
  <c r="C8" i="68"/>
  <c r="C86" i="70" l="1"/>
  <c r="C59" i="70"/>
  <c r="C86" i="69"/>
  <c r="C59" i="69"/>
  <c r="C59" i="68"/>
  <c r="C6" i="68"/>
  <c r="C39" i="70"/>
  <c r="C57" i="70" s="1"/>
  <c r="C84" i="70" s="1"/>
  <c r="D6" i="70"/>
  <c r="D86" i="70"/>
  <c r="D59" i="70"/>
  <c r="D39" i="70"/>
  <c r="D57" i="70" s="1"/>
  <c r="D86" i="69"/>
  <c r="D86" i="68"/>
  <c r="D59" i="68"/>
  <c r="D39" i="68"/>
  <c r="D57" i="68" s="1"/>
  <c r="E86" i="70"/>
  <c r="E59" i="70"/>
  <c r="E39" i="70"/>
  <c r="E57" i="70" s="1"/>
  <c r="E84" i="70" s="1"/>
  <c r="E108" i="70" s="1"/>
  <c r="E117" i="70" s="1"/>
  <c r="E86" i="69"/>
  <c r="E59" i="69"/>
  <c r="E84" i="69" s="1"/>
  <c r="E82" i="69" s="1"/>
  <c r="E86" i="68"/>
  <c r="E59" i="68"/>
  <c r="E39" i="68"/>
  <c r="E57" i="68" s="1"/>
  <c r="E84" i="68" s="1"/>
  <c r="E108" i="68" s="1"/>
  <c r="E117" i="68" s="1"/>
  <c r="E121" i="68" s="1"/>
  <c r="E120" i="68" s="1"/>
  <c r="E123" i="68" s="1"/>
  <c r="F86" i="70"/>
  <c r="F59" i="70"/>
  <c r="F6" i="70"/>
  <c r="F39" i="70" s="1"/>
  <c r="F57" i="70" s="1"/>
  <c r="F59" i="69"/>
  <c r="F86" i="68"/>
  <c r="F59" i="68"/>
  <c r="F39" i="68"/>
  <c r="F57" i="68" s="1"/>
  <c r="G86" i="70"/>
  <c r="G59" i="70"/>
  <c r="G86" i="69"/>
  <c r="G59" i="69"/>
  <c r="G84" i="69" s="1"/>
  <c r="G86" i="68"/>
  <c r="G59" i="68"/>
  <c r="H59" i="70"/>
  <c r="H6" i="70"/>
  <c r="H39" i="70" s="1"/>
  <c r="H57" i="70" s="1"/>
  <c r="H84" i="70" s="1"/>
  <c r="H108" i="70" s="1"/>
  <c r="H117" i="70" s="1"/>
  <c r="H86" i="69"/>
  <c r="H59" i="69"/>
  <c r="H84" i="69" s="1"/>
  <c r="D59" i="69"/>
  <c r="D84" i="69" s="1"/>
  <c r="D82" i="69" s="1"/>
  <c r="H86" i="68"/>
  <c r="H59" i="68"/>
  <c r="I86" i="70"/>
  <c r="I59" i="70"/>
  <c r="I6" i="70"/>
  <c r="I86" i="69"/>
  <c r="I59" i="69"/>
  <c r="G39" i="68"/>
  <c r="G57" i="68" s="1"/>
  <c r="H39" i="68"/>
  <c r="H57" i="68" s="1"/>
  <c r="H84" i="68" s="1"/>
  <c r="H82" i="68" s="1"/>
  <c r="C39" i="68"/>
  <c r="C57" i="68" s="1"/>
  <c r="C84" i="68" s="1"/>
  <c r="I59" i="68"/>
  <c r="I39" i="68"/>
  <c r="I57" i="68" s="1"/>
  <c r="I39" i="70"/>
  <c r="I57" i="70" s="1"/>
  <c r="G39" i="70"/>
  <c r="G57" i="70" s="1"/>
  <c r="G84" i="70" s="1"/>
  <c r="I39" i="69"/>
  <c r="I57" i="69" s="1"/>
  <c r="I84" i="69" s="1"/>
  <c r="E108" i="69"/>
  <c r="E117" i="69" s="1"/>
  <c r="F84" i="69"/>
  <c r="C84" i="69"/>
  <c r="D84" i="70" l="1"/>
  <c r="D84" i="68"/>
  <c r="E82" i="70"/>
  <c r="E82" i="68"/>
  <c r="F84" i="70"/>
  <c r="F84" i="68"/>
  <c r="F108" i="68" s="1"/>
  <c r="F117" i="68" s="1"/>
  <c r="F121" i="68" s="1"/>
  <c r="F120" i="68" s="1"/>
  <c r="F123" i="68" s="1"/>
  <c r="F82" i="68"/>
  <c r="G84" i="68"/>
  <c r="G108" i="68" s="1"/>
  <c r="G117" i="68" s="1"/>
  <c r="G121" i="68" s="1"/>
  <c r="G120" i="68" s="1"/>
  <c r="G123" i="68" s="1"/>
  <c r="H82" i="70"/>
  <c r="H82" i="69"/>
  <c r="H108" i="69"/>
  <c r="H117" i="69" s="1"/>
  <c r="D108" i="69"/>
  <c r="D117" i="69" s="1"/>
  <c r="I84" i="70"/>
  <c r="I108" i="70" s="1"/>
  <c r="I117" i="70" s="1"/>
  <c r="H108" i="68"/>
  <c r="I84" i="68"/>
  <c r="I82" i="68"/>
  <c r="I108" i="68"/>
  <c r="I117" i="68" s="1"/>
  <c r="I121" i="68" s="1"/>
  <c r="I120" i="68" s="1"/>
  <c r="I123" i="68" s="1"/>
  <c r="C108" i="70"/>
  <c r="C117" i="70" s="1"/>
  <c r="C82" i="70"/>
  <c r="G82" i="70"/>
  <c r="G108" i="70"/>
  <c r="G117" i="70" s="1"/>
  <c r="F108" i="70"/>
  <c r="F117" i="70" s="1"/>
  <c r="F82" i="70"/>
  <c r="G82" i="69"/>
  <c r="G108" i="69"/>
  <c r="G117" i="69" s="1"/>
  <c r="F108" i="69"/>
  <c r="F117" i="69" s="1"/>
  <c r="F82" i="69"/>
  <c r="C108" i="69"/>
  <c r="C117" i="69" s="1"/>
  <c r="C82" i="69"/>
  <c r="I82" i="69"/>
  <c r="I108" i="69"/>
  <c r="I117" i="69" s="1"/>
  <c r="D108" i="68"/>
  <c r="D117" i="68" s="1"/>
  <c r="D121" i="68" s="1"/>
  <c r="D120" i="68" s="1"/>
  <c r="D123" i="68" s="1"/>
  <c r="D82" i="68"/>
  <c r="C108" i="68"/>
  <c r="C117" i="68" s="1"/>
  <c r="C121" i="68" s="1"/>
  <c r="C120" i="68" s="1"/>
  <c r="C123" i="68" s="1"/>
  <c r="C82" i="68"/>
  <c r="D108" i="70" l="1"/>
  <c r="D117" i="70" s="1"/>
  <c r="D82" i="70"/>
  <c r="G82" i="68"/>
  <c r="I82" i="70"/>
  <c r="I110" i="67" l="1"/>
  <c r="I97" i="67"/>
  <c r="H97" i="67"/>
  <c r="G97" i="67"/>
  <c r="F97" i="67"/>
  <c r="E97" i="67"/>
  <c r="D97" i="67"/>
  <c r="C97" i="67"/>
  <c r="I88" i="67"/>
  <c r="H88" i="67"/>
  <c r="G88" i="67"/>
  <c r="F88" i="67"/>
  <c r="E88" i="67"/>
  <c r="D88" i="67"/>
  <c r="C88" i="67"/>
  <c r="H86" i="67"/>
  <c r="I78" i="67"/>
  <c r="H78" i="67"/>
  <c r="G78" i="67"/>
  <c r="F78" i="67"/>
  <c r="F59" i="67" s="1"/>
  <c r="E78" i="67"/>
  <c r="D78" i="67"/>
  <c r="C78" i="67"/>
  <c r="I68" i="67"/>
  <c r="H68" i="67"/>
  <c r="G68" i="67"/>
  <c r="F68" i="67"/>
  <c r="E68" i="67"/>
  <c r="D68" i="67"/>
  <c r="C68" i="67"/>
  <c r="I61" i="67"/>
  <c r="H61" i="67"/>
  <c r="G61" i="67"/>
  <c r="F61" i="67"/>
  <c r="E61" i="67"/>
  <c r="D61" i="67"/>
  <c r="C61" i="67"/>
  <c r="I48" i="67"/>
  <c r="I41" i="67" s="1"/>
  <c r="H48" i="67"/>
  <c r="H41" i="67" s="1"/>
  <c r="G48" i="67"/>
  <c r="G41" i="67" s="1"/>
  <c r="F48" i="67"/>
  <c r="F41" i="67" s="1"/>
  <c r="E48" i="67"/>
  <c r="E41" i="67" s="1"/>
  <c r="D48" i="67"/>
  <c r="D41" i="67" s="1"/>
  <c r="C48" i="67"/>
  <c r="C41" i="67" s="1"/>
  <c r="C57" i="67" s="1"/>
  <c r="I27" i="67"/>
  <c r="H27" i="67"/>
  <c r="G27" i="67"/>
  <c r="F27" i="67"/>
  <c r="E27" i="67"/>
  <c r="D27" i="67"/>
  <c r="I17" i="67"/>
  <c r="H17" i="67"/>
  <c r="G17" i="67"/>
  <c r="F17" i="67"/>
  <c r="E17" i="67"/>
  <c r="D17" i="67"/>
  <c r="I8" i="67"/>
  <c r="H8" i="67"/>
  <c r="G8" i="67"/>
  <c r="G6" i="67" s="1"/>
  <c r="F8" i="67"/>
  <c r="E8" i="67"/>
  <c r="D8" i="67"/>
  <c r="I110" i="66"/>
  <c r="I97" i="66"/>
  <c r="I88" i="66"/>
  <c r="I86" i="66" s="1"/>
  <c r="I78" i="66"/>
  <c r="I68" i="66"/>
  <c r="I61" i="66"/>
  <c r="I59" i="66" s="1"/>
  <c r="I48" i="66"/>
  <c r="I41" i="66"/>
  <c r="I27" i="66"/>
  <c r="I17" i="66"/>
  <c r="I8" i="66"/>
  <c r="I39" i="66" s="1"/>
  <c r="I57" i="66" s="1"/>
  <c r="H97" i="66"/>
  <c r="G97" i="66"/>
  <c r="F97" i="66"/>
  <c r="E97" i="66"/>
  <c r="D97" i="66"/>
  <c r="D86" i="66" s="1"/>
  <c r="C97" i="66"/>
  <c r="H88" i="66"/>
  <c r="H86" i="66" s="1"/>
  <c r="G88" i="66"/>
  <c r="F88" i="66"/>
  <c r="F86" i="66" s="1"/>
  <c r="E88" i="66"/>
  <c r="D88" i="66"/>
  <c r="C88" i="66"/>
  <c r="E86" i="66"/>
  <c r="H78" i="66"/>
  <c r="G78" i="66"/>
  <c r="F78" i="66"/>
  <c r="E78" i="66"/>
  <c r="D78" i="66"/>
  <c r="C78" i="66"/>
  <c r="H68" i="66"/>
  <c r="G68" i="66"/>
  <c r="F68" i="66"/>
  <c r="E68" i="66"/>
  <c r="D68" i="66"/>
  <c r="C68" i="66"/>
  <c r="H61" i="66"/>
  <c r="G61" i="66"/>
  <c r="F61" i="66"/>
  <c r="E61" i="66"/>
  <c r="D61" i="66"/>
  <c r="D59" i="66" s="1"/>
  <c r="C61" i="66"/>
  <c r="H48" i="66"/>
  <c r="H41" i="66" s="1"/>
  <c r="G48" i="66"/>
  <c r="G41" i="66" s="1"/>
  <c r="F48" i="66"/>
  <c r="F41" i="66" s="1"/>
  <c r="E48" i="66"/>
  <c r="E41" i="66" s="1"/>
  <c r="D48" i="66"/>
  <c r="D41" i="66" s="1"/>
  <c r="C48" i="66"/>
  <c r="C41" i="66" s="1"/>
  <c r="H27" i="66"/>
  <c r="G27" i="66"/>
  <c r="F27" i="66"/>
  <c r="E27" i="66"/>
  <c r="D27" i="66"/>
  <c r="C27" i="66"/>
  <c r="H17" i="66"/>
  <c r="G17" i="66"/>
  <c r="F17" i="66"/>
  <c r="E17" i="66"/>
  <c r="D17" i="66"/>
  <c r="C17" i="66"/>
  <c r="H8" i="66"/>
  <c r="H6" i="66" s="1"/>
  <c r="G8" i="66"/>
  <c r="F8" i="66"/>
  <c r="F6" i="66" s="1"/>
  <c r="F39" i="66" s="1"/>
  <c r="E8" i="66"/>
  <c r="D8" i="66"/>
  <c r="D6" i="66" s="1"/>
  <c r="C8" i="66"/>
  <c r="C6" i="66" s="1"/>
  <c r="I110" i="65"/>
  <c r="I97" i="65"/>
  <c r="H97" i="65"/>
  <c r="H86" i="65" s="1"/>
  <c r="G97" i="65"/>
  <c r="F97" i="65"/>
  <c r="E97" i="65"/>
  <c r="D97" i="65"/>
  <c r="C97" i="65"/>
  <c r="I88" i="65"/>
  <c r="H88" i="65"/>
  <c r="G88" i="65"/>
  <c r="F88" i="65"/>
  <c r="E88" i="65"/>
  <c r="D88" i="65"/>
  <c r="C88" i="65"/>
  <c r="I78" i="65"/>
  <c r="H78" i="65"/>
  <c r="G78" i="65"/>
  <c r="F78" i="65"/>
  <c r="E78" i="65"/>
  <c r="D78" i="65"/>
  <c r="C78" i="65"/>
  <c r="I68" i="65"/>
  <c r="H68" i="65"/>
  <c r="G68" i="65"/>
  <c r="F68" i="65"/>
  <c r="E68" i="65"/>
  <c r="D68" i="65"/>
  <c r="C68" i="65"/>
  <c r="I61" i="65"/>
  <c r="H61" i="65"/>
  <c r="G61" i="65"/>
  <c r="G59" i="65" s="1"/>
  <c r="F61" i="65"/>
  <c r="E61" i="65"/>
  <c r="D61" i="65"/>
  <c r="C61" i="65"/>
  <c r="I48" i="65"/>
  <c r="I41" i="65" s="1"/>
  <c r="H48" i="65"/>
  <c r="H41" i="65" s="1"/>
  <c r="G48" i="65"/>
  <c r="F48" i="65"/>
  <c r="F41" i="65" s="1"/>
  <c r="E48" i="65"/>
  <c r="E41" i="65" s="1"/>
  <c r="D48" i="65"/>
  <c r="D41" i="65" s="1"/>
  <c r="C48" i="65"/>
  <c r="C41" i="65" s="1"/>
  <c r="G41" i="65"/>
  <c r="I27" i="65"/>
  <c r="H27" i="65"/>
  <c r="G27" i="65"/>
  <c r="F27" i="65"/>
  <c r="E27" i="65"/>
  <c r="D27" i="65"/>
  <c r="C27" i="65"/>
  <c r="I17" i="65"/>
  <c r="H17" i="65"/>
  <c r="G17" i="65"/>
  <c r="F17" i="65"/>
  <c r="E17" i="65"/>
  <c r="D17" i="65"/>
  <c r="C17" i="65"/>
  <c r="I8" i="65"/>
  <c r="H8" i="65"/>
  <c r="H6" i="65" s="1"/>
  <c r="G8" i="65"/>
  <c r="F8" i="65"/>
  <c r="E8" i="65"/>
  <c r="E6" i="65" s="1"/>
  <c r="D8" i="65"/>
  <c r="C8" i="65"/>
  <c r="C6" i="65" s="1"/>
  <c r="I110" i="64"/>
  <c r="I97" i="64"/>
  <c r="H97" i="64"/>
  <c r="G97" i="64"/>
  <c r="G86" i="64" s="1"/>
  <c r="F97" i="64"/>
  <c r="E97" i="64"/>
  <c r="D97" i="64"/>
  <c r="C97" i="64"/>
  <c r="I88" i="64"/>
  <c r="H88" i="64"/>
  <c r="G88" i="64"/>
  <c r="F88" i="64"/>
  <c r="F86" i="64" s="1"/>
  <c r="E88" i="64"/>
  <c r="E86" i="64" s="1"/>
  <c r="D88" i="64"/>
  <c r="C88" i="64"/>
  <c r="C86" i="64" s="1"/>
  <c r="I86" i="64"/>
  <c r="D86" i="64"/>
  <c r="I78" i="64"/>
  <c r="H78" i="64"/>
  <c r="G78" i="64"/>
  <c r="F78" i="64"/>
  <c r="F59" i="64" s="1"/>
  <c r="E78" i="64"/>
  <c r="D78" i="64"/>
  <c r="C78" i="64"/>
  <c r="I68" i="64"/>
  <c r="I59" i="64" s="1"/>
  <c r="H68" i="64"/>
  <c r="G68" i="64"/>
  <c r="F68" i="64"/>
  <c r="E68" i="64"/>
  <c r="D68" i="64"/>
  <c r="C68" i="64"/>
  <c r="I61" i="64"/>
  <c r="H61" i="64"/>
  <c r="G61" i="64"/>
  <c r="G59" i="64" s="1"/>
  <c r="F61" i="64"/>
  <c r="E61" i="64"/>
  <c r="E59" i="64" s="1"/>
  <c r="D61" i="64"/>
  <c r="D59" i="64" s="1"/>
  <c r="C61" i="64"/>
  <c r="C59" i="64"/>
  <c r="I48" i="64"/>
  <c r="I41" i="64" s="1"/>
  <c r="H48" i="64"/>
  <c r="G48" i="64"/>
  <c r="F48" i="64"/>
  <c r="E48" i="64"/>
  <c r="E41" i="64" s="1"/>
  <c r="D48" i="64"/>
  <c r="D41" i="64" s="1"/>
  <c r="C48" i="64"/>
  <c r="H41" i="64"/>
  <c r="G41" i="64"/>
  <c r="F41" i="64"/>
  <c r="C41" i="64"/>
  <c r="I27" i="64"/>
  <c r="H27" i="64"/>
  <c r="G27" i="64"/>
  <c r="F27" i="64"/>
  <c r="F39" i="64" s="1"/>
  <c r="F57" i="64" s="1"/>
  <c r="F84" i="64" s="1"/>
  <c r="E27" i="64"/>
  <c r="E39" i="64" s="1"/>
  <c r="E57" i="64" s="1"/>
  <c r="E84" i="64" s="1"/>
  <c r="D27" i="64"/>
  <c r="D39" i="64" s="1"/>
  <c r="D57" i="64" s="1"/>
  <c r="D84" i="64" s="1"/>
  <c r="C27" i="64"/>
  <c r="I17" i="64"/>
  <c r="H17" i="64"/>
  <c r="H6" i="64" s="1"/>
  <c r="G17" i="64"/>
  <c r="F17" i="64"/>
  <c r="E17" i="64"/>
  <c r="D17" i="64"/>
  <c r="C17" i="64"/>
  <c r="I8" i="64"/>
  <c r="H8" i="64"/>
  <c r="G8" i="64"/>
  <c r="G39" i="64" s="1"/>
  <c r="G57" i="64" s="1"/>
  <c r="G84" i="64" s="1"/>
  <c r="F8" i="64"/>
  <c r="E8" i="64"/>
  <c r="D8" i="64"/>
  <c r="C8" i="64"/>
  <c r="C39" i="64"/>
  <c r="C57" i="64" s="1"/>
  <c r="C84" i="64" s="1"/>
  <c r="I110" i="63"/>
  <c r="I97" i="63"/>
  <c r="H97" i="63"/>
  <c r="G97" i="63"/>
  <c r="F97" i="63"/>
  <c r="E97" i="63"/>
  <c r="D97" i="63"/>
  <c r="C97" i="63"/>
  <c r="I88" i="63"/>
  <c r="H88" i="63"/>
  <c r="G88" i="63"/>
  <c r="G86" i="63" s="1"/>
  <c r="F88" i="63"/>
  <c r="E88" i="63"/>
  <c r="E86" i="63" s="1"/>
  <c r="D88" i="63"/>
  <c r="C88" i="63"/>
  <c r="I86" i="63"/>
  <c r="I78" i="63"/>
  <c r="H78" i="63"/>
  <c r="G78" i="63"/>
  <c r="F78" i="63"/>
  <c r="E78" i="63"/>
  <c r="D78" i="63"/>
  <c r="C78" i="63"/>
  <c r="I68" i="63"/>
  <c r="H68" i="63"/>
  <c r="G68" i="63"/>
  <c r="F68" i="63"/>
  <c r="E68" i="63"/>
  <c r="D68" i="63"/>
  <c r="C68" i="63"/>
  <c r="I61" i="63"/>
  <c r="H61" i="63"/>
  <c r="G61" i="63"/>
  <c r="F61" i="63"/>
  <c r="E61" i="63"/>
  <c r="D61" i="63"/>
  <c r="C61" i="63"/>
  <c r="I48" i="63"/>
  <c r="I41" i="63" s="1"/>
  <c r="H48" i="63"/>
  <c r="H41" i="63" s="1"/>
  <c r="G48" i="63"/>
  <c r="G41" i="63" s="1"/>
  <c r="F48" i="63"/>
  <c r="F41" i="63" s="1"/>
  <c r="E48" i="63"/>
  <c r="E41" i="63" s="1"/>
  <c r="D48" i="63"/>
  <c r="D41" i="63" s="1"/>
  <c r="C48" i="63"/>
  <c r="C41" i="63"/>
  <c r="I27" i="63"/>
  <c r="H27" i="63"/>
  <c r="G27" i="63"/>
  <c r="F27" i="63"/>
  <c r="E27" i="63"/>
  <c r="D27" i="63"/>
  <c r="C27" i="63"/>
  <c r="I17" i="63"/>
  <c r="H17" i="63"/>
  <c r="G17" i="63"/>
  <c r="F17" i="63"/>
  <c r="E17" i="63"/>
  <c r="D17" i="63"/>
  <c r="C17" i="63"/>
  <c r="I8" i="63"/>
  <c r="H8" i="63"/>
  <c r="G8" i="63"/>
  <c r="G6" i="63" s="1"/>
  <c r="F8" i="63"/>
  <c r="F6" i="63" s="1"/>
  <c r="E8" i="63"/>
  <c r="E6" i="63" s="1"/>
  <c r="D8" i="63"/>
  <c r="D6" i="63" s="1"/>
  <c r="C8" i="63"/>
  <c r="C6" i="63" s="1"/>
  <c r="I110" i="62"/>
  <c r="I97" i="62"/>
  <c r="H97" i="62"/>
  <c r="G97" i="62"/>
  <c r="E97" i="62"/>
  <c r="D97" i="62"/>
  <c r="C97" i="62"/>
  <c r="I88" i="62"/>
  <c r="H88" i="62"/>
  <c r="H86" i="62" s="1"/>
  <c r="G88" i="62"/>
  <c r="G86" i="62" s="1"/>
  <c r="E88" i="62"/>
  <c r="D88" i="62"/>
  <c r="C88" i="62"/>
  <c r="I78" i="62"/>
  <c r="H78" i="62"/>
  <c r="G78" i="62"/>
  <c r="E78" i="62"/>
  <c r="D78" i="62"/>
  <c r="C78" i="62"/>
  <c r="I68" i="62"/>
  <c r="H68" i="62"/>
  <c r="G68" i="62"/>
  <c r="E68" i="62"/>
  <c r="D68" i="62"/>
  <c r="C68" i="62"/>
  <c r="I61" i="62"/>
  <c r="I59" i="62" s="1"/>
  <c r="H61" i="62"/>
  <c r="G61" i="62"/>
  <c r="E61" i="62"/>
  <c r="D61" i="62"/>
  <c r="C61" i="62"/>
  <c r="I48" i="62"/>
  <c r="I41" i="62" s="1"/>
  <c r="H48" i="62"/>
  <c r="H41" i="62" s="1"/>
  <c r="G48" i="62"/>
  <c r="G41" i="62" s="1"/>
  <c r="E48" i="62"/>
  <c r="E41" i="62" s="1"/>
  <c r="D48" i="62"/>
  <c r="D41" i="62" s="1"/>
  <c r="C48" i="62"/>
  <c r="C41" i="62" s="1"/>
  <c r="I27" i="62"/>
  <c r="H27" i="62"/>
  <c r="G27" i="62"/>
  <c r="E27" i="62"/>
  <c r="D27" i="62"/>
  <c r="C27" i="62"/>
  <c r="I17" i="62"/>
  <c r="H17" i="62"/>
  <c r="G17" i="62"/>
  <c r="E17" i="62"/>
  <c r="D17" i="62"/>
  <c r="C17" i="62"/>
  <c r="I8" i="62"/>
  <c r="H8" i="62"/>
  <c r="G8" i="62"/>
  <c r="E8" i="62"/>
  <c r="E6" i="62" s="1"/>
  <c r="D8" i="62"/>
  <c r="C8" i="62"/>
  <c r="H97" i="61"/>
  <c r="G97" i="61"/>
  <c r="F97" i="61"/>
  <c r="E97" i="61"/>
  <c r="D97" i="61"/>
  <c r="C97" i="61"/>
  <c r="H88" i="61"/>
  <c r="G88" i="61"/>
  <c r="F88" i="61"/>
  <c r="F86" i="61" s="1"/>
  <c r="E88" i="61"/>
  <c r="E86" i="61" s="1"/>
  <c r="D88" i="61"/>
  <c r="C88" i="61"/>
  <c r="D86" i="61"/>
  <c r="C86" i="61"/>
  <c r="H78" i="61"/>
  <c r="G78" i="61"/>
  <c r="F78" i="61"/>
  <c r="E78" i="61"/>
  <c r="D78" i="61"/>
  <c r="C78" i="61"/>
  <c r="H68" i="61"/>
  <c r="H59" i="61" s="1"/>
  <c r="G68" i="61"/>
  <c r="F68" i="61"/>
  <c r="F59" i="61" s="1"/>
  <c r="E68" i="61"/>
  <c r="D68" i="61"/>
  <c r="C68" i="61"/>
  <c r="H61" i="61"/>
  <c r="G61" i="61"/>
  <c r="F61" i="61"/>
  <c r="E61" i="61"/>
  <c r="E59" i="61" s="1"/>
  <c r="D61" i="61"/>
  <c r="D59" i="61" s="1"/>
  <c r="C61" i="61"/>
  <c r="C59" i="61" s="1"/>
  <c r="H48" i="61"/>
  <c r="G48" i="61"/>
  <c r="G41" i="61" s="1"/>
  <c r="F48" i="61"/>
  <c r="F41" i="61" s="1"/>
  <c r="E48" i="61"/>
  <c r="E41" i="61" s="1"/>
  <c r="D48" i="61"/>
  <c r="D41" i="61" s="1"/>
  <c r="C48" i="61"/>
  <c r="C41" i="61" s="1"/>
  <c r="H41" i="61"/>
  <c r="H27" i="61"/>
  <c r="G27" i="61"/>
  <c r="F27" i="61"/>
  <c r="F39" i="61" s="1"/>
  <c r="F57" i="61" s="1"/>
  <c r="E27" i="61"/>
  <c r="D27" i="61"/>
  <c r="D39" i="61" s="1"/>
  <c r="C27" i="61"/>
  <c r="H17" i="61"/>
  <c r="G17" i="61"/>
  <c r="F17" i="61"/>
  <c r="E17" i="61"/>
  <c r="D17" i="61"/>
  <c r="C17" i="61"/>
  <c r="H8" i="61"/>
  <c r="G8" i="61"/>
  <c r="G6" i="61" s="1"/>
  <c r="F8" i="61"/>
  <c r="E8" i="61"/>
  <c r="D8" i="61"/>
  <c r="C8" i="61"/>
  <c r="C39" i="61" s="1"/>
  <c r="H97" i="60"/>
  <c r="H86" i="60" s="1"/>
  <c r="G97" i="60"/>
  <c r="F97" i="60"/>
  <c r="F86" i="60" s="1"/>
  <c r="D97" i="60"/>
  <c r="C97" i="60"/>
  <c r="H88" i="60"/>
  <c r="G88" i="60"/>
  <c r="F88" i="60"/>
  <c r="D88" i="60"/>
  <c r="D86" i="60" s="1"/>
  <c r="C88" i="60"/>
  <c r="C86" i="60" s="1"/>
  <c r="H78" i="60"/>
  <c r="G78" i="60"/>
  <c r="F78" i="60"/>
  <c r="D78" i="60"/>
  <c r="C78" i="60"/>
  <c r="H68" i="60"/>
  <c r="G68" i="60"/>
  <c r="F68" i="60"/>
  <c r="D68" i="60"/>
  <c r="C68" i="60"/>
  <c r="H61" i="60"/>
  <c r="G61" i="60"/>
  <c r="F61" i="60"/>
  <c r="D61" i="60"/>
  <c r="C61" i="60"/>
  <c r="C59" i="60" s="1"/>
  <c r="H48" i="60"/>
  <c r="G48" i="60"/>
  <c r="G41" i="60" s="1"/>
  <c r="F48" i="60"/>
  <c r="D48" i="60"/>
  <c r="D41" i="60" s="1"/>
  <c r="C48" i="60"/>
  <c r="C41" i="60" s="1"/>
  <c r="H41" i="60"/>
  <c r="F41" i="60"/>
  <c r="H27" i="60"/>
  <c r="G27" i="60"/>
  <c r="F27" i="60"/>
  <c r="D27" i="60"/>
  <c r="C27" i="60"/>
  <c r="H17" i="60"/>
  <c r="G17" i="60"/>
  <c r="F17" i="60"/>
  <c r="D17" i="60"/>
  <c r="C17" i="60"/>
  <c r="H8" i="60"/>
  <c r="H6" i="60" s="1"/>
  <c r="G8" i="60"/>
  <c r="G6" i="60" s="1"/>
  <c r="G39" i="60" s="1"/>
  <c r="F8" i="60"/>
  <c r="D8" i="60"/>
  <c r="D6" i="60" s="1"/>
  <c r="C8" i="60"/>
  <c r="C6" i="60" s="1"/>
  <c r="H97" i="59"/>
  <c r="G97" i="59"/>
  <c r="F97" i="59"/>
  <c r="E97" i="59"/>
  <c r="C97" i="59"/>
  <c r="H88" i="59"/>
  <c r="G88" i="59"/>
  <c r="F88" i="59"/>
  <c r="E88" i="59"/>
  <c r="E86" i="59" s="1"/>
  <c r="C88" i="59"/>
  <c r="C86" i="59" s="1"/>
  <c r="H86" i="59"/>
  <c r="H78" i="59"/>
  <c r="G78" i="59"/>
  <c r="F78" i="59"/>
  <c r="E78" i="59"/>
  <c r="E59" i="59" s="1"/>
  <c r="C78" i="59"/>
  <c r="H68" i="59"/>
  <c r="G68" i="59"/>
  <c r="F68" i="59"/>
  <c r="E68" i="59"/>
  <c r="C68" i="59"/>
  <c r="H61" i="59"/>
  <c r="G61" i="59"/>
  <c r="F61" i="59"/>
  <c r="F59" i="59" s="1"/>
  <c r="E61" i="59"/>
  <c r="C61" i="59"/>
  <c r="H48" i="59"/>
  <c r="H41" i="59" s="1"/>
  <c r="G48" i="59"/>
  <c r="F48" i="59"/>
  <c r="F41" i="59" s="1"/>
  <c r="E48" i="59"/>
  <c r="E41" i="59" s="1"/>
  <c r="C48" i="59"/>
  <c r="C41" i="59" s="1"/>
  <c r="G41" i="59"/>
  <c r="H27" i="59"/>
  <c r="G27" i="59"/>
  <c r="F27" i="59"/>
  <c r="E27" i="59"/>
  <c r="C27" i="59"/>
  <c r="H17" i="59"/>
  <c r="G17" i="59"/>
  <c r="F17" i="59"/>
  <c r="E17" i="59"/>
  <c r="C17" i="59"/>
  <c r="H8" i="59"/>
  <c r="H6" i="59" s="1"/>
  <c r="G8" i="59"/>
  <c r="F8" i="59"/>
  <c r="E8" i="59"/>
  <c r="E6" i="59" s="1"/>
  <c r="C8" i="59"/>
  <c r="H97" i="58"/>
  <c r="G97" i="58"/>
  <c r="G86" i="58" s="1"/>
  <c r="F97" i="58"/>
  <c r="E97" i="58"/>
  <c r="D97" i="58"/>
  <c r="H88" i="58"/>
  <c r="H86" i="58" s="1"/>
  <c r="G88" i="58"/>
  <c r="F88" i="58"/>
  <c r="E88" i="58"/>
  <c r="D88" i="58"/>
  <c r="H78" i="58"/>
  <c r="G78" i="58"/>
  <c r="F78" i="58"/>
  <c r="E78" i="58"/>
  <c r="D78" i="58"/>
  <c r="H68" i="58"/>
  <c r="G68" i="58"/>
  <c r="F68" i="58"/>
  <c r="E68" i="58"/>
  <c r="D68" i="58"/>
  <c r="H61" i="58"/>
  <c r="G61" i="58"/>
  <c r="F61" i="58"/>
  <c r="E61" i="58"/>
  <c r="D61" i="58"/>
  <c r="H48" i="58"/>
  <c r="H41" i="58" s="1"/>
  <c r="G48" i="58"/>
  <c r="G41" i="58" s="1"/>
  <c r="F48" i="58"/>
  <c r="F41" i="58" s="1"/>
  <c r="E48" i="58"/>
  <c r="E41" i="58" s="1"/>
  <c r="D48" i="58"/>
  <c r="D41" i="58" s="1"/>
  <c r="H27" i="58"/>
  <c r="G27" i="58"/>
  <c r="F27" i="58"/>
  <c r="E27" i="58"/>
  <c r="D27" i="58"/>
  <c r="H17" i="58"/>
  <c r="G17" i="58"/>
  <c r="F17" i="58"/>
  <c r="E17" i="58"/>
  <c r="D17" i="58"/>
  <c r="H8" i="58"/>
  <c r="G8" i="58"/>
  <c r="G6" i="58" s="1"/>
  <c r="F8" i="58"/>
  <c r="F6" i="58" s="1"/>
  <c r="E8" i="58"/>
  <c r="D8" i="58"/>
  <c r="D6" i="58" s="1"/>
  <c r="H97" i="57"/>
  <c r="G97" i="57"/>
  <c r="F97" i="57"/>
  <c r="E97" i="57"/>
  <c r="D97" i="57"/>
  <c r="C97" i="57"/>
  <c r="H88" i="57"/>
  <c r="H86" i="57" s="1"/>
  <c r="G88" i="57"/>
  <c r="F88" i="57"/>
  <c r="E88" i="57"/>
  <c r="D88" i="57"/>
  <c r="C88" i="57"/>
  <c r="H78" i="57"/>
  <c r="G78" i="57"/>
  <c r="F78" i="57"/>
  <c r="E78" i="57"/>
  <c r="E59" i="57" s="1"/>
  <c r="D78" i="57"/>
  <c r="C78" i="57"/>
  <c r="H68" i="57"/>
  <c r="G68" i="57"/>
  <c r="F68" i="57"/>
  <c r="E68" i="57"/>
  <c r="D68" i="57"/>
  <c r="C68" i="57"/>
  <c r="H61" i="57"/>
  <c r="G61" i="57"/>
  <c r="F61" i="57"/>
  <c r="F59" i="57" s="1"/>
  <c r="E61" i="57"/>
  <c r="D61" i="57"/>
  <c r="C61" i="57"/>
  <c r="H48" i="57"/>
  <c r="H41" i="57" s="1"/>
  <c r="G48" i="57"/>
  <c r="G41" i="57" s="1"/>
  <c r="F48" i="57"/>
  <c r="F41" i="57" s="1"/>
  <c r="E48" i="57"/>
  <c r="D48" i="57"/>
  <c r="D41" i="57" s="1"/>
  <c r="C48" i="57"/>
  <c r="C41" i="57" s="1"/>
  <c r="E41" i="57"/>
  <c r="H27" i="57"/>
  <c r="G27" i="57"/>
  <c r="F27" i="57"/>
  <c r="E27" i="57"/>
  <c r="D27" i="57"/>
  <c r="C27" i="57"/>
  <c r="H17" i="57"/>
  <c r="G17" i="57"/>
  <c r="F17" i="57"/>
  <c r="E17" i="57"/>
  <c r="D17" i="57"/>
  <c r="C17" i="57"/>
  <c r="H8" i="57"/>
  <c r="G8" i="57"/>
  <c r="F8" i="57"/>
  <c r="E8" i="57"/>
  <c r="D8" i="57"/>
  <c r="C8" i="57"/>
  <c r="H97" i="56"/>
  <c r="H86" i="56" s="1"/>
  <c r="G97" i="56"/>
  <c r="F97" i="56"/>
  <c r="E97" i="56"/>
  <c r="D97" i="56"/>
  <c r="C97" i="56"/>
  <c r="H88" i="56"/>
  <c r="G88" i="56"/>
  <c r="F88" i="56"/>
  <c r="F86" i="56" s="1"/>
  <c r="E88" i="56"/>
  <c r="D88" i="56"/>
  <c r="D86" i="56" s="1"/>
  <c r="C88" i="56"/>
  <c r="H78" i="56"/>
  <c r="G78" i="56"/>
  <c r="F78" i="56"/>
  <c r="E78" i="56"/>
  <c r="D78" i="56"/>
  <c r="C78" i="56"/>
  <c r="H68" i="56"/>
  <c r="G68" i="56"/>
  <c r="F68" i="56"/>
  <c r="E68" i="56"/>
  <c r="D68" i="56"/>
  <c r="C68" i="56"/>
  <c r="H61" i="56"/>
  <c r="G61" i="56"/>
  <c r="F61" i="56"/>
  <c r="E61" i="56"/>
  <c r="D61" i="56"/>
  <c r="C61" i="56"/>
  <c r="H48" i="56"/>
  <c r="G48" i="56"/>
  <c r="G41" i="56" s="1"/>
  <c r="F48" i="56"/>
  <c r="F41" i="56" s="1"/>
  <c r="E48" i="56"/>
  <c r="E41" i="56" s="1"/>
  <c r="D48" i="56"/>
  <c r="D41" i="56" s="1"/>
  <c r="C48" i="56"/>
  <c r="C41" i="56" s="1"/>
  <c r="H41" i="56"/>
  <c r="H27" i="56"/>
  <c r="G27" i="56"/>
  <c r="F27" i="56"/>
  <c r="E27" i="56"/>
  <c r="D27" i="56"/>
  <c r="C27" i="56"/>
  <c r="H17" i="56"/>
  <c r="G17" i="56"/>
  <c r="F17" i="56"/>
  <c r="E17" i="56"/>
  <c r="D17" i="56"/>
  <c r="C17" i="56"/>
  <c r="H8" i="56"/>
  <c r="H6" i="56" s="1"/>
  <c r="G8" i="56"/>
  <c r="G6" i="56" s="1"/>
  <c r="F8" i="56"/>
  <c r="F6" i="56" s="1"/>
  <c r="F39" i="56" s="1"/>
  <c r="E8" i="56"/>
  <c r="D8" i="56"/>
  <c r="C8" i="56"/>
  <c r="C6" i="56" s="1"/>
  <c r="H97" i="55"/>
  <c r="G97" i="55"/>
  <c r="F97" i="55"/>
  <c r="E97" i="55"/>
  <c r="D97" i="55"/>
  <c r="C97" i="55"/>
  <c r="H88" i="55"/>
  <c r="G88" i="55"/>
  <c r="F88" i="55"/>
  <c r="E88" i="55"/>
  <c r="D88" i="55"/>
  <c r="C88" i="55"/>
  <c r="H78" i="55"/>
  <c r="G78" i="55"/>
  <c r="F78" i="55"/>
  <c r="E78" i="55"/>
  <c r="D78" i="55"/>
  <c r="C78" i="55"/>
  <c r="H68" i="55"/>
  <c r="G68" i="55"/>
  <c r="F68" i="55"/>
  <c r="E68" i="55"/>
  <c r="D68" i="55"/>
  <c r="C68" i="55"/>
  <c r="H61" i="55"/>
  <c r="G61" i="55"/>
  <c r="F61" i="55"/>
  <c r="E61" i="55"/>
  <c r="D61" i="55"/>
  <c r="C61" i="55"/>
  <c r="H48" i="55"/>
  <c r="H41" i="55" s="1"/>
  <c r="G48" i="55"/>
  <c r="G41" i="55" s="1"/>
  <c r="F48" i="55"/>
  <c r="F41" i="55" s="1"/>
  <c r="E48" i="55"/>
  <c r="E41" i="55" s="1"/>
  <c r="D48" i="55"/>
  <c r="D41" i="55" s="1"/>
  <c r="C48" i="55"/>
  <c r="C41" i="55" s="1"/>
  <c r="H27" i="55"/>
  <c r="G27" i="55"/>
  <c r="F27" i="55"/>
  <c r="E27" i="55"/>
  <c r="D27" i="55"/>
  <c r="C27" i="55"/>
  <c r="H17" i="55"/>
  <c r="G17" i="55"/>
  <c r="F17" i="55"/>
  <c r="E17" i="55"/>
  <c r="D17" i="55"/>
  <c r="C17" i="55"/>
  <c r="H8" i="55"/>
  <c r="G8" i="55"/>
  <c r="F8" i="55"/>
  <c r="F6" i="55" s="1"/>
  <c r="E8" i="55"/>
  <c r="D8" i="55"/>
  <c r="C8" i="55"/>
  <c r="I110" i="61"/>
  <c r="I97" i="61"/>
  <c r="I88" i="61"/>
  <c r="I78" i="61"/>
  <c r="I68" i="61"/>
  <c r="I61" i="61"/>
  <c r="I48" i="61"/>
  <c r="I41" i="61" s="1"/>
  <c r="I27" i="61"/>
  <c r="I17" i="61"/>
  <c r="I8" i="61"/>
  <c r="I110" i="60"/>
  <c r="I97" i="60"/>
  <c r="I88" i="60"/>
  <c r="I78" i="60"/>
  <c r="I68" i="60"/>
  <c r="I61" i="60"/>
  <c r="I48" i="60"/>
  <c r="I41" i="60" s="1"/>
  <c r="I27" i="60"/>
  <c r="I17" i="60"/>
  <c r="I8" i="60"/>
  <c r="I110" i="59"/>
  <c r="I97" i="59"/>
  <c r="I88" i="59"/>
  <c r="I78" i="59"/>
  <c r="I68" i="59"/>
  <c r="I61" i="59"/>
  <c r="I48" i="59"/>
  <c r="I41" i="59" s="1"/>
  <c r="I27" i="59"/>
  <c r="I17" i="59"/>
  <c r="I8" i="59"/>
  <c r="I110" i="58"/>
  <c r="I97" i="58"/>
  <c r="I88" i="58"/>
  <c r="I78" i="58"/>
  <c r="I68" i="58"/>
  <c r="I61" i="58"/>
  <c r="I48" i="58"/>
  <c r="I41" i="58" s="1"/>
  <c r="I27" i="58"/>
  <c r="I17" i="58"/>
  <c r="I8" i="58"/>
  <c r="I110" i="57"/>
  <c r="I97" i="57"/>
  <c r="I88" i="57"/>
  <c r="I78" i="57"/>
  <c r="I68" i="57"/>
  <c r="I61" i="57"/>
  <c r="I48" i="57"/>
  <c r="I41" i="57" s="1"/>
  <c r="I27" i="57"/>
  <c r="I17" i="57"/>
  <c r="I8" i="57"/>
  <c r="I110" i="56"/>
  <c r="I97" i="56"/>
  <c r="I88" i="56"/>
  <c r="I78" i="56"/>
  <c r="I68" i="56"/>
  <c r="I61" i="56"/>
  <c r="I48" i="56"/>
  <c r="I41" i="56" s="1"/>
  <c r="I27" i="56"/>
  <c r="I17" i="56"/>
  <c r="I8" i="56"/>
  <c r="C86" i="67" l="1"/>
  <c r="C59" i="67"/>
  <c r="C86" i="66"/>
  <c r="C59" i="66"/>
  <c r="C86" i="65"/>
  <c r="C59" i="65"/>
  <c r="C39" i="65"/>
  <c r="C57" i="65" s="1"/>
  <c r="C84" i="65" s="1"/>
  <c r="C86" i="63"/>
  <c r="C59" i="63"/>
  <c r="C86" i="62"/>
  <c r="C59" i="62"/>
  <c r="C6" i="62"/>
  <c r="C39" i="62" s="1"/>
  <c r="C57" i="62" s="1"/>
  <c r="C84" i="62" s="1"/>
  <c r="C59" i="59"/>
  <c r="C6" i="59"/>
  <c r="C39" i="59"/>
  <c r="C57" i="59" s="1"/>
  <c r="C84" i="59" s="1"/>
  <c r="C108" i="59" s="1"/>
  <c r="C117" i="59" s="1"/>
  <c r="C86" i="57"/>
  <c r="C59" i="57"/>
  <c r="C6" i="57"/>
  <c r="C39" i="57" s="1"/>
  <c r="C57" i="57" s="1"/>
  <c r="C86" i="56"/>
  <c r="C59" i="56"/>
  <c r="C86" i="55"/>
  <c r="C39" i="63"/>
  <c r="C57" i="63" s="1"/>
  <c r="C84" i="63" s="1"/>
  <c r="C108" i="63" s="1"/>
  <c r="C117" i="63" s="1"/>
  <c r="D86" i="67"/>
  <c r="D59" i="67"/>
  <c r="D6" i="67"/>
  <c r="D39" i="67" s="1"/>
  <c r="D57" i="67" s="1"/>
  <c r="D84" i="67" s="1"/>
  <c r="D86" i="65"/>
  <c r="D59" i="65"/>
  <c r="D6" i="65"/>
  <c r="D39" i="65" s="1"/>
  <c r="D57" i="65" s="1"/>
  <c r="D84" i="65" s="1"/>
  <c r="D86" i="63"/>
  <c r="D59" i="63"/>
  <c r="D39" i="63"/>
  <c r="D86" i="62"/>
  <c r="D59" i="62"/>
  <c r="D6" i="62"/>
  <c r="D39" i="62" s="1"/>
  <c r="D57" i="62" s="1"/>
  <c r="D59" i="60"/>
  <c r="D39" i="60"/>
  <c r="D57" i="60" s="1"/>
  <c r="D86" i="58"/>
  <c r="D59" i="58"/>
  <c r="D39" i="58"/>
  <c r="D57" i="58" s="1"/>
  <c r="D86" i="57"/>
  <c r="D59" i="57"/>
  <c r="D6" i="57"/>
  <c r="D39" i="57" s="1"/>
  <c r="D57" i="57" s="1"/>
  <c r="D59" i="56"/>
  <c r="D6" i="56"/>
  <c r="D39" i="56" s="1"/>
  <c r="D57" i="56" s="1"/>
  <c r="D86" i="55"/>
  <c r="D59" i="55"/>
  <c r="D6" i="55"/>
  <c r="D39" i="55" s="1"/>
  <c r="D57" i="55" s="1"/>
  <c r="E86" i="67"/>
  <c r="E59" i="67"/>
  <c r="E6" i="67"/>
  <c r="E39" i="67"/>
  <c r="E57" i="67" s="1"/>
  <c r="E59" i="66"/>
  <c r="E6" i="66"/>
  <c r="E39" i="66" s="1"/>
  <c r="E57" i="66" s="1"/>
  <c r="E86" i="65"/>
  <c r="E59" i="65"/>
  <c r="E39" i="65"/>
  <c r="E57" i="65" s="1"/>
  <c r="E59" i="63"/>
  <c r="E39" i="63"/>
  <c r="E57" i="63" s="1"/>
  <c r="E86" i="62"/>
  <c r="E59" i="62"/>
  <c r="E39" i="62"/>
  <c r="E57" i="62" s="1"/>
  <c r="E39" i="59"/>
  <c r="E57" i="59" s="1"/>
  <c r="E86" i="58"/>
  <c r="E59" i="58"/>
  <c r="E6" i="58"/>
  <c r="E39" i="58" s="1"/>
  <c r="E57" i="58" s="1"/>
  <c r="E86" i="57"/>
  <c r="E6" i="57"/>
  <c r="E39" i="57" s="1"/>
  <c r="E57" i="57" s="1"/>
  <c r="E84" i="57" s="1"/>
  <c r="E86" i="56"/>
  <c r="E59" i="56"/>
  <c r="E6" i="56"/>
  <c r="E59" i="55"/>
  <c r="E6" i="55"/>
  <c r="E39" i="55"/>
  <c r="F86" i="67"/>
  <c r="F6" i="67"/>
  <c r="F39" i="67"/>
  <c r="F57" i="67" s="1"/>
  <c r="F84" i="67" s="1"/>
  <c r="F59" i="66"/>
  <c r="F57" i="66"/>
  <c r="F86" i="65"/>
  <c r="F59" i="65"/>
  <c r="F6" i="65"/>
  <c r="F39" i="65" s="1"/>
  <c r="F57" i="65" s="1"/>
  <c r="F84" i="65" s="1"/>
  <c r="F86" i="63"/>
  <c r="F59" i="63"/>
  <c r="F39" i="63"/>
  <c r="F57" i="63" s="1"/>
  <c r="F59" i="60"/>
  <c r="F6" i="60"/>
  <c r="F39" i="60" s="1"/>
  <c r="F57" i="60" s="1"/>
  <c r="F84" i="60" s="1"/>
  <c r="F86" i="59"/>
  <c r="F6" i="59"/>
  <c r="F39" i="59" s="1"/>
  <c r="F57" i="59" s="1"/>
  <c r="F84" i="59" s="1"/>
  <c r="F86" i="58"/>
  <c r="F59" i="58"/>
  <c r="F39" i="58"/>
  <c r="F57" i="58" s="1"/>
  <c r="F84" i="58" s="1"/>
  <c r="F108" i="58" s="1"/>
  <c r="F117" i="58" s="1"/>
  <c r="F86" i="57"/>
  <c r="F6" i="57"/>
  <c r="F39" i="57" s="1"/>
  <c r="F57" i="57" s="1"/>
  <c r="F84" i="57" s="1"/>
  <c r="F59" i="56"/>
  <c r="F57" i="56"/>
  <c r="G86" i="67"/>
  <c r="G59" i="67"/>
  <c r="G86" i="66"/>
  <c r="G59" i="66"/>
  <c r="G6" i="66"/>
  <c r="G39" i="66" s="1"/>
  <c r="G86" i="65"/>
  <c r="G6" i="65"/>
  <c r="G39" i="65" s="1"/>
  <c r="G57" i="65" s="1"/>
  <c r="G84" i="65" s="1"/>
  <c r="G59" i="63"/>
  <c r="G59" i="62"/>
  <c r="G6" i="62"/>
  <c r="G39" i="62" s="1"/>
  <c r="G57" i="62" s="1"/>
  <c r="G86" i="60"/>
  <c r="G59" i="60"/>
  <c r="G57" i="60"/>
  <c r="G84" i="60" s="1"/>
  <c r="G86" i="61"/>
  <c r="G59" i="61"/>
  <c r="G39" i="61"/>
  <c r="G57" i="61" s="1"/>
  <c r="G86" i="59"/>
  <c r="E84" i="59"/>
  <c r="E82" i="59" s="1"/>
  <c r="G59" i="59"/>
  <c r="G6" i="59"/>
  <c r="G39" i="59" s="1"/>
  <c r="G57" i="59" s="1"/>
  <c r="G84" i="59" s="1"/>
  <c r="G59" i="58"/>
  <c r="G39" i="58"/>
  <c r="G57" i="58" s="1"/>
  <c r="G84" i="58" s="1"/>
  <c r="G86" i="57"/>
  <c r="G59" i="57"/>
  <c r="G6" i="57"/>
  <c r="G39" i="57" s="1"/>
  <c r="G57" i="57" s="1"/>
  <c r="G86" i="56"/>
  <c r="G59" i="56"/>
  <c r="G39" i="56"/>
  <c r="G57" i="56" s="1"/>
  <c r="H59" i="67"/>
  <c r="C84" i="67"/>
  <c r="C108" i="67" s="1"/>
  <c r="C117" i="67" s="1"/>
  <c r="C121" i="67" s="1"/>
  <c r="C120" i="67" s="1"/>
  <c r="C123" i="67" s="1"/>
  <c r="H6" i="67"/>
  <c r="H59" i="66"/>
  <c r="H39" i="66"/>
  <c r="H59" i="65"/>
  <c r="H39" i="65"/>
  <c r="H57" i="65" s="1"/>
  <c r="H39" i="64"/>
  <c r="H57" i="64" s="1"/>
  <c r="H59" i="64"/>
  <c r="H86" i="64"/>
  <c r="H86" i="63"/>
  <c r="H59" i="63"/>
  <c r="E84" i="63"/>
  <c r="E82" i="63" s="1"/>
  <c r="H39" i="63"/>
  <c r="H57" i="63" s="1"/>
  <c r="H84" i="63" s="1"/>
  <c r="H82" i="63" s="1"/>
  <c r="H6" i="63"/>
  <c r="H59" i="62"/>
  <c r="H6" i="62"/>
  <c r="H39" i="62" s="1"/>
  <c r="H57" i="62" s="1"/>
  <c r="H59" i="60"/>
  <c r="H86" i="61"/>
  <c r="H6" i="61"/>
  <c r="H39" i="61" s="1"/>
  <c r="H57" i="61" s="1"/>
  <c r="H84" i="61" s="1"/>
  <c r="H59" i="59"/>
  <c r="H59" i="58"/>
  <c r="H6" i="58"/>
  <c r="H39" i="58" s="1"/>
  <c r="H57" i="58" s="1"/>
  <c r="H84" i="58" s="1"/>
  <c r="H59" i="57"/>
  <c r="H6" i="57"/>
  <c r="H39" i="57" s="1"/>
  <c r="H57" i="57" s="1"/>
  <c r="H84" i="57" s="1"/>
  <c r="F84" i="56"/>
  <c r="F82" i="56" s="1"/>
  <c r="G84" i="56"/>
  <c r="G108" i="56" s="1"/>
  <c r="G117" i="56" s="1"/>
  <c r="H59" i="56"/>
  <c r="H39" i="56"/>
  <c r="H57" i="56" s="1"/>
  <c r="H84" i="56" s="1"/>
  <c r="H82" i="56" s="1"/>
  <c r="F59" i="55"/>
  <c r="F39" i="55"/>
  <c r="F57" i="55" s="1"/>
  <c r="E86" i="55"/>
  <c r="C6" i="55"/>
  <c r="C39" i="55" s="1"/>
  <c r="C57" i="55" s="1"/>
  <c r="F86" i="55"/>
  <c r="C59" i="55"/>
  <c r="E57" i="55"/>
  <c r="E84" i="55" s="1"/>
  <c r="G6" i="55"/>
  <c r="G39" i="55" s="1"/>
  <c r="G57" i="55" s="1"/>
  <c r="G59" i="55"/>
  <c r="G86" i="55"/>
  <c r="H6" i="55"/>
  <c r="H39" i="55" s="1"/>
  <c r="H57" i="55" s="1"/>
  <c r="G57" i="66"/>
  <c r="G84" i="66" s="1"/>
  <c r="G108" i="66" s="1"/>
  <c r="G117" i="66" s="1"/>
  <c r="I86" i="67"/>
  <c r="I59" i="67"/>
  <c r="I39" i="67"/>
  <c r="I57" i="67" s="1"/>
  <c r="C82" i="67"/>
  <c r="G39" i="67"/>
  <c r="G57" i="67" s="1"/>
  <c r="G84" i="67" s="1"/>
  <c r="H39" i="67"/>
  <c r="H57" i="67" s="1"/>
  <c r="H84" i="67" s="1"/>
  <c r="I84" i="66"/>
  <c r="I86" i="65"/>
  <c r="I59" i="65"/>
  <c r="I39" i="65"/>
  <c r="I57" i="65" s="1"/>
  <c r="H57" i="66"/>
  <c r="H84" i="66" s="1"/>
  <c r="C39" i="66"/>
  <c r="C57" i="66" s="1"/>
  <c r="C84" i="66" s="1"/>
  <c r="D39" i="66"/>
  <c r="D57" i="66" s="1"/>
  <c r="D84" i="66" s="1"/>
  <c r="H84" i="65"/>
  <c r="C108" i="65"/>
  <c r="C117" i="65" s="1"/>
  <c r="C82" i="65"/>
  <c r="F108" i="64"/>
  <c r="F82" i="64"/>
  <c r="G82" i="64"/>
  <c r="G108" i="64"/>
  <c r="I39" i="64"/>
  <c r="I57" i="64" s="1"/>
  <c r="I84" i="64" s="1"/>
  <c r="E108" i="64"/>
  <c r="E82" i="64"/>
  <c r="C108" i="64"/>
  <c r="C82" i="64"/>
  <c r="D108" i="64"/>
  <c r="D82" i="64"/>
  <c r="I59" i="63"/>
  <c r="I39" i="63"/>
  <c r="I57" i="63" s="1"/>
  <c r="D57" i="63"/>
  <c r="D84" i="63" s="1"/>
  <c r="G39" i="63"/>
  <c r="G57" i="63" s="1"/>
  <c r="G84" i="63" s="1"/>
  <c r="I86" i="62"/>
  <c r="I39" i="62"/>
  <c r="I57" i="62" s="1"/>
  <c r="I84" i="62" s="1"/>
  <c r="I86" i="60"/>
  <c r="I59" i="60"/>
  <c r="I39" i="60"/>
  <c r="I57" i="60" s="1"/>
  <c r="I86" i="61"/>
  <c r="I59" i="61"/>
  <c r="I39" i="61"/>
  <c r="I57" i="61" s="1"/>
  <c r="I86" i="59"/>
  <c r="I59" i="59"/>
  <c r="I39" i="59"/>
  <c r="I57" i="59" s="1"/>
  <c r="I86" i="58"/>
  <c r="I59" i="58"/>
  <c r="I39" i="58"/>
  <c r="I57" i="58" s="1"/>
  <c r="E39" i="61"/>
  <c r="E57" i="61" s="1"/>
  <c r="E84" i="61" s="1"/>
  <c r="D57" i="61"/>
  <c r="D84" i="61" s="1"/>
  <c r="F84" i="61"/>
  <c r="C57" i="61"/>
  <c r="C84" i="61" s="1"/>
  <c r="H39" i="60"/>
  <c r="H57" i="60" s="1"/>
  <c r="C39" i="60"/>
  <c r="C57" i="60" s="1"/>
  <c r="C84" i="60" s="1"/>
  <c r="H39" i="59"/>
  <c r="H57" i="59" s="1"/>
  <c r="H84" i="59" s="1"/>
  <c r="G108" i="58"/>
  <c r="G117" i="58" s="1"/>
  <c r="G82" i="58"/>
  <c r="C39" i="56"/>
  <c r="C57" i="56" s="1"/>
  <c r="C84" i="56" s="1"/>
  <c r="E39" i="56"/>
  <c r="E57" i="56" s="1"/>
  <c r="E84" i="56" s="1"/>
  <c r="H86" i="55"/>
  <c r="H59" i="55"/>
  <c r="I86" i="57"/>
  <c r="I59" i="57"/>
  <c r="I39" i="57"/>
  <c r="I57" i="57" s="1"/>
  <c r="I86" i="56"/>
  <c r="I59" i="56"/>
  <c r="I39" i="56"/>
  <c r="I57" i="56"/>
  <c r="I17" i="55"/>
  <c r="I8" i="55"/>
  <c r="C82" i="63" l="1"/>
  <c r="C82" i="62"/>
  <c r="C108" i="62"/>
  <c r="C117" i="62" s="1"/>
  <c r="C121" i="62" s="1"/>
  <c r="C120" i="62" s="1"/>
  <c r="C123" i="62" s="1"/>
  <c r="C82" i="59"/>
  <c r="C84" i="57"/>
  <c r="C108" i="57"/>
  <c r="C117" i="57" s="1"/>
  <c r="C121" i="57" s="1"/>
  <c r="C120" i="57" s="1"/>
  <c r="C123" i="57" s="1"/>
  <c r="C82" i="57"/>
  <c r="C121" i="63"/>
  <c r="C120" i="63" s="1"/>
  <c r="C123" i="63" s="1"/>
  <c r="D84" i="62"/>
  <c r="D108" i="62"/>
  <c r="D117" i="62" s="1"/>
  <c r="D121" i="62" s="1"/>
  <c r="D120" i="62" s="1"/>
  <c r="D123" i="62" s="1"/>
  <c r="D82" i="62"/>
  <c r="D84" i="60"/>
  <c r="D82" i="60" s="1"/>
  <c r="D108" i="60"/>
  <c r="D117" i="60" s="1"/>
  <c r="D121" i="60" s="1"/>
  <c r="D120" i="60" s="1"/>
  <c r="D123" i="60" s="1"/>
  <c r="D84" i="58"/>
  <c r="D108" i="58" s="1"/>
  <c r="D117" i="58" s="1"/>
  <c r="D121" i="58" s="1"/>
  <c r="D120" i="58" s="1"/>
  <c r="D123" i="58" s="1"/>
  <c r="D82" i="58"/>
  <c r="D84" i="57"/>
  <c r="D82" i="57" s="1"/>
  <c r="D108" i="57"/>
  <c r="D117" i="57" s="1"/>
  <c r="D121" i="57" s="1"/>
  <c r="D120" i="57" s="1"/>
  <c r="D123" i="57" s="1"/>
  <c r="D84" i="56"/>
  <c r="D84" i="55"/>
  <c r="D108" i="55" s="1"/>
  <c r="D117" i="55" s="1"/>
  <c r="D121" i="55" s="1"/>
  <c r="D120" i="55" s="1"/>
  <c r="D123" i="55" s="1"/>
  <c r="D82" i="55"/>
  <c r="E84" i="67"/>
  <c r="E108" i="67" s="1"/>
  <c r="E117" i="67" s="1"/>
  <c r="E121" i="67" s="1"/>
  <c r="E120" i="67" s="1"/>
  <c r="E123" i="67" s="1"/>
  <c r="E84" i="66"/>
  <c r="E82" i="66"/>
  <c r="E108" i="66"/>
  <c r="E117" i="66" s="1"/>
  <c r="E121" i="66" s="1"/>
  <c r="E120" i="66" s="1"/>
  <c r="E123" i="66" s="1"/>
  <c r="E84" i="65"/>
  <c r="E82" i="65" s="1"/>
  <c r="F84" i="63"/>
  <c r="E108" i="63"/>
  <c r="E117" i="63" s="1"/>
  <c r="E84" i="62"/>
  <c r="E82" i="62" s="1"/>
  <c r="E108" i="59"/>
  <c r="E117" i="59" s="1"/>
  <c r="E121" i="59" s="1"/>
  <c r="E120" i="59" s="1"/>
  <c r="E123" i="59" s="1"/>
  <c r="E84" i="58"/>
  <c r="E82" i="58" s="1"/>
  <c r="E108" i="58"/>
  <c r="E117" i="58" s="1"/>
  <c r="E121" i="58" s="1"/>
  <c r="E120" i="58" s="1"/>
  <c r="E123" i="58" s="1"/>
  <c r="E82" i="57"/>
  <c r="E108" i="57"/>
  <c r="E117" i="57" s="1"/>
  <c r="E121" i="57" s="1"/>
  <c r="E120" i="57" s="1"/>
  <c r="E123" i="57" s="1"/>
  <c r="E108" i="55"/>
  <c r="E117" i="55" s="1"/>
  <c r="E121" i="55" s="1"/>
  <c r="E120" i="55" s="1"/>
  <c r="E123" i="55" s="1"/>
  <c r="F82" i="67"/>
  <c r="F108" i="67"/>
  <c r="F117" i="67" s="1"/>
  <c r="F121" i="67" s="1"/>
  <c r="F120" i="67" s="1"/>
  <c r="F123" i="67" s="1"/>
  <c r="F84" i="66"/>
  <c r="F108" i="65"/>
  <c r="F117" i="65" s="1"/>
  <c r="F82" i="65"/>
  <c r="F108" i="63"/>
  <c r="F117" i="63" s="1"/>
  <c r="F82" i="63"/>
  <c r="F82" i="60"/>
  <c r="F108" i="60"/>
  <c r="F117" i="60" s="1"/>
  <c r="F121" i="60" s="1"/>
  <c r="F82" i="59"/>
  <c r="F108" i="59"/>
  <c r="F117" i="59" s="1"/>
  <c r="F121" i="59" s="1"/>
  <c r="F120" i="59" s="1"/>
  <c r="F123" i="59" s="1"/>
  <c r="F82" i="58"/>
  <c r="F121" i="58"/>
  <c r="F120" i="58" s="1"/>
  <c r="F123" i="58" s="1"/>
  <c r="F82" i="57"/>
  <c r="F108" i="57"/>
  <c r="F117" i="57" s="1"/>
  <c r="F121" i="57" s="1"/>
  <c r="F120" i="57" s="1"/>
  <c r="F123" i="57" s="1"/>
  <c r="F108" i="56"/>
  <c r="F117" i="56" s="1"/>
  <c r="F121" i="56" s="1"/>
  <c r="F120" i="56" s="1"/>
  <c r="F123" i="56" s="1"/>
  <c r="G121" i="66"/>
  <c r="G120" i="66" s="1"/>
  <c r="G123" i="66" s="1"/>
  <c r="F121" i="65"/>
  <c r="F120" i="65" s="1"/>
  <c r="F123" i="65" s="1"/>
  <c r="C121" i="65"/>
  <c r="C120" i="65" s="1"/>
  <c r="C123" i="65" s="1"/>
  <c r="G84" i="62"/>
  <c r="G108" i="62"/>
  <c r="G117" i="62" s="1"/>
  <c r="G121" i="62" s="1"/>
  <c r="G120" i="62" s="1"/>
  <c r="G123" i="62" s="1"/>
  <c r="G82" i="62"/>
  <c r="G108" i="60"/>
  <c r="G117" i="60" s="1"/>
  <c r="G121" i="60" s="1"/>
  <c r="G120" i="60" s="1"/>
  <c r="G123" i="60" s="1"/>
  <c r="G82" i="60"/>
  <c r="G84" i="61"/>
  <c r="C121" i="59"/>
  <c r="C120" i="59" s="1"/>
  <c r="C123" i="59" s="1"/>
  <c r="G82" i="59"/>
  <c r="G108" i="59"/>
  <c r="G117" i="59" s="1"/>
  <c r="G121" i="58"/>
  <c r="G120" i="58" s="1"/>
  <c r="G123" i="58" s="1"/>
  <c r="G84" i="57"/>
  <c r="G82" i="57" s="1"/>
  <c r="G108" i="57"/>
  <c r="G117" i="57" s="1"/>
  <c r="G121" i="57" s="1"/>
  <c r="G120" i="57" s="1"/>
  <c r="G123" i="57" s="1"/>
  <c r="G121" i="56"/>
  <c r="G120" i="56" s="1"/>
  <c r="G123" i="56" s="1"/>
  <c r="G82" i="56"/>
  <c r="C84" i="55"/>
  <c r="C108" i="55" s="1"/>
  <c r="C117" i="55" s="1"/>
  <c r="C121" i="55" s="1"/>
  <c r="C120" i="55" s="1"/>
  <c r="C123" i="55" s="1"/>
  <c r="E82" i="55"/>
  <c r="G84" i="55"/>
  <c r="G82" i="66"/>
  <c r="H84" i="64"/>
  <c r="H108" i="64" s="1"/>
  <c r="H117" i="64" s="1"/>
  <c r="H121" i="64" s="1"/>
  <c r="T121" i="64" s="1"/>
  <c r="H108" i="63"/>
  <c r="H84" i="62"/>
  <c r="H84" i="60"/>
  <c r="H82" i="60" s="1"/>
  <c r="H108" i="61"/>
  <c r="H117" i="61" s="1"/>
  <c r="H82" i="61"/>
  <c r="H108" i="58"/>
  <c r="H82" i="58"/>
  <c r="H108" i="57"/>
  <c r="H82" i="57"/>
  <c r="H108" i="56"/>
  <c r="F84" i="55"/>
  <c r="I6" i="55"/>
  <c r="G82" i="55"/>
  <c r="G108" i="55"/>
  <c r="G117" i="55" s="1"/>
  <c r="H84" i="55"/>
  <c r="H82" i="55" s="1"/>
  <c r="H108" i="55"/>
  <c r="H117" i="55" s="1"/>
  <c r="H121" i="55" s="1"/>
  <c r="H120" i="55" s="1"/>
  <c r="H123" i="55" s="1"/>
  <c r="I84" i="67"/>
  <c r="I82" i="67" s="1"/>
  <c r="I108" i="67"/>
  <c r="I117" i="67" s="1"/>
  <c r="I121" i="67" s="1"/>
  <c r="I120" i="67" s="1"/>
  <c r="I123" i="67" s="1"/>
  <c r="D108" i="67"/>
  <c r="D117" i="67" s="1"/>
  <c r="D121" i="67" s="1"/>
  <c r="D120" i="67" s="1"/>
  <c r="D123" i="67" s="1"/>
  <c r="D82" i="67"/>
  <c r="H82" i="67"/>
  <c r="H108" i="67"/>
  <c r="G82" i="67"/>
  <c r="G108" i="67"/>
  <c r="G117" i="67" s="1"/>
  <c r="G121" i="67" s="1"/>
  <c r="G120" i="67" s="1"/>
  <c r="G123" i="67" s="1"/>
  <c r="I82" i="66"/>
  <c r="I108" i="66"/>
  <c r="I117" i="66" s="1"/>
  <c r="I84" i="65"/>
  <c r="I82" i="65" s="1"/>
  <c r="D108" i="66"/>
  <c r="D117" i="66" s="1"/>
  <c r="D121" i="66" s="1"/>
  <c r="D120" i="66" s="1"/>
  <c r="D123" i="66" s="1"/>
  <c r="D82" i="66"/>
  <c r="C108" i="66"/>
  <c r="C117" i="66" s="1"/>
  <c r="C121" i="66" s="1"/>
  <c r="C120" i="66" s="1"/>
  <c r="C123" i="66" s="1"/>
  <c r="C82" i="66"/>
  <c r="H82" i="66"/>
  <c r="H108" i="66"/>
  <c r="G82" i="65"/>
  <c r="G108" i="65"/>
  <c r="G117" i="65" s="1"/>
  <c r="H82" i="65"/>
  <c r="H108" i="65"/>
  <c r="H117" i="65" s="1"/>
  <c r="H121" i="65" s="1"/>
  <c r="H120" i="65" s="1"/>
  <c r="H123" i="65" s="1"/>
  <c r="D108" i="65"/>
  <c r="D117" i="65" s="1"/>
  <c r="D82" i="65"/>
  <c r="I82" i="64"/>
  <c r="I108" i="64"/>
  <c r="I117" i="64" s="1"/>
  <c r="I84" i="63"/>
  <c r="I82" i="63" s="1"/>
  <c r="I108" i="63"/>
  <c r="I117" i="63" s="1"/>
  <c r="I120" i="63" s="1"/>
  <c r="I123" i="63" s="1"/>
  <c r="D108" i="63"/>
  <c r="D117" i="63" s="1"/>
  <c r="D82" i="63"/>
  <c r="G82" i="63"/>
  <c r="G108" i="63"/>
  <c r="G117" i="63" s="1"/>
  <c r="G123" i="63" s="1"/>
  <c r="H108" i="62"/>
  <c r="H82" i="62"/>
  <c r="I82" i="62"/>
  <c r="I108" i="62"/>
  <c r="I117" i="62" s="1"/>
  <c r="I84" i="60"/>
  <c r="I108" i="60" s="1"/>
  <c r="I117" i="60" s="1"/>
  <c r="I121" i="60" s="1"/>
  <c r="I120" i="60" s="1"/>
  <c r="I123" i="60" s="1"/>
  <c r="I82" i="60"/>
  <c r="I84" i="61"/>
  <c r="I108" i="61" s="1"/>
  <c r="I117" i="61" s="1"/>
  <c r="I121" i="61" s="1"/>
  <c r="I120" i="61" s="1"/>
  <c r="I123" i="61" s="1"/>
  <c r="I84" i="59"/>
  <c r="I108" i="59" s="1"/>
  <c r="I117" i="59" s="1"/>
  <c r="I121" i="59" s="1"/>
  <c r="I120" i="59" s="1"/>
  <c r="I123" i="59" s="1"/>
  <c r="I84" i="58"/>
  <c r="I82" i="58" s="1"/>
  <c r="F82" i="61"/>
  <c r="F108" i="61"/>
  <c r="F117" i="61" s="1"/>
  <c r="C108" i="61"/>
  <c r="C117" i="61" s="1"/>
  <c r="C82" i="61"/>
  <c r="D108" i="61"/>
  <c r="D117" i="61" s="1"/>
  <c r="D82" i="61"/>
  <c r="E82" i="61"/>
  <c r="E108" i="61"/>
  <c r="E117" i="61" s="1"/>
  <c r="C82" i="60"/>
  <c r="C108" i="60"/>
  <c r="C117" i="60" s="1"/>
  <c r="C121" i="60" s="1"/>
  <c r="C120" i="60" s="1"/>
  <c r="C123" i="60" s="1"/>
  <c r="H108" i="60"/>
  <c r="H108" i="59"/>
  <c r="H117" i="59" s="1"/>
  <c r="H82" i="59"/>
  <c r="D82" i="56"/>
  <c r="D108" i="56"/>
  <c r="D117" i="56" s="1"/>
  <c r="D121" i="56" s="1"/>
  <c r="D120" i="56" s="1"/>
  <c r="D123" i="56" s="1"/>
  <c r="C82" i="56"/>
  <c r="C108" i="56"/>
  <c r="C117" i="56" s="1"/>
  <c r="C121" i="56" s="1"/>
  <c r="C120" i="56" s="1"/>
  <c r="C123" i="56" s="1"/>
  <c r="E82" i="56"/>
  <c r="E108" i="56"/>
  <c r="E117" i="56" s="1"/>
  <c r="E121" i="56" s="1"/>
  <c r="E120" i="56" s="1"/>
  <c r="E123" i="56" s="1"/>
  <c r="I84" i="57"/>
  <c r="I108" i="57" s="1"/>
  <c r="I117" i="57" s="1"/>
  <c r="I82" i="57"/>
  <c r="I84" i="56"/>
  <c r="I82" i="56"/>
  <c r="I108" i="56"/>
  <c r="I117" i="56" s="1"/>
  <c r="I121" i="56" s="1"/>
  <c r="I120" i="56" s="1"/>
  <c r="I123" i="56" s="1"/>
  <c r="I78" i="55"/>
  <c r="I61" i="55"/>
  <c r="I97" i="55"/>
  <c r="I68" i="55"/>
  <c r="I110" i="55"/>
  <c r="I48" i="55"/>
  <c r="I41" i="55" s="1"/>
  <c r="I27" i="55"/>
  <c r="I88" i="55"/>
  <c r="C82" i="55" l="1"/>
  <c r="D121" i="63"/>
  <c r="D120" i="63" s="1"/>
  <c r="D123" i="63" s="1"/>
  <c r="E82" i="67"/>
  <c r="E108" i="65"/>
  <c r="E117" i="65" s="1"/>
  <c r="E121" i="65" s="1"/>
  <c r="E120" i="65" s="1"/>
  <c r="E123" i="65" s="1"/>
  <c r="F121" i="63"/>
  <c r="F120" i="63" s="1"/>
  <c r="F123" i="63" s="1"/>
  <c r="E121" i="63"/>
  <c r="E120" i="63" s="1"/>
  <c r="E123" i="63" s="1"/>
  <c r="E108" i="62"/>
  <c r="E117" i="62" s="1"/>
  <c r="E121" i="62" s="1"/>
  <c r="E120" i="62" s="1"/>
  <c r="E123" i="62" s="1"/>
  <c r="F108" i="66"/>
  <c r="F117" i="66" s="1"/>
  <c r="F121" i="66" s="1"/>
  <c r="F120" i="66" s="1"/>
  <c r="F123" i="66" s="1"/>
  <c r="F82" i="66"/>
  <c r="F120" i="60"/>
  <c r="F123" i="60" s="1"/>
  <c r="D121" i="65"/>
  <c r="D120" i="65" s="1"/>
  <c r="D123" i="65" s="1"/>
  <c r="G121" i="65"/>
  <c r="G120" i="65" s="1"/>
  <c r="G123" i="65" s="1"/>
  <c r="G108" i="61"/>
  <c r="G117" i="61" s="1"/>
  <c r="G82" i="61"/>
  <c r="H121" i="59"/>
  <c r="T121" i="59" s="1"/>
  <c r="H120" i="59"/>
  <c r="G121" i="59"/>
  <c r="G120" i="59" s="1"/>
  <c r="G123" i="59" s="1"/>
  <c r="H82" i="64"/>
  <c r="H120" i="64"/>
  <c r="F108" i="55"/>
  <c r="F117" i="55" s="1"/>
  <c r="F121" i="55" s="1"/>
  <c r="F120" i="55" s="1"/>
  <c r="F123" i="55" s="1"/>
  <c r="F82" i="55"/>
  <c r="G121" i="55"/>
  <c r="G120" i="55" s="1"/>
  <c r="G123" i="55" s="1"/>
  <c r="I121" i="57"/>
  <c r="I120" i="57"/>
  <c r="I123" i="57" s="1"/>
  <c r="I121" i="66"/>
  <c r="I120" i="66" s="1"/>
  <c r="I123" i="66" s="1"/>
  <c r="I108" i="65"/>
  <c r="I117" i="65" s="1"/>
  <c r="I121" i="64"/>
  <c r="I120" i="64" s="1"/>
  <c r="I123" i="64" s="1"/>
  <c r="I121" i="62"/>
  <c r="I120" i="62" s="1"/>
  <c r="I123" i="62" s="1"/>
  <c r="I82" i="61"/>
  <c r="I82" i="59"/>
  <c r="I108" i="58"/>
  <c r="I117" i="58" s="1"/>
  <c r="I121" i="58" s="1"/>
  <c r="I120" i="58" s="1"/>
  <c r="I123" i="58" s="1"/>
  <c r="I39" i="55"/>
  <c r="I57" i="55" s="1"/>
  <c r="I59" i="55"/>
  <c r="I86" i="55"/>
  <c r="H123" i="59" l="1"/>
  <c r="T120" i="59"/>
  <c r="T123" i="59" s="1"/>
  <c r="H123" i="64"/>
  <c r="T120" i="64"/>
  <c r="T123" i="64" s="1"/>
  <c r="I121" i="65"/>
  <c r="I84" i="55"/>
  <c r="I120" i="65" l="1"/>
  <c r="T121" i="65"/>
  <c r="I108" i="55"/>
  <c r="I117" i="55" s="1"/>
  <c r="I82" i="55"/>
  <c r="I123" i="65" l="1"/>
  <c r="T120" i="65"/>
  <c r="T123" i="65" s="1"/>
  <c r="I121" i="55"/>
  <c r="I120" i="55" l="1"/>
  <c r="T121" i="55"/>
  <c r="AH32" i="47"/>
  <c r="AE32" i="47"/>
  <c r="AD32" i="47"/>
  <c r="AC32" i="47"/>
  <c r="AB32" i="47"/>
  <c r="AS24" i="47"/>
  <c r="AR24" i="47"/>
  <c r="AQ24" i="47"/>
  <c r="AP24" i="47"/>
  <c r="AO24" i="47"/>
  <c r="AN24" i="47"/>
  <c r="AM24" i="47"/>
  <c r="AL24" i="47"/>
  <c r="AK24" i="47"/>
  <c r="AJ24" i="47"/>
  <c r="AI24" i="47"/>
  <c r="AH24" i="47"/>
  <c r="AG24" i="47"/>
  <c r="AF24" i="47"/>
  <c r="AE24" i="47"/>
  <c r="AD24" i="47"/>
  <c r="AC24" i="47"/>
  <c r="AB24" i="47"/>
  <c r="AA24" i="47"/>
  <c r="Z24" i="47"/>
  <c r="Y24" i="47"/>
  <c r="X24" i="47"/>
  <c r="W24" i="47"/>
  <c r="V24" i="47"/>
  <c r="U24" i="47"/>
  <c r="T24" i="47"/>
  <c r="S24" i="47"/>
  <c r="R24" i="47"/>
  <c r="Q24" i="47"/>
  <c r="P24" i="47"/>
  <c r="O24" i="47"/>
  <c r="N24" i="47"/>
  <c r="M24" i="47"/>
  <c r="L24" i="47"/>
  <c r="K24" i="47"/>
  <c r="J24" i="47"/>
  <c r="I24" i="47"/>
  <c r="H24" i="47"/>
  <c r="G24" i="47"/>
  <c r="AH23" i="47"/>
  <c r="AF23" i="47"/>
  <c r="AF27" i="47" s="1"/>
  <c r="AF32" i="47" s="1"/>
  <c r="AE23" i="47"/>
  <c r="AD23" i="47"/>
  <c r="AC23" i="47"/>
  <c r="AB23" i="47"/>
  <c r="AL21" i="47"/>
  <c r="AL23" i="47" s="1"/>
  <c r="AL27" i="47" s="1"/>
  <c r="AL32" i="47" s="1"/>
  <c r="X20" i="47"/>
  <c r="W20" i="47"/>
  <c r="W15" i="47" s="1"/>
  <c r="V20" i="47"/>
  <c r="AS15" i="47"/>
  <c r="AR15" i="47"/>
  <c r="AQ15" i="47"/>
  <c r="AP15" i="47"/>
  <c r="AO15" i="47"/>
  <c r="AN15" i="47"/>
  <c r="AM15" i="47"/>
  <c r="AM21" i="47" s="1"/>
  <c r="AM23" i="47" s="1"/>
  <c r="AL15" i="47"/>
  <c r="AK15" i="47"/>
  <c r="AJ15" i="47"/>
  <c r="AI15" i="47"/>
  <c r="AG15" i="47"/>
  <c r="AF15" i="47"/>
  <c r="AA15" i="47"/>
  <c r="Z15" i="47"/>
  <c r="Y15" i="47"/>
  <c r="X15" i="47"/>
  <c r="V15" i="47"/>
  <c r="U15" i="47"/>
  <c r="T15" i="47"/>
  <c r="S15" i="47"/>
  <c r="R15" i="47"/>
  <c r="Q15" i="47"/>
  <c r="P15" i="47"/>
  <c r="O15" i="47"/>
  <c r="N15" i="47"/>
  <c r="M15" i="47"/>
  <c r="L15" i="47"/>
  <c r="K15" i="47"/>
  <c r="J15" i="47"/>
  <c r="I15" i="47"/>
  <c r="H15" i="47"/>
  <c r="G15" i="47"/>
  <c r="AS13" i="47"/>
  <c r="AA14" i="47"/>
  <c r="AR13" i="47"/>
  <c r="AQ13" i="47"/>
  <c r="AP13" i="47"/>
  <c r="AO13" i="47"/>
  <c r="AN13" i="47"/>
  <c r="AL13" i="47"/>
  <c r="AK13" i="47"/>
  <c r="AI13" i="47"/>
  <c r="AG13" i="47"/>
  <c r="AF13" i="47"/>
  <c r="AE13" i="47"/>
  <c r="AD13" i="47"/>
  <c r="AC13" i="47"/>
  <c r="AB13" i="47"/>
  <c r="AA13" i="47"/>
  <c r="Z13" i="47"/>
  <c r="Y13" i="47"/>
  <c r="X13" i="47"/>
  <c r="W13" i="47"/>
  <c r="V13" i="47"/>
  <c r="U13" i="47"/>
  <c r="T13" i="47"/>
  <c r="S13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AR12" i="47"/>
  <c r="AR21" i="47" s="1"/>
  <c r="AR23" i="47" s="1"/>
  <c r="AR27" i="47" s="1"/>
  <c r="AR32" i="47" s="1"/>
  <c r="Y12" i="47"/>
  <c r="I12" i="47"/>
  <c r="I21" i="47" s="1"/>
  <c r="I23" i="47" s="1"/>
  <c r="I27" i="47" s="1"/>
  <c r="I32" i="47" s="1"/>
  <c r="AS8" i="47"/>
  <c r="AS12" i="47" s="1"/>
  <c r="AR8" i="47"/>
  <c r="AQ8" i="47"/>
  <c r="AQ12" i="47" s="1"/>
  <c r="AP8" i="47"/>
  <c r="AP12" i="47" s="1"/>
  <c r="AP21" i="47" s="1"/>
  <c r="AP23" i="47" s="1"/>
  <c r="AP27" i="47" s="1"/>
  <c r="AP32" i="47" s="1"/>
  <c r="AO8" i="47"/>
  <c r="AO12" i="47" s="1"/>
  <c r="AN8" i="47"/>
  <c r="AN12" i="47" s="1"/>
  <c r="AM8" i="47"/>
  <c r="AL8" i="47"/>
  <c r="AK8" i="47"/>
  <c r="AK12" i="47" s="1"/>
  <c r="AJ8" i="47"/>
  <c r="AJ12" i="47" s="1"/>
  <c r="AJ21" i="47" s="1"/>
  <c r="AJ23" i="47" s="1"/>
  <c r="AJ27" i="47" s="1"/>
  <c r="AJ32" i="47" s="1"/>
  <c r="AI8" i="47"/>
  <c r="AH8" i="47"/>
  <c r="AG8" i="47"/>
  <c r="AG12" i="47" s="1"/>
  <c r="AG21" i="47" s="1"/>
  <c r="AG23" i="47" s="1"/>
  <c r="AG27" i="47" s="1"/>
  <c r="AG32" i="47" s="1"/>
  <c r="AF8" i="47"/>
  <c r="AF12" i="47" s="1"/>
  <c r="AE8" i="47"/>
  <c r="AE12" i="47" s="1"/>
  <c r="AD8" i="47"/>
  <c r="AD12" i="47" s="1"/>
  <c r="AC8" i="47"/>
  <c r="AC12" i="47" s="1"/>
  <c r="AB8" i="47"/>
  <c r="AB12" i="47" s="1"/>
  <c r="AA8" i="47"/>
  <c r="AA12" i="47" s="1"/>
  <c r="Z8" i="47"/>
  <c r="Z12" i="47" s="1"/>
  <c r="Z21" i="47" s="1"/>
  <c r="Z23" i="47" s="1"/>
  <c r="Z27" i="47" s="1"/>
  <c r="Z32" i="47" s="1"/>
  <c r="Y8" i="47"/>
  <c r="X8" i="47"/>
  <c r="X12" i="47" s="1"/>
  <c r="W8" i="47"/>
  <c r="W12" i="47" s="1"/>
  <c r="V8" i="47"/>
  <c r="V12" i="47" s="1"/>
  <c r="V21" i="47" s="1"/>
  <c r="V23" i="47" s="1"/>
  <c r="V27" i="47" s="1"/>
  <c r="V32" i="47" s="1"/>
  <c r="U8" i="47"/>
  <c r="U12" i="47" s="1"/>
  <c r="T8" i="47"/>
  <c r="T12" i="47" s="1"/>
  <c r="S8" i="47"/>
  <c r="S12" i="47" s="1"/>
  <c r="R8" i="47"/>
  <c r="R12" i="47" s="1"/>
  <c r="R21" i="47" s="1"/>
  <c r="R23" i="47" s="1"/>
  <c r="R27" i="47" s="1"/>
  <c r="R32" i="47" s="1"/>
  <c r="Q8" i="47"/>
  <c r="Q12" i="47" s="1"/>
  <c r="Q21" i="47" s="1"/>
  <c r="Q23" i="47" s="1"/>
  <c r="Q27" i="47" s="1"/>
  <c r="Q32" i="47" s="1"/>
  <c r="P8" i="47"/>
  <c r="P12" i="47" s="1"/>
  <c r="O8" i="47"/>
  <c r="O12" i="47" s="1"/>
  <c r="N8" i="47"/>
  <c r="N12" i="47" s="1"/>
  <c r="N21" i="47" s="1"/>
  <c r="N23" i="47" s="1"/>
  <c r="N27" i="47" s="1"/>
  <c r="N32" i="47" s="1"/>
  <c r="M8" i="47"/>
  <c r="M12" i="47" s="1"/>
  <c r="L8" i="47"/>
  <c r="L12" i="47" s="1"/>
  <c r="K8" i="47"/>
  <c r="K12" i="47" s="1"/>
  <c r="J8" i="47"/>
  <c r="J12" i="47" s="1"/>
  <c r="J21" i="47" s="1"/>
  <c r="J23" i="47" s="1"/>
  <c r="J27" i="47" s="1"/>
  <c r="J32" i="47" s="1"/>
  <c r="I8" i="47"/>
  <c r="H8" i="47"/>
  <c r="H12" i="47" s="1"/>
  <c r="G8" i="47"/>
  <c r="G12" i="47" s="1"/>
  <c r="E61" i="46"/>
  <c r="D61" i="46"/>
  <c r="C61" i="46"/>
  <c r="F61" i="46"/>
  <c r="F44" i="46"/>
  <c r="E44" i="46"/>
  <c r="D44" i="46"/>
  <c r="C44" i="46"/>
  <c r="F32" i="46"/>
  <c r="E32" i="46"/>
  <c r="D32" i="46"/>
  <c r="C32" i="46"/>
  <c r="C56" i="46" s="1"/>
  <c r="E31" i="46"/>
  <c r="D31" i="46"/>
  <c r="C31" i="46"/>
  <c r="F21" i="46"/>
  <c r="E21" i="46"/>
  <c r="D21" i="46"/>
  <c r="C21" i="46"/>
  <c r="F8" i="46"/>
  <c r="E8" i="46"/>
  <c r="E29" i="46" s="1"/>
  <c r="D8" i="46"/>
  <c r="D29" i="46" s="1"/>
  <c r="C8" i="46"/>
  <c r="C29" i="46" s="1"/>
  <c r="G28" i="45"/>
  <c r="F28" i="45"/>
  <c r="E28" i="45"/>
  <c r="D28" i="45"/>
  <c r="C28" i="45"/>
  <c r="G16" i="45"/>
  <c r="F16" i="45"/>
  <c r="E16" i="45"/>
  <c r="D16" i="45"/>
  <c r="C16" i="45"/>
  <c r="E14" i="45"/>
  <c r="C13" i="45"/>
  <c r="C15" i="45" s="1"/>
  <c r="C24" i="45" s="1"/>
  <c r="C27" i="45" s="1"/>
  <c r="C31" i="45" s="1"/>
  <c r="C36" i="45" s="1"/>
  <c r="G8" i="45"/>
  <c r="G13" i="45" s="1"/>
  <c r="G15" i="45" s="1"/>
  <c r="G24" i="45" s="1"/>
  <c r="G27" i="45" s="1"/>
  <c r="G31" i="45" s="1"/>
  <c r="G36" i="45" s="1"/>
  <c r="F8" i="45"/>
  <c r="F13" i="45" s="1"/>
  <c r="F15" i="45" s="1"/>
  <c r="F24" i="45" s="1"/>
  <c r="F27" i="45" s="1"/>
  <c r="F31" i="45" s="1"/>
  <c r="F36" i="45" s="1"/>
  <c r="E8" i="45"/>
  <c r="E13" i="45" s="1"/>
  <c r="E15" i="45" s="1"/>
  <c r="E24" i="45" s="1"/>
  <c r="E27" i="45" s="1"/>
  <c r="E31" i="45" s="1"/>
  <c r="E36" i="45" s="1"/>
  <c r="D8" i="45"/>
  <c r="D13" i="45" s="1"/>
  <c r="D15" i="45" s="1"/>
  <c r="D24" i="45" s="1"/>
  <c r="D27" i="45" s="1"/>
  <c r="D31" i="45" s="1"/>
  <c r="D36" i="45" s="1"/>
  <c r="C8" i="45"/>
  <c r="I10" i="44"/>
  <c r="H10" i="44"/>
  <c r="G10" i="44"/>
  <c r="F10" i="44"/>
  <c r="E10" i="44"/>
  <c r="N66" i="43"/>
  <c r="M66" i="43"/>
  <c r="M72" i="43" s="1"/>
  <c r="L66" i="43"/>
  <c r="L72" i="43" s="1"/>
  <c r="K66" i="43"/>
  <c r="K72" i="43" s="1"/>
  <c r="J66" i="43"/>
  <c r="I66" i="43"/>
  <c r="H66" i="43"/>
  <c r="G66" i="43"/>
  <c r="G74" i="43" s="1"/>
  <c r="F66" i="43"/>
  <c r="E66" i="43"/>
  <c r="D66" i="43"/>
  <c r="C66" i="43"/>
  <c r="N50" i="43"/>
  <c r="M50" i="43"/>
  <c r="L50" i="43"/>
  <c r="K50" i="43"/>
  <c r="J50" i="43"/>
  <c r="I50" i="43"/>
  <c r="H50" i="43"/>
  <c r="G50" i="43"/>
  <c r="F50" i="43"/>
  <c r="E50" i="43"/>
  <c r="D50" i="43"/>
  <c r="C50" i="43"/>
  <c r="N36" i="43"/>
  <c r="N65" i="43" s="1"/>
  <c r="M36" i="43"/>
  <c r="M65" i="43" s="1"/>
  <c r="L36" i="43"/>
  <c r="L65" i="43" s="1"/>
  <c r="K36" i="43"/>
  <c r="K65" i="43" s="1"/>
  <c r="J36" i="43"/>
  <c r="I36" i="43"/>
  <c r="H36" i="43"/>
  <c r="G36" i="43"/>
  <c r="G65" i="43" s="1"/>
  <c r="F36" i="43"/>
  <c r="F65" i="43" s="1"/>
  <c r="E36" i="43"/>
  <c r="E65" i="43" s="1"/>
  <c r="D36" i="43"/>
  <c r="D65" i="43" s="1"/>
  <c r="C36" i="43"/>
  <c r="C65" i="43" s="1"/>
  <c r="M35" i="43"/>
  <c r="L35" i="43"/>
  <c r="K35" i="43"/>
  <c r="J35" i="43"/>
  <c r="D33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N8" i="43"/>
  <c r="M8" i="43"/>
  <c r="M33" i="43" s="1"/>
  <c r="L8" i="43"/>
  <c r="L33" i="43" s="1"/>
  <c r="K8" i="43"/>
  <c r="K33" i="43" s="1"/>
  <c r="J8" i="43"/>
  <c r="J33" i="43" s="1"/>
  <c r="I8" i="43"/>
  <c r="I33" i="43" s="1"/>
  <c r="H8" i="43"/>
  <c r="G8" i="43"/>
  <c r="F8" i="43"/>
  <c r="E8" i="43"/>
  <c r="E33" i="43" s="1"/>
  <c r="D8" i="43"/>
  <c r="C8" i="43"/>
  <c r="C33" i="43" s="1"/>
  <c r="N32" i="42"/>
  <c r="M32" i="42"/>
  <c r="L32" i="42"/>
  <c r="K32" i="42"/>
  <c r="J32" i="42"/>
  <c r="I32" i="42"/>
  <c r="H32" i="42"/>
  <c r="G32" i="42"/>
  <c r="F32" i="42"/>
  <c r="E32" i="42"/>
  <c r="D32" i="42"/>
  <c r="C32" i="42"/>
  <c r="L30" i="42"/>
  <c r="L26" i="42"/>
  <c r="L22" i="42" s="1"/>
  <c r="N22" i="42"/>
  <c r="M22" i="42"/>
  <c r="K22" i="42"/>
  <c r="J22" i="42"/>
  <c r="I22" i="42"/>
  <c r="H22" i="42"/>
  <c r="G22" i="42"/>
  <c r="F22" i="42"/>
  <c r="E22" i="42"/>
  <c r="D22" i="42"/>
  <c r="C22" i="42"/>
  <c r="L21" i="42"/>
  <c r="L14" i="42" s="1"/>
  <c r="N14" i="42"/>
  <c r="M14" i="42"/>
  <c r="K14" i="42"/>
  <c r="J14" i="42"/>
  <c r="I14" i="42"/>
  <c r="H14" i="42"/>
  <c r="G14" i="42"/>
  <c r="F14" i="42"/>
  <c r="E14" i="42"/>
  <c r="D14" i="42"/>
  <c r="C14" i="42"/>
  <c r="M13" i="42"/>
  <c r="M29" i="42" s="1"/>
  <c r="M31" i="42" s="1"/>
  <c r="M35" i="42" s="1"/>
  <c r="M38" i="42" s="1"/>
  <c r="J13" i="42"/>
  <c r="J29" i="42" s="1"/>
  <c r="J31" i="42" s="1"/>
  <c r="J35" i="42" s="1"/>
  <c r="J38" i="42" s="1"/>
  <c r="E13" i="42"/>
  <c r="E29" i="42" s="1"/>
  <c r="E31" i="42" s="1"/>
  <c r="E35" i="42" s="1"/>
  <c r="E38" i="42" s="1"/>
  <c r="N9" i="42"/>
  <c r="M9" i="42"/>
  <c r="L9" i="42"/>
  <c r="L13" i="42" s="1"/>
  <c r="L29" i="42" s="1"/>
  <c r="L31" i="42" s="1"/>
  <c r="L35" i="42" s="1"/>
  <c r="L38" i="42" s="1"/>
  <c r="K9" i="42"/>
  <c r="K13" i="42" s="1"/>
  <c r="K29" i="42" s="1"/>
  <c r="K31" i="42" s="1"/>
  <c r="K35" i="42" s="1"/>
  <c r="K38" i="42" s="1"/>
  <c r="J9" i="42"/>
  <c r="I9" i="42"/>
  <c r="I13" i="42" s="1"/>
  <c r="I29" i="42" s="1"/>
  <c r="I31" i="42" s="1"/>
  <c r="I35" i="42" s="1"/>
  <c r="I38" i="42" s="1"/>
  <c r="H9" i="42"/>
  <c r="H13" i="42" s="1"/>
  <c r="H29" i="42" s="1"/>
  <c r="H31" i="42" s="1"/>
  <c r="H35" i="42" s="1"/>
  <c r="H38" i="42" s="1"/>
  <c r="G9" i="42"/>
  <c r="G13" i="42" s="1"/>
  <c r="G29" i="42" s="1"/>
  <c r="G31" i="42" s="1"/>
  <c r="G35" i="42" s="1"/>
  <c r="G38" i="42" s="1"/>
  <c r="F9" i="42"/>
  <c r="F13" i="42" s="1"/>
  <c r="F29" i="42" s="1"/>
  <c r="F31" i="42" s="1"/>
  <c r="F35" i="42" s="1"/>
  <c r="F38" i="42" s="1"/>
  <c r="E9" i="42"/>
  <c r="D9" i="42"/>
  <c r="D13" i="42" s="1"/>
  <c r="D29" i="42" s="1"/>
  <c r="D31" i="42" s="1"/>
  <c r="D35" i="42" s="1"/>
  <c r="D38" i="42" s="1"/>
  <c r="C9" i="42"/>
  <c r="C13" i="42" s="1"/>
  <c r="C29" i="42" s="1"/>
  <c r="C31" i="42" s="1"/>
  <c r="C35" i="42" s="1"/>
  <c r="C38" i="42" s="1"/>
  <c r="N13" i="42"/>
  <c r="E208" i="41"/>
  <c r="I206" i="41"/>
  <c r="I205" i="41"/>
  <c r="I208" i="41" s="1"/>
  <c r="H205" i="41"/>
  <c r="H206" i="41" s="1"/>
  <c r="G205" i="41"/>
  <c r="G206" i="41" s="1"/>
  <c r="F205" i="41"/>
  <c r="F206" i="41" s="1"/>
  <c r="E205" i="41"/>
  <c r="E206" i="41" s="1"/>
  <c r="AB20" i="41"/>
  <c r="AA20" i="41"/>
  <c r="Z20" i="41"/>
  <c r="Y20" i="41"/>
  <c r="X20" i="41"/>
  <c r="V20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W20" i="41"/>
  <c r="AC52" i="40"/>
  <c r="AA52" i="40"/>
  <c r="AB52" i="40"/>
  <c r="Z52" i="40"/>
  <c r="Y52" i="40"/>
  <c r="X52" i="40"/>
  <c r="W52" i="40"/>
  <c r="W60" i="40" s="1"/>
  <c r="V52" i="40"/>
  <c r="U52" i="40"/>
  <c r="T52" i="40"/>
  <c r="S52" i="40"/>
  <c r="R52" i="40"/>
  <c r="Q52" i="40"/>
  <c r="P52" i="40"/>
  <c r="O52" i="40"/>
  <c r="O60" i="40" s="1"/>
  <c r="N52" i="40"/>
  <c r="M52" i="40"/>
  <c r="L52" i="40"/>
  <c r="K52" i="40"/>
  <c r="J52" i="40"/>
  <c r="I52" i="40"/>
  <c r="H52" i="40"/>
  <c r="G52" i="40"/>
  <c r="G60" i="40" s="1"/>
  <c r="F52" i="40"/>
  <c r="E52" i="40"/>
  <c r="D52" i="40"/>
  <c r="C52" i="40"/>
  <c r="AC46" i="40"/>
  <c r="AB46" i="40"/>
  <c r="AA46" i="40"/>
  <c r="Z46" i="40"/>
  <c r="Y46" i="40"/>
  <c r="X46" i="40"/>
  <c r="W46" i="40"/>
  <c r="V46" i="40"/>
  <c r="U46" i="40"/>
  <c r="T46" i="40"/>
  <c r="S46" i="40"/>
  <c r="R46" i="40"/>
  <c r="Q46" i="40"/>
  <c r="P46" i="40"/>
  <c r="O46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T45" i="40"/>
  <c r="T34" i="40" s="1"/>
  <c r="AB34" i="40"/>
  <c r="AA34" i="40"/>
  <c r="Z34" i="40"/>
  <c r="Y34" i="40"/>
  <c r="X34" i="40"/>
  <c r="W34" i="40"/>
  <c r="V34" i="40"/>
  <c r="U34" i="40"/>
  <c r="S34" i="40"/>
  <c r="R34" i="40"/>
  <c r="Q34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AA33" i="40"/>
  <c r="Z33" i="40"/>
  <c r="W33" i="40"/>
  <c r="T33" i="40"/>
  <c r="S33" i="40"/>
  <c r="R33" i="40"/>
  <c r="Q33" i="40"/>
  <c r="P33" i="40"/>
  <c r="O33" i="40"/>
  <c r="AC28" i="40"/>
  <c r="AB28" i="40"/>
  <c r="AA28" i="40"/>
  <c r="Z28" i="40"/>
  <c r="Z18" i="40" s="1"/>
  <c r="Z31" i="40" s="1"/>
  <c r="Y28" i="40"/>
  <c r="X28" i="40"/>
  <c r="W28" i="40"/>
  <c r="V28" i="40"/>
  <c r="U28" i="40"/>
  <c r="T28" i="40"/>
  <c r="S28" i="40"/>
  <c r="R28" i="40"/>
  <c r="R18" i="40" s="1"/>
  <c r="R31" i="40" s="1"/>
  <c r="Q28" i="40"/>
  <c r="P28" i="40"/>
  <c r="O28" i="40"/>
  <c r="N28" i="40"/>
  <c r="M28" i="40"/>
  <c r="L28" i="40"/>
  <c r="K28" i="40"/>
  <c r="J28" i="40"/>
  <c r="J18" i="40" s="1"/>
  <c r="J31" i="40" s="1"/>
  <c r="I28" i="40"/>
  <c r="H28" i="40"/>
  <c r="G28" i="40"/>
  <c r="F28" i="40"/>
  <c r="E28" i="40"/>
  <c r="D28" i="40"/>
  <c r="C28" i="40"/>
  <c r="AC19" i="40"/>
  <c r="AC18" i="40" s="1"/>
  <c r="AB19" i="40"/>
  <c r="AA19" i="40"/>
  <c r="Z19" i="40"/>
  <c r="Y19" i="40"/>
  <c r="X19" i="40"/>
  <c r="W19" i="40"/>
  <c r="W18" i="40" s="1"/>
  <c r="V19" i="40"/>
  <c r="V18" i="40" s="1"/>
  <c r="U19" i="40"/>
  <c r="U18" i="40" s="1"/>
  <c r="U31" i="40" s="1"/>
  <c r="T19" i="40"/>
  <c r="S19" i="40"/>
  <c r="R19" i="40"/>
  <c r="Q19" i="40"/>
  <c r="Q18" i="40" s="1"/>
  <c r="Q31" i="40" s="1"/>
  <c r="P19" i="40"/>
  <c r="O19" i="40"/>
  <c r="O18" i="40" s="1"/>
  <c r="O31" i="40" s="1"/>
  <c r="N19" i="40"/>
  <c r="N18" i="40" s="1"/>
  <c r="M19" i="40"/>
  <c r="M18" i="40" s="1"/>
  <c r="L19" i="40"/>
  <c r="K19" i="40"/>
  <c r="J19" i="40"/>
  <c r="I19" i="40"/>
  <c r="H19" i="40"/>
  <c r="G19" i="40"/>
  <c r="G18" i="40" s="1"/>
  <c r="F19" i="40"/>
  <c r="F18" i="40" s="1"/>
  <c r="E19" i="40"/>
  <c r="D19" i="40"/>
  <c r="C19" i="40"/>
  <c r="AB18" i="40"/>
  <c r="AA18" i="40"/>
  <c r="AA31" i="40" s="1"/>
  <c r="X18" i="40"/>
  <c r="X31" i="40" s="1"/>
  <c r="T18" i="40"/>
  <c r="S18" i="40"/>
  <c r="P18" i="40"/>
  <c r="L18" i="40"/>
  <c r="K18" i="40"/>
  <c r="H18" i="40"/>
  <c r="E18" i="40"/>
  <c r="E31" i="40" s="1"/>
  <c r="D18" i="40"/>
  <c r="C18" i="40"/>
  <c r="AC8" i="40"/>
  <c r="N13" i="40"/>
  <c r="N8" i="40" s="1"/>
  <c r="AB8" i="40"/>
  <c r="AA8" i="40"/>
  <c r="Z8" i="40"/>
  <c r="Y8" i="40"/>
  <c r="X8" i="40"/>
  <c r="W8" i="40"/>
  <c r="V8" i="40"/>
  <c r="U8" i="40"/>
  <c r="T8" i="40"/>
  <c r="S8" i="40"/>
  <c r="R8" i="40"/>
  <c r="Q8" i="40"/>
  <c r="P8" i="40"/>
  <c r="O8" i="40"/>
  <c r="M8" i="40"/>
  <c r="L8" i="40"/>
  <c r="K8" i="40"/>
  <c r="J8" i="40"/>
  <c r="I8" i="40"/>
  <c r="H8" i="40"/>
  <c r="G8" i="40"/>
  <c r="F8" i="40"/>
  <c r="E8" i="40"/>
  <c r="D8" i="40"/>
  <c r="C8" i="40"/>
  <c r="S87" i="39"/>
  <c r="S82" i="39"/>
  <c r="AC79" i="39"/>
  <c r="AB79" i="39"/>
  <c r="AA79" i="39"/>
  <c r="AA89" i="39" s="1"/>
  <c r="Z79" i="39"/>
  <c r="Y79" i="39"/>
  <c r="X79" i="39"/>
  <c r="S79" i="39"/>
  <c r="R79" i="39"/>
  <c r="Q79" i="39"/>
  <c r="O79" i="39"/>
  <c r="N79" i="39"/>
  <c r="M79" i="39"/>
  <c r="M89" i="39" s="1"/>
  <c r="L79" i="39"/>
  <c r="K79" i="39"/>
  <c r="J79" i="39"/>
  <c r="J89" i="39" s="1"/>
  <c r="I79" i="39"/>
  <c r="H79" i="39"/>
  <c r="G79" i="39"/>
  <c r="F79" i="39"/>
  <c r="E79" i="39"/>
  <c r="E89" i="39" s="1"/>
  <c r="D79" i="39"/>
  <c r="C79" i="39"/>
  <c r="X78" i="39"/>
  <c r="X65" i="39" s="1"/>
  <c r="S78" i="39"/>
  <c r="N70" i="39"/>
  <c r="N65" i="39" s="1"/>
  <c r="AB65" i="39"/>
  <c r="AA65" i="39"/>
  <c r="Z65" i="39"/>
  <c r="Y65" i="39"/>
  <c r="S65" i="39"/>
  <c r="R65" i="39"/>
  <c r="Q65" i="39"/>
  <c r="O65" i="39"/>
  <c r="M65" i="39"/>
  <c r="L65" i="39"/>
  <c r="K65" i="39"/>
  <c r="J65" i="39"/>
  <c r="I65" i="39"/>
  <c r="I89" i="39" s="1"/>
  <c r="H65" i="39"/>
  <c r="G65" i="39"/>
  <c r="F65" i="39"/>
  <c r="F89" i="39" s="1"/>
  <c r="E65" i="39"/>
  <c r="D65" i="39"/>
  <c r="C65" i="39"/>
  <c r="X64" i="39"/>
  <c r="S64" i="39"/>
  <c r="S46" i="39" s="1"/>
  <c r="N64" i="39"/>
  <c r="M64" i="39"/>
  <c r="Z46" i="39"/>
  <c r="AC46" i="39"/>
  <c r="AB46" i="39"/>
  <c r="AA46" i="39"/>
  <c r="Y46" i="39"/>
  <c r="X46" i="39"/>
  <c r="R46" i="39"/>
  <c r="Q46" i="39"/>
  <c r="O46" i="39"/>
  <c r="N46" i="39"/>
  <c r="M46" i="39"/>
  <c r="L46" i="39"/>
  <c r="K46" i="39"/>
  <c r="J46" i="39"/>
  <c r="I46" i="39"/>
  <c r="H46" i="39"/>
  <c r="G46" i="39"/>
  <c r="F46" i="39"/>
  <c r="E46" i="39"/>
  <c r="D46" i="39"/>
  <c r="C46" i="39"/>
  <c r="AA45" i="39"/>
  <c r="Z45" i="39"/>
  <c r="T45" i="39"/>
  <c r="AC36" i="39"/>
  <c r="AB36" i="39"/>
  <c r="AA36" i="39"/>
  <c r="Z36" i="39"/>
  <c r="Y36" i="39"/>
  <c r="X36" i="39"/>
  <c r="W36" i="39"/>
  <c r="W25" i="39" s="1"/>
  <c r="V36" i="39"/>
  <c r="U36" i="39"/>
  <c r="T36" i="39"/>
  <c r="S36" i="39"/>
  <c r="R36" i="39"/>
  <c r="Q36" i="39"/>
  <c r="P36" i="39"/>
  <c r="O36" i="39"/>
  <c r="O25" i="39" s="1"/>
  <c r="N36" i="39"/>
  <c r="M36" i="39"/>
  <c r="L36" i="39"/>
  <c r="K36" i="39"/>
  <c r="J36" i="39"/>
  <c r="I36" i="39"/>
  <c r="H36" i="39"/>
  <c r="G36" i="39"/>
  <c r="G25" i="39" s="1"/>
  <c r="F36" i="39"/>
  <c r="E36" i="39"/>
  <c r="D36" i="39"/>
  <c r="C36" i="39"/>
  <c r="X35" i="39"/>
  <c r="X30" i="39"/>
  <c r="X26" i="39" s="1"/>
  <c r="X25" i="39" s="1"/>
  <c r="S27" i="39"/>
  <c r="AB26" i="39"/>
  <c r="AB25" i="39" s="1"/>
  <c r="AA26" i="39"/>
  <c r="Z26" i="39"/>
  <c r="Y26" i="39"/>
  <c r="W26" i="39"/>
  <c r="V26" i="39"/>
  <c r="V25" i="39" s="1"/>
  <c r="U26" i="39"/>
  <c r="T26" i="39"/>
  <c r="S26" i="39"/>
  <c r="S25" i="39" s="1"/>
  <c r="R26" i="39"/>
  <c r="Q26" i="39"/>
  <c r="P26" i="39"/>
  <c r="P25" i="39" s="1"/>
  <c r="O26" i="39"/>
  <c r="N26" i="39"/>
  <c r="N25" i="39" s="1"/>
  <c r="N43" i="39" s="1"/>
  <c r="M26" i="39"/>
  <c r="L26" i="39"/>
  <c r="K26" i="39"/>
  <c r="J26" i="39"/>
  <c r="I26" i="39"/>
  <c r="H26" i="39"/>
  <c r="H25" i="39" s="1"/>
  <c r="G26" i="39"/>
  <c r="F26" i="39"/>
  <c r="E26" i="39"/>
  <c r="D26" i="39"/>
  <c r="C26" i="39"/>
  <c r="Z25" i="39"/>
  <c r="U25" i="39"/>
  <c r="R25" i="39"/>
  <c r="M25" i="39"/>
  <c r="J25" i="39"/>
  <c r="F25" i="39"/>
  <c r="E25" i="39"/>
  <c r="D25" i="39"/>
  <c r="C25" i="39"/>
  <c r="N24" i="39"/>
  <c r="AC8" i="39"/>
  <c r="N9" i="39"/>
  <c r="L9" i="39"/>
  <c r="AB8" i="39"/>
  <c r="AA8" i="39"/>
  <c r="Z8" i="39"/>
  <c r="Z43" i="39" s="1"/>
  <c r="Y8" i="39"/>
  <c r="X8" i="39"/>
  <c r="W8" i="39"/>
  <c r="V8" i="39"/>
  <c r="U8" i="39"/>
  <c r="T8" i="39"/>
  <c r="S8" i="39"/>
  <c r="R8" i="39"/>
  <c r="R43" i="39" s="1"/>
  <c r="Q8" i="39"/>
  <c r="P8" i="39"/>
  <c r="P43" i="39" s="1"/>
  <c r="P90" i="39" s="1"/>
  <c r="O8" i="39"/>
  <c r="N8" i="39"/>
  <c r="M8" i="39"/>
  <c r="L8" i="39"/>
  <c r="K8" i="39"/>
  <c r="J8" i="39"/>
  <c r="J43" i="39" s="1"/>
  <c r="I8" i="39"/>
  <c r="H8" i="39"/>
  <c r="H43" i="39" s="1"/>
  <c r="G8" i="39"/>
  <c r="F8" i="39"/>
  <c r="F43" i="39" s="1"/>
  <c r="E8" i="39"/>
  <c r="E43" i="39" s="1"/>
  <c r="D8" i="39"/>
  <c r="C8" i="39"/>
  <c r="D30" i="38"/>
  <c r="C30" i="38"/>
  <c r="Q23" i="38"/>
  <c r="P23" i="38"/>
  <c r="O23" i="38"/>
  <c r="N23" i="38"/>
  <c r="M23" i="38"/>
  <c r="L23" i="38"/>
  <c r="K23" i="38"/>
  <c r="J23" i="38"/>
  <c r="I23" i="38"/>
  <c r="H23" i="38"/>
  <c r="G23" i="38"/>
  <c r="F23" i="38"/>
  <c r="E23" i="38"/>
  <c r="D23" i="38"/>
  <c r="C23" i="38"/>
  <c r="F20" i="38"/>
  <c r="F22" i="38" s="1"/>
  <c r="F26" i="38" s="1"/>
  <c r="F30" i="38" s="1"/>
  <c r="Q14" i="38"/>
  <c r="P14" i="38"/>
  <c r="O14" i="38"/>
  <c r="N14" i="38"/>
  <c r="M14" i="38"/>
  <c r="L14" i="38"/>
  <c r="K14" i="38"/>
  <c r="J14" i="38"/>
  <c r="I14" i="38"/>
  <c r="H14" i="38"/>
  <c r="G14" i="38"/>
  <c r="F14" i="38"/>
  <c r="E14" i="38"/>
  <c r="D14" i="38"/>
  <c r="C14" i="38"/>
  <c r="P13" i="38"/>
  <c r="P20" i="38" s="1"/>
  <c r="P22" i="38" s="1"/>
  <c r="P26" i="38" s="1"/>
  <c r="P30" i="38" s="1"/>
  <c r="I13" i="38"/>
  <c r="I20" i="38" s="1"/>
  <c r="I22" i="38" s="1"/>
  <c r="I26" i="38" s="1"/>
  <c r="I30" i="38" s="1"/>
  <c r="H13" i="38"/>
  <c r="H20" i="38" s="1"/>
  <c r="H22" i="38" s="1"/>
  <c r="H26" i="38" s="1"/>
  <c r="H30" i="38" s="1"/>
  <c r="Q9" i="38"/>
  <c r="Q13" i="38" s="1"/>
  <c r="Q20" i="38" s="1"/>
  <c r="Q22" i="38" s="1"/>
  <c r="Q26" i="38" s="1"/>
  <c r="Q30" i="38" s="1"/>
  <c r="P9" i="38"/>
  <c r="O9" i="38"/>
  <c r="O13" i="38" s="1"/>
  <c r="O20" i="38" s="1"/>
  <c r="O22" i="38" s="1"/>
  <c r="O26" i="38" s="1"/>
  <c r="O30" i="38" s="1"/>
  <c r="N9" i="38"/>
  <c r="N13" i="38" s="1"/>
  <c r="N20" i="38" s="1"/>
  <c r="N22" i="38" s="1"/>
  <c r="N26" i="38" s="1"/>
  <c r="N30" i="38" s="1"/>
  <c r="M9" i="38"/>
  <c r="M13" i="38" s="1"/>
  <c r="M20" i="38" s="1"/>
  <c r="M22" i="38" s="1"/>
  <c r="M26" i="38" s="1"/>
  <c r="M30" i="38" s="1"/>
  <c r="L9" i="38"/>
  <c r="L13" i="38" s="1"/>
  <c r="L20" i="38" s="1"/>
  <c r="L22" i="38" s="1"/>
  <c r="L26" i="38" s="1"/>
  <c r="L30" i="38" s="1"/>
  <c r="K9" i="38"/>
  <c r="K13" i="38" s="1"/>
  <c r="K20" i="38" s="1"/>
  <c r="K22" i="38" s="1"/>
  <c r="K26" i="38" s="1"/>
  <c r="K30" i="38" s="1"/>
  <c r="J9" i="38"/>
  <c r="J13" i="38" s="1"/>
  <c r="J20" i="38" s="1"/>
  <c r="J22" i="38" s="1"/>
  <c r="J26" i="38" s="1"/>
  <c r="J30" i="38" s="1"/>
  <c r="I9" i="38"/>
  <c r="H9" i="38"/>
  <c r="G9" i="38"/>
  <c r="G13" i="38" s="1"/>
  <c r="G20" i="38" s="1"/>
  <c r="G22" i="38" s="1"/>
  <c r="G26" i="38" s="1"/>
  <c r="G30" i="38" s="1"/>
  <c r="F9" i="38"/>
  <c r="F13" i="38" s="1"/>
  <c r="E9" i="38"/>
  <c r="E13" i="38" s="1"/>
  <c r="E20" i="38" s="1"/>
  <c r="E22" i="38" s="1"/>
  <c r="E26" i="38" s="1"/>
  <c r="E30" i="38" s="1"/>
  <c r="D9" i="38"/>
  <c r="D13" i="38" s="1"/>
  <c r="D20" i="38" s="1"/>
  <c r="D22" i="38" s="1"/>
  <c r="D26" i="38" s="1"/>
  <c r="C9" i="38"/>
  <c r="C13" i="38" s="1"/>
  <c r="C20" i="38" s="1"/>
  <c r="C22" i="38" s="1"/>
  <c r="C26" i="38" s="1"/>
  <c r="AA34" i="37"/>
  <c r="AA39" i="37" s="1"/>
  <c r="N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U30" i="37"/>
  <c r="U34" i="37" s="1"/>
  <c r="U39" i="37" s="1"/>
  <c r="T30" i="37"/>
  <c r="T34" i="37" s="1"/>
  <c r="T39" i="37" s="1"/>
  <c r="E30" i="37"/>
  <c r="E34" i="37" s="1"/>
  <c r="E39" i="37" s="1"/>
  <c r="Y28" i="37"/>
  <c r="Y30" i="37" s="1"/>
  <c r="Y34" i="37" s="1"/>
  <c r="Y39" i="37" s="1"/>
  <c r="X28" i="37"/>
  <c r="X30" i="37" s="1"/>
  <c r="X34" i="37" s="1"/>
  <c r="X39" i="37" s="1"/>
  <c r="Q28" i="37"/>
  <c r="Q30" i="37" s="1"/>
  <c r="Q34" i="37" s="1"/>
  <c r="Q39" i="37" s="1"/>
  <c r="P28" i="37"/>
  <c r="P30" i="37" s="1"/>
  <c r="P34" i="37" s="1"/>
  <c r="P39" i="37" s="1"/>
  <c r="I28" i="37"/>
  <c r="I30" i="37" s="1"/>
  <c r="I34" i="37" s="1"/>
  <c r="I39" i="37" s="1"/>
  <c r="H28" i="37"/>
  <c r="H30" i="37" s="1"/>
  <c r="H34" i="37" s="1"/>
  <c r="H39" i="37" s="1"/>
  <c r="G25" i="37"/>
  <c r="G21" i="37" s="1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F21" i="37"/>
  <c r="E21" i="37"/>
  <c r="D21" i="37"/>
  <c r="C21" i="37"/>
  <c r="AC19" i="37"/>
  <c r="AC28" i="37" s="1"/>
  <c r="AC30" i="37" s="1"/>
  <c r="AC34" i="37" s="1"/>
  <c r="AC39" i="37" s="1"/>
  <c r="Y19" i="37"/>
  <c r="U19" i="37"/>
  <c r="U28" i="37" s="1"/>
  <c r="T19" i="37"/>
  <c r="T28" i="37" s="1"/>
  <c r="Q19" i="37"/>
  <c r="M19" i="37"/>
  <c r="M28" i="37" s="1"/>
  <c r="M30" i="37" s="1"/>
  <c r="M34" i="37" s="1"/>
  <c r="M39" i="37" s="1"/>
  <c r="I19" i="37"/>
  <c r="E19" i="37"/>
  <c r="E28" i="37" s="1"/>
  <c r="AC9" i="37"/>
  <c r="AB9" i="37"/>
  <c r="AB19" i="37" s="1"/>
  <c r="AB28" i="37" s="1"/>
  <c r="AB30" i="37" s="1"/>
  <c r="AB34" i="37" s="1"/>
  <c r="AB39" i="37" s="1"/>
  <c r="AA9" i="37"/>
  <c r="AA19" i="37" s="1"/>
  <c r="AA28" i="37" s="1"/>
  <c r="AA30" i="37" s="1"/>
  <c r="Z9" i="37"/>
  <c r="Z19" i="37" s="1"/>
  <c r="Z28" i="37" s="1"/>
  <c r="Z30" i="37" s="1"/>
  <c r="Z34" i="37" s="1"/>
  <c r="Z39" i="37" s="1"/>
  <c r="Y9" i="37"/>
  <c r="X9" i="37"/>
  <c r="X19" i="37" s="1"/>
  <c r="W9" i="37"/>
  <c r="W19" i="37" s="1"/>
  <c r="W28" i="37" s="1"/>
  <c r="W30" i="37" s="1"/>
  <c r="W34" i="37" s="1"/>
  <c r="W39" i="37" s="1"/>
  <c r="V9" i="37"/>
  <c r="V19" i="37" s="1"/>
  <c r="V28" i="37" s="1"/>
  <c r="V30" i="37" s="1"/>
  <c r="V34" i="37" s="1"/>
  <c r="V39" i="37" s="1"/>
  <c r="U9" i="37"/>
  <c r="T9" i="37"/>
  <c r="S9" i="37"/>
  <c r="S19" i="37" s="1"/>
  <c r="S28" i="37" s="1"/>
  <c r="S30" i="37" s="1"/>
  <c r="S34" i="37" s="1"/>
  <c r="S39" i="37" s="1"/>
  <c r="R9" i="37"/>
  <c r="R19" i="37" s="1"/>
  <c r="R28" i="37" s="1"/>
  <c r="R30" i="37" s="1"/>
  <c r="R34" i="37" s="1"/>
  <c r="R39" i="37" s="1"/>
  <c r="Q9" i="37"/>
  <c r="P9" i="37"/>
  <c r="P19" i="37" s="1"/>
  <c r="O9" i="37"/>
  <c r="O19" i="37" s="1"/>
  <c r="O28" i="37" s="1"/>
  <c r="O30" i="37" s="1"/>
  <c r="O34" i="37" s="1"/>
  <c r="O39" i="37" s="1"/>
  <c r="N9" i="37"/>
  <c r="N19" i="37" s="1"/>
  <c r="N28" i="37" s="1"/>
  <c r="N30" i="37" s="1"/>
  <c r="N34" i="37" s="1"/>
  <c r="N39" i="37" s="1"/>
  <c r="M9" i="37"/>
  <c r="L9" i="37"/>
  <c r="L19" i="37" s="1"/>
  <c r="L28" i="37" s="1"/>
  <c r="L30" i="37" s="1"/>
  <c r="L34" i="37" s="1"/>
  <c r="L39" i="37" s="1"/>
  <c r="K9" i="37"/>
  <c r="K19" i="37" s="1"/>
  <c r="K28" i="37" s="1"/>
  <c r="K30" i="37" s="1"/>
  <c r="K34" i="37" s="1"/>
  <c r="K39" i="37" s="1"/>
  <c r="J9" i="37"/>
  <c r="J19" i="37" s="1"/>
  <c r="J28" i="37" s="1"/>
  <c r="J30" i="37" s="1"/>
  <c r="J34" i="37" s="1"/>
  <c r="J39" i="37" s="1"/>
  <c r="I9" i="37"/>
  <c r="H9" i="37"/>
  <c r="H19" i="37" s="1"/>
  <c r="G9" i="37"/>
  <c r="G19" i="37" s="1"/>
  <c r="G28" i="37" s="1"/>
  <c r="G30" i="37" s="1"/>
  <c r="G34" i="37" s="1"/>
  <c r="G39" i="37" s="1"/>
  <c r="F9" i="37"/>
  <c r="F19" i="37" s="1"/>
  <c r="F28" i="37" s="1"/>
  <c r="F30" i="37" s="1"/>
  <c r="F34" i="37" s="1"/>
  <c r="F39" i="37" s="1"/>
  <c r="E9" i="37"/>
  <c r="D9" i="37"/>
  <c r="D19" i="37" s="1"/>
  <c r="D28" i="37" s="1"/>
  <c r="D30" i="37" s="1"/>
  <c r="D34" i="37" s="1"/>
  <c r="D39" i="37" s="1"/>
  <c r="C9" i="37"/>
  <c r="C19" i="37" s="1"/>
  <c r="C28" i="37" s="1"/>
  <c r="C30" i="37" s="1"/>
  <c r="C34" i="37" s="1"/>
  <c r="C39" i="37" s="1"/>
  <c r="N30" i="36"/>
  <c r="G30" i="36"/>
  <c r="AC24" i="36"/>
  <c r="AB24" i="36"/>
  <c r="AA24" i="36"/>
  <c r="Z24" i="36"/>
  <c r="Y24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T23" i="36"/>
  <c r="T27" i="36" s="1"/>
  <c r="T30" i="36" s="1"/>
  <c r="G21" i="36"/>
  <c r="G23" i="36" s="1"/>
  <c r="G27" i="36" s="1"/>
  <c r="O19" i="36"/>
  <c r="O15" i="36" s="1"/>
  <c r="AC15" i="36"/>
  <c r="AB15" i="36"/>
  <c r="AA15" i="36"/>
  <c r="Z15" i="36"/>
  <c r="Y15" i="36"/>
  <c r="X15" i="36"/>
  <c r="X21" i="36" s="1"/>
  <c r="X23" i="36" s="1"/>
  <c r="X27" i="36" s="1"/>
  <c r="X30" i="36" s="1"/>
  <c r="W15" i="36"/>
  <c r="V15" i="36"/>
  <c r="U15" i="36"/>
  <c r="T15" i="36"/>
  <c r="S15" i="36"/>
  <c r="R15" i="36"/>
  <c r="Q15" i="36"/>
  <c r="P15" i="36"/>
  <c r="P21" i="36" s="1"/>
  <c r="P23" i="36" s="1"/>
  <c r="P27" i="36" s="1"/>
  <c r="P30" i="36" s="1"/>
  <c r="N15" i="36"/>
  <c r="M15" i="36"/>
  <c r="L15" i="36"/>
  <c r="K15" i="36"/>
  <c r="J15" i="36"/>
  <c r="I15" i="36"/>
  <c r="H15" i="36"/>
  <c r="H21" i="36" s="1"/>
  <c r="H23" i="36" s="1"/>
  <c r="H27" i="36" s="1"/>
  <c r="H30" i="36" s="1"/>
  <c r="G15" i="36"/>
  <c r="F15" i="36"/>
  <c r="E15" i="36"/>
  <c r="D15" i="36"/>
  <c r="C15" i="36"/>
  <c r="AB14" i="36"/>
  <c r="AB21" i="36" s="1"/>
  <c r="AB23" i="36" s="1"/>
  <c r="AB27" i="36" s="1"/>
  <c r="AB30" i="36" s="1"/>
  <c r="AA14" i="36"/>
  <c r="AA21" i="36" s="1"/>
  <c r="AA23" i="36" s="1"/>
  <c r="AA27" i="36" s="1"/>
  <c r="AA30" i="36" s="1"/>
  <c r="X14" i="36"/>
  <c r="T14" i="36"/>
  <c r="T21" i="36" s="1"/>
  <c r="P14" i="36"/>
  <c r="L14" i="36"/>
  <c r="L21" i="36" s="1"/>
  <c r="L23" i="36" s="1"/>
  <c r="L27" i="36" s="1"/>
  <c r="L30" i="36" s="1"/>
  <c r="H14" i="36"/>
  <c r="D14" i="36"/>
  <c r="D21" i="36" s="1"/>
  <c r="D23" i="36" s="1"/>
  <c r="D27" i="36" s="1"/>
  <c r="D30" i="36" s="1"/>
  <c r="AC9" i="36"/>
  <c r="AC14" i="36" s="1"/>
  <c r="AB9" i="36"/>
  <c r="AA9" i="36"/>
  <c r="Z9" i="36"/>
  <c r="Z14" i="36" s="1"/>
  <c r="Z21" i="36" s="1"/>
  <c r="Z23" i="36" s="1"/>
  <c r="Z27" i="36" s="1"/>
  <c r="Z30" i="36" s="1"/>
  <c r="Y9" i="36"/>
  <c r="Y14" i="36" s="1"/>
  <c r="Y21" i="36" s="1"/>
  <c r="Y23" i="36" s="1"/>
  <c r="X9" i="36"/>
  <c r="W9" i="36"/>
  <c r="W14" i="36" s="1"/>
  <c r="W21" i="36" s="1"/>
  <c r="W23" i="36" s="1"/>
  <c r="W27" i="36" s="1"/>
  <c r="W30" i="36" s="1"/>
  <c r="V9" i="36"/>
  <c r="V14" i="36" s="1"/>
  <c r="V21" i="36" s="1"/>
  <c r="V23" i="36" s="1"/>
  <c r="V27" i="36" s="1"/>
  <c r="V30" i="36" s="1"/>
  <c r="U9" i="36"/>
  <c r="U14" i="36" s="1"/>
  <c r="U21" i="36" s="1"/>
  <c r="U23" i="36" s="1"/>
  <c r="U27" i="36" s="1"/>
  <c r="U30" i="36" s="1"/>
  <c r="T9" i="36"/>
  <c r="S9" i="36"/>
  <c r="S14" i="36" s="1"/>
  <c r="S21" i="36" s="1"/>
  <c r="S23" i="36" s="1"/>
  <c r="S27" i="36" s="1"/>
  <c r="S30" i="36" s="1"/>
  <c r="R9" i="36"/>
  <c r="R14" i="36" s="1"/>
  <c r="R21" i="36" s="1"/>
  <c r="R23" i="36" s="1"/>
  <c r="R27" i="36" s="1"/>
  <c r="R30" i="36" s="1"/>
  <c r="Q9" i="36"/>
  <c r="Q14" i="36" s="1"/>
  <c r="Q21" i="36" s="1"/>
  <c r="Q23" i="36" s="1"/>
  <c r="Q27" i="36" s="1"/>
  <c r="Q30" i="36" s="1"/>
  <c r="P9" i="36"/>
  <c r="O9" i="36"/>
  <c r="O14" i="36" s="1"/>
  <c r="O21" i="36" s="1"/>
  <c r="O23" i="36" s="1"/>
  <c r="O27" i="36" s="1"/>
  <c r="O30" i="36" s="1"/>
  <c r="N9" i="36"/>
  <c r="N14" i="36" s="1"/>
  <c r="N21" i="36" s="1"/>
  <c r="N23" i="36" s="1"/>
  <c r="N27" i="36" s="1"/>
  <c r="M9" i="36"/>
  <c r="M14" i="36" s="1"/>
  <c r="M21" i="36" s="1"/>
  <c r="M23" i="36" s="1"/>
  <c r="M27" i="36" s="1"/>
  <c r="M30" i="36" s="1"/>
  <c r="L9" i="36"/>
  <c r="K9" i="36"/>
  <c r="K14" i="36" s="1"/>
  <c r="K21" i="36" s="1"/>
  <c r="K23" i="36" s="1"/>
  <c r="K27" i="36" s="1"/>
  <c r="K30" i="36" s="1"/>
  <c r="J9" i="36"/>
  <c r="J14" i="36" s="1"/>
  <c r="J21" i="36" s="1"/>
  <c r="J23" i="36" s="1"/>
  <c r="J27" i="36" s="1"/>
  <c r="J30" i="36" s="1"/>
  <c r="I9" i="36"/>
  <c r="I14" i="36" s="1"/>
  <c r="H9" i="36"/>
  <c r="G9" i="36"/>
  <c r="G14" i="36" s="1"/>
  <c r="F9" i="36"/>
  <c r="F14" i="36" s="1"/>
  <c r="F21" i="36" s="1"/>
  <c r="F23" i="36" s="1"/>
  <c r="F27" i="36" s="1"/>
  <c r="F30" i="36" s="1"/>
  <c r="E9" i="36"/>
  <c r="E14" i="36" s="1"/>
  <c r="E21" i="36" s="1"/>
  <c r="E23" i="36" s="1"/>
  <c r="E27" i="36" s="1"/>
  <c r="E30" i="36" s="1"/>
  <c r="D9" i="36"/>
  <c r="C9" i="36"/>
  <c r="C14" i="36" s="1"/>
  <c r="C21" i="36" s="1"/>
  <c r="C23" i="36" s="1"/>
  <c r="C27" i="36" s="1"/>
  <c r="C30" i="36" s="1"/>
  <c r="L35" i="35"/>
  <c r="M34" i="35"/>
  <c r="M38" i="35" s="1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M30" i="35"/>
  <c r="Y28" i="35"/>
  <c r="Y30" i="35" s="1"/>
  <c r="Y34" i="35" s="1"/>
  <c r="Y38" i="35" s="1"/>
  <c r="Q28" i="35"/>
  <c r="Q30" i="35" s="1"/>
  <c r="AB21" i="35"/>
  <c r="AA21" i="35"/>
  <c r="Z21" i="35"/>
  <c r="Y21" i="35"/>
  <c r="X21" i="35"/>
  <c r="X28" i="35" s="1"/>
  <c r="X30" i="35" s="1"/>
  <c r="X34" i="35" s="1"/>
  <c r="X38" i="35" s="1"/>
  <c r="W21" i="35"/>
  <c r="V21" i="35"/>
  <c r="U21" i="35"/>
  <c r="T21" i="35"/>
  <c r="S21" i="35"/>
  <c r="R21" i="35"/>
  <c r="Q21" i="35"/>
  <c r="P21" i="35"/>
  <c r="P28" i="35" s="1"/>
  <c r="P30" i="35" s="1"/>
  <c r="P34" i="35" s="1"/>
  <c r="P38" i="35" s="1"/>
  <c r="O21" i="35"/>
  <c r="N21" i="35"/>
  <c r="M21" i="35"/>
  <c r="L21" i="35"/>
  <c r="K21" i="35"/>
  <c r="J21" i="35"/>
  <c r="I21" i="35"/>
  <c r="H21" i="35"/>
  <c r="G21" i="35"/>
  <c r="F21" i="35"/>
  <c r="E21" i="35"/>
  <c r="D21" i="35"/>
  <c r="C21" i="35"/>
  <c r="T19" i="35"/>
  <c r="T28" i="35" s="1"/>
  <c r="T30" i="35" s="1"/>
  <c r="T34" i="35" s="1"/>
  <c r="T38" i="35" s="1"/>
  <c r="S19" i="35"/>
  <c r="S28" i="35" s="1"/>
  <c r="S30" i="35" s="1"/>
  <c r="S34" i="35" s="1"/>
  <c r="S38" i="35" s="1"/>
  <c r="D19" i="35"/>
  <c r="D28" i="35" s="1"/>
  <c r="D30" i="35" s="1"/>
  <c r="D34" i="35" s="1"/>
  <c r="D38" i="35" s="1"/>
  <c r="AC9" i="35"/>
  <c r="AC19" i="35" s="1"/>
  <c r="O14" i="35"/>
  <c r="AB9" i="35"/>
  <c r="AB19" i="35" s="1"/>
  <c r="AB28" i="35" s="1"/>
  <c r="AB30" i="35" s="1"/>
  <c r="AB34" i="35" s="1"/>
  <c r="AB38" i="35" s="1"/>
  <c r="AA9" i="35"/>
  <c r="AA19" i="35" s="1"/>
  <c r="AA28" i="35" s="1"/>
  <c r="AA30" i="35" s="1"/>
  <c r="AA34" i="35" s="1"/>
  <c r="AA38" i="35" s="1"/>
  <c r="Z9" i="35"/>
  <c r="Z19" i="35" s="1"/>
  <c r="Z28" i="35" s="1"/>
  <c r="Z30" i="35" s="1"/>
  <c r="Y9" i="35"/>
  <c r="Y19" i="35" s="1"/>
  <c r="X9" i="35"/>
  <c r="X19" i="35" s="1"/>
  <c r="W9" i="35"/>
  <c r="W19" i="35" s="1"/>
  <c r="W28" i="35" s="1"/>
  <c r="W30" i="35" s="1"/>
  <c r="W34" i="35" s="1"/>
  <c r="W38" i="35" s="1"/>
  <c r="V9" i="35"/>
  <c r="V19" i="35" s="1"/>
  <c r="V28" i="35" s="1"/>
  <c r="V30" i="35" s="1"/>
  <c r="V34" i="35" s="1"/>
  <c r="V38" i="35" s="1"/>
  <c r="U9" i="35"/>
  <c r="U19" i="35" s="1"/>
  <c r="U28" i="35" s="1"/>
  <c r="U30" i="35" s="1"/>
  <c r="U34" i="35" s="1"/>
  <c r="U38" i="35" s="1"/>
  <c r="T9" i="35"/>
  <c r="S9" i="35"/>
  <c r="R9" i="35"/>
  <c r="R19" i="35" s="1"/>
  <c r="R28" i="35" s="1"/>
  <c r="R30" i="35" s="1"/>
  <c r="Q9" i="35"/>
  <c r="Q19" i="35" s="1"/>
  <c r="P9" i="35"/>
  <c r="P19" i="35" s="1"/>
  <c r="O9" i="35"/>
  <c r="O19" i="35" s="1"/>
  <c r="O28" i="35" s="1"/>
  <c r="O30" i="35" s="1"/>
  <c r="O34" i="35" s="1"/>
  <c r="O38" i="35" s="1"/>
  <c r="N9" i="35"/>
  <c r="N19" i="35" s="1"/>
  <c r="N28" i="35" s="1"/>
  <c r="N30" i="35" s="1"/>
  <c r="N34" i="35" s="1"/>
  <c r="N38" i="35" s="1"/>
  <c r="M9" i="35"/>
  <c r="M19" i="35" s="1"/>
  <c r="M28" i="35" s="1"/>
  <c r="L9" i="35"/>
  <c r="L19" i="35" s="1"/>
  <c r="L28" i="35" s="1"/>
  <c r="L30" i="35" s="1"/>
  <c r="L34" i="35" s="1"/>
  <c r="L38" i="35" s="1"/>
  <c r="K9" i="35"/>
  <c r="K19" i="35" s="1"/>
  <c r="K28" i="35" s="1"/>
  <c r="K30" i="35" s="1"/>
  <c r="K34" i="35" s="1"/>
  <c r="K38" i="35" s="1"/>
  <c r="J9" i="35"/>
  <c r="J19" i="35" s="1"/>
  <c r="J28" i="35" s="1"/>
  <c r="J30" i="35" s="1"/>
  <c r="I9" i="35"/>
  <c r="I19" i="35" s="1"/>
  <c r="I28" i="35" s="1"/>
  <c r="I30" i="35" s="1"/>
  <c r="I34" i="35" s="1"/>
  <c r="I38" i="35" s="1"/>
  <c r="H9" i="35"/>
  <c r="H19" i="35" s="1"/>
  <c r="H28" i="35" s="1"/>
  <c r="H30" i="35" s="1"/>
  <c r="H34" i="35" s="1"/>
  <c r="H38" i="35" s="1"/>
  <c r="G9" i="35"/>
  <c r="G19" i="35" s="1"/>
  <c r="G28" i="35" s="1"/>
  <c r="G30" i="35" s="1"/>
  <c r="G34" i="35" s="1"/>
  <c r="G38" i="35" s="1"/>
  <c r="F9" i="35"/>
  <c r="F19" i="35" s="1"/>
  <c r="F28" i="35" s="1"/>
  <c r="F30" i="35" s="1"/>
  <c r="F34" i="35" s="1"/>
  <c r="F38" i="35" s="1"/>
  <c r="E9" i="35"/>
  <c r="E19" i="35" s="1"/>
  <c r="E28" i="35" s="1"/>
  <c r="E30" i="35" s="1"/>
  <c r="E34" i="35" s="1"/>
  <c r="E38" i="35" s="1"/>
  <c r="D9" i="35"/>
  <c r="C9" i="35"/>
  <c r="C19" i="35" s="1"/>
  <c r="C28" i="35" s="1"/>
  <c r="C30" i="35" s="1"/>
  <c r="C34" i="35" s="1"/>
  <c r="C38" i="35" s="1"/>
  <c r="J12" i="34"/>
  <c r="I12" i="34"/>
  <c r="M13" i="34"/>
  <c r="L14" i="34"/>
  <c r="K12" i="34"/>
  <c r="H12" i="34"/>
  <c r="G12" i="34"/>
  <c r="F12" i="34"/>
  <c r="E12" i="34"/>
  <c r="M12" i="34"/>
  <c r="M8" i="34"/>
  <c r="F85" i="33"/>
  <c r="E85" i="33"/>
  <c r="E94" i="33" s="1"/>
  <c r="D85" i="33"/>
  <c r="D94" i="33" s="1"/>
  <c r="C85" i="33"/>
  <c r="C94" i="33" s="1"/>
  <c r="F67" i="33"/>
  <c r="E67" i="33"/>
  <c r="D67" i="33"/>
  <c r="C67" i="33"/>
  <c r="F46" i="33"/>
  <c r="E46" i="33"/>
  <c r="D46" i="33"/>
  <c r="C46" i="33"/>
  <c r="D45" i="33"/>
  <c r="C45" i="33"/>
  <c r="F37" i="33"/>
  <c r="E37" i="33"/>
  <c r="D37" i="33"/>
  <c r="C37" i="33"/>
  <c r="F23" i="33"/>
  <c r="F22" i="33" s="1"/>
  <c r="E23" i="33"/>
  <c r="E22" i="33" s="1"/>
  <c r="D23" i="33"/>
  <c r="C23" i="33"/>
  <c r="C22" i="33" s="1"/>
  <c r="F8" i="33"/>
  <c r="E8" i="33"/>
  <c r="D8" i="33"/>
  <c r="C8" i="33"/>
  <c r="H63" i="32"/>
  <c r="G63" i="32"/>
  <c r="G71" i="32" s="1"/>
  <c r="F63" i="32"/>
  <c r="E63" i="32"/>
  <c r="D63" i="32"/>
  <c r="D71" i="32" s="1"/>
  <c r="C63" i="32"/>
  <c r="H52" i="32"/>
  <c r="G52" i="32"/>
  <c r="F52" i="32"/>
  <c r="E52" i="32"/>
  <c r="D52" i="32"/>
  <c r="C52" i="32"/>
  <c r="H37" i="32"/>
  <c r="G37" i="32"/>
  <c r="F37" i="32"/>
  <c r="E37" i="32"/>
  <c r="D37" i="32"/>
  <c r="C37" i="32"/>
  <c r="F36" i="32"/>
  <c r="E36" i="32"/>
  <c r="C36" i="32"/>
  <c r="H28" i="32"/>
  <c r="G28" i="32"/>
  <c r="G21" i="32" s="1"/>
  <c r="F28" i="32"/>
  <c r="E28" i="32"/>
  <c r="D28" i="32"/>
  <c r="D21" i="32" s="1"/>
  <c r="C28" i="32"/>
  <c r="H22" i="32"/>
  <c r="G22" i="32"/>
  <c r="F22" i="32"/>
  <c r="F21" i="32" s="1"/>
  <c r="E22" i="32"/>
  <c r="E21" i="32" s="1"/>
  <c r="D22" i="32"/>
  <c r="C22" i="32"/>
  <c r="C21" i="32" s="1"/>
  <c r="H8" i="32"/>
  <c r="G8" i="32"/>
  <c r="F8" i="32"/>
  <c r="E8" i="32"/>
  <c r="D8" i="32"/>
  <c r="C8" i="32"/>
  <c r="K82" i="31"/>
  <c r="J82" i="31"/>
  <c r="I82" i="31"/>
  <c r="I90" i="31" s="1"/>
  <c r="H82" i="31"/>
  <c r="H90" i="31" s="1"/>
  <c r="G82" i="31"/>
  <c r="F82" i="31"/>
  <c r="E82" i="31"/>
  <c r="D82" i="31"/>
  <c r="C82" i="31"/>
  <c r="K65" i="31"/>
  <c r="J65" i="31"/>
  <c r="I65" i="31"/>
  <c r="H65" i="31"/>
  <c r="G65" i="31"/>
  <c r="F65" i="31"/>
  <c r="F90" i="31" s="1"/>
  <c r="E65" i="31"/>
  <c r="D65" i="31"/>
  <c r="C65" i="31"/>
  <c r="K45" i="31"/>
  <c r="J45" i="31"/>
  <c r="I45" i="31"/>
  <c r="H45" i="31"/>
  <c r="G45" i="31"/>
  <c r="F45" i="31"/>
  <c r="E45" i="31"/>
  <c r="D45" i="31"/>
  <c r="C45" i="31"/>
  <c r="I44" i="31"/>
  <c r="H44" i="31"/>
  <c r="F44" i="31"/>
  <c r="E44" i="31"/>
  <c r="D44" i="31"/>
  <c r="J42" i="31"/>
  <c r="J36" i="31"/>
  <c r="I36" i="31"/>
  <c r="H36" i="31"/>
  <c r="H22" i="31" s="1"/>
  <c r="G36" i="31"/>
  <c r="F36" i="31"/>
  <c r="E36" i="31"/>
  <c r="D36" i="31"/>
  <c r="C36" i="31"/>
  <c r="C22" i="31" s="1"/>
  <c r="K23" i="31"/>
  <c r="J23" i="31"/>
  <c r="I23" i="31"/>
  <c r="H23" i="31"/>
  <c r="G23" i="31"/>
  <c r="F23" i="31"/>
  <c r="F22" i="31" s="1"/>
  <c r="E23" i="31"/>
  <c r="D23" i="31"/>
  <c r="D22" i="31" s="1"/>
  <c r="C23" i="31"/>
  <c r="J22" i="31"/>
  <c r="I22" i="31"/>
  <c r="G22" i="31"/>
  <c r="E22" i="31"/>
  <c r="K8" i="31"/>
  <c r="J8" i="31"/>
  <c r="I8" i="31"/>
  <c r="H8" i="31"/>
  <c r="G8" i="31"/>
  <c r="F8" i="31"/>
  <c r="E8" i="31"/>
  <c r="E42" i="31" s="1"/>
  <c r="D8" i="31"/>
  <c r="C8" i="31"/>
  <c r="I88" i="30"/>
  <c r="Y80" i="30"/>
  <c r="X80" i="30"/>
  <c r="W80" i="30"/>
  <c r="V80" i="30"/>
  <c r="U80" i="30"/>
  <c r="T80" i="30"/>
  <c r="S80" i="30"/>
  <c r="R80" i="30"/>
  <c r="Q80" i="30"/>
  <c r="Q88" i="30" s="1"/>
  <c r="P80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Y63" i="30"/>
  <c r="J68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W43" i="30"/>
  <c r="V43" i="30"/>
  <c r="P43" i="30"/>
  <c r="O43" i="30"/>
  <c r="N43" i="30"/>
  <c r="M43" i="30"/>
  <c r="L43" i="30"/>
  <c r="K43" i="30"/>
  <c r="D43" i="30"/>
  <c r="C43" i="30"/>
  <c r="Y35" i="30"/>
  <c r="X35" i="30"/>
  <c r="W35" i="30"/>
  <c r="V35" i="30"/>
  <c r="U35" i="30"/>
  <c r="T35" i="30"/>
  <c r="T22" i="30" s="1"/>
  <c r="S35" i="30"/>
  <c r="R35" i="30"/>
  <c r="Q35" i="30"/>
  <c r="P35" i="30"/>
  <c r="O35" i="30"/>
  <c r="N35" i="30"/>
  <c r="M35" i="30"/>
  <c r="L35" i="30"/>
  <c r="L22" i="30" s="1"/>
  <c r="K35" i="30"/>
  <c r="J35" i="30"/>
  <c r="I35" i="30"/>
  <c r="H35" i="30"/>
  <c r="G35" i="30"/>
  <c r="F35" i="30"/>
  <c r="E35" i="30"/>
  <c r="D35" i="30"/>
  <c r="D22" i="30" s="1"/>
  <c r="C35" i="30"/>
  <c r="Y23" i="30"/>
  <c r="Y22" i="30" s="1"/>
  <c r="X23" i="30"/>
  <c r="W23" i="30"/>
  <c r="V23" i="30"/>
  <c r="U23" i="30"/>
  <c r="T23" i="30"/>
  <c r="S23" i="30"/>
  <c r="S22" i="30" s="1"/>
  <c r="R23" i="30"/>
  <c r="Q23" i="30"/>
  <c r="P23" i="30"/>
  <c r="O23" i="30"/>
  <c r="N23" i="30"/>
  <c r="M23" i="30"/>
  <c r="L23" i="30"/>
  <c r="K23" i="30"/>
  <c r="K22" i="30" s="1"/>
  <c r="J23" i="30"/>
  <c r="I23" i="30"/>
  <c r="H23" i="30"/>
  <c r="G23" i="30"/>
  <c r="F23" i="30"/>
  <c r="E23" i="30"/>
  <c r="D23" i="30"/>
  <c r="C23" i="30"/>
  <c r="C22" i="30" s="1"/>
  <c r="W22" i="30"/>
  <c r="V22" i="30"/>
  <c r="U22" i="30"/>
  <c r="R22" i="30"/>
  <c r="Q22" i="30"/>
  <c r="O22" i="30"/>
  <c r="N22" i="30"/>
  <c r="M22" i="30"/>
  <c r="J22" i="30"/>
  <c r="I22" i="30"/>
  <c r="G22" i="30"/>
  <c r="F22" i="30"/>
  <c r="E22" i="30"/>
  <c r="Y8" i="30"/>
  <c r="X8" i="30"/>
  <c r="W8" i="30"/>
  <c r="V8" i="30"/>
  <c r="V41" i="30" s="1"/>
  <c r="U8" i="30"/>
  <c r="U41" i="30" s="1"/>
  <c r="T8" i="30"/>
  <c r="S8" i="30"/>
  <c r="R8" i="30"/>
  <c r="R41" i="30" s="1"/>
  <c r="Q8" i="30"/>
  <c r="Q41" i="30" s="1"/>
  <c r="P8" i="30"/>
  <c r="O8" i="30"/>
  <c r="N8" i="30"/>
  <c r="N41" i="30" s="1"/>
  <c r="M8" i="30"/>
  <c r="M41" i="30" s="1"/>
  <c r="L8" i="30"/>
  <c r="K8" i="30"/>
  <c r="J8" i="30"/>
  <c r="J41" i="30" s="1"/>
  <c r="I8" i="30"/>
  <c r="I41" i="30" s="1"/>
  <c r="H8" i="30"/>
  <c r="G8" i="30"/>
  <c r="G41" i="30" s="1"/>
  <c r="F8" i="30"/>
  <c r="E8" i="30"/>
  <c r="E41" i="30" s="1"/>
  <c r="D8" i="30"/>
  <c r="C8" i="30"/>
  <c r="Q80" i="29"/>
  <c r="P80" i="29"/>
  <c r="P88" i="29" s="1"/>
  <c r="O80" i="29"/>
  <c r="N80" i="29"/>
  <c r="N88" i="29" s="1"/>
  <c r="M80" i="29"/>
  <c r="L80" i="29"/>
  <c r="K80" i="29"/>
  <c r="J80" i="29"/>
  <c r="I80" i="29"/>
  <c r="H80" i="29"/>
  <c r="H88" i="29" s="1"/>
  <c r="G80" i="29"/>
  <c r="F80" i="29"/>
  <c r="E80" i="29"/>
  <c r="D80" i="29"/>
  <c r="C80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F88" i="29" s="1"/>
  <c r="E48" i="29"/>
  <c r="D48" i="29"/>
  <c r="C48" i="29"/>
  <c r="P47" i="29"/>
  <c r="O47" i="29"/>
  <c r="N47" i="29"/>
  <c r="K47" i="29"/>
  <c r="J47" i="29"/>
  <c r="I47" i="29"/>
  <c r="H47" i="29"/>
  <c r="G47" i="29"/>
  <c r="F47" i="29"/>
  <c r="E47" i="29"/>
  <c r="D47" i="29"/>
  <c r="C47" i="29"/>
  <c r="Q38" i="29"/>
  <c r="P38" i="29"/>
  <c r="O38" i="29"/>
  <c r="N38" i="29"/>
  <c r="M38" i="29"/>
  <c r="M24" i="29" s="1"/>
  <c r="M45" i="29" s="1"/>
  <c r="L38" i="29"/>
  <c r="K38" i="29"/>
  <c r="K24" i="29" s="1"/>
  <c r="J38" i="29"/>
  <c r="I38" i="29"/>
  <c r="H38" i="29"/>
  <c r="G38" i="29"/>
  <c r="F38" i="29"/>
  <c r="E38" i="29"/>
  <c r="D38" i="29"/>
  <c r="C38" i="29"/>
  <c r="Q25" i="29"/>
  <c r="Q24" i="29" s="1"/>
  <c r="P25" i="29"/>
  <c r="O25" i="29"/>
  <c r="O24" i="29" s="1"/>
  <c r="N25" i="29"/>
  <c r="M25" i="29"/>
  <c r="L25" i="29"/>
  <c r="L24" i="29" s="1"/>
  <c r="K25" i="29"/>
  <c r="J25" i="29"/>
  <c r="J24" i="29" s="1"/>
  <c r="I25" i="29"/>
  <c r="I24" i="29" s="1"/>
  <c r="H25" i="29"/>
  <c r="G25" i="29"/>
  <c r="G24" i="29" s="1"/>
  <c r="F25" i="29"/>
  <c r="E25" i="29"/>
  <c r="D25" i="29"/>
  <c r="D24" i="29" s="1"/>
  <c r="C25" i="29"/>
  <c r="N24" i="29"/>
  <c r="F24" i="29"/>
  <c r="E24" i="29"/>
  <c r="C24" i="29"/>
  <c r="P8" i="29"/>
  <c r="O8" i="29"/>
  <c r="O45" i="29" s="1"/>
  <c r="N8" i="29"/>
  <c r="M8" i="29"/>
  <c r="L8" i="29"/>
  <c r="K8" i="29"/>
  <c r="J8" i="29"/>
  <c r="I8" i="29"/>
  <c r="I45" i="29" s="1"/>
  <c r="H8" i="29"/>
  <c r="G8" i="29"/>
  <c r="G45" i="29" s="1"/>
  <c r="F8" i="29"/>
  <c r="F45" i="29" s="1"/>
  <c r="E8" i="29"/>
  <c r="E45" i="29" s="1"/>
  <c r="D8" i="29"/>
  <c r="C8" i="29"/>
  <c r="E96" i="28"/>
  <c r="Q88" i="28"/>
  <c r="P88" i="28"/>
  <c r="O88" i="28"/>
  <c r="N88" i="28"/>
  <c r="M88" i="28"/>
  <c r="L88" i="28"/>
  <c r="K88" i="28"/>
  <c r="J88" i="28"/>
  <c r="I88" i="28"/>
  <c r="H88" i="28"/>
  <c r="G88" i="28"/>
  <c r="F88" i="28"/>
  <c r="E88" i="28"/>
  <c r="D88" i="28"/>
  <c r="C88" i="28"/>
  <c r="Q71" i="28"/>
  <c r="P71" i="28"/>
  <c r="O71" i="28"/>
  <c r="N71" i="28"/>
  <c r="M71" i="28"/>
  <c r="L71" i="28"/>
  <c r="K71" i="28"/>
  <c r="J71" i="28"/>
  <c r="I71" i="28"/>
  <c r="H71" i="28"/>
  <c r="G71" i="28"/>
  <c r="F71" i="28"/>
  <c r="E71" i="28"/>
  <c r="D71" i="28"/>
  <c r="C71" i="28"/>
  <c r="Q50" i="28"/>
  <c r="P50" i="28"/>
  <c r="P96" i="28" s="1"/>
  <c r="O50" i="28"/>
  <c r="O96" i="28" s="1"/>
  <c r="N50" i="28"/>
  <c r="N96" i="28" s="1"/>
  <c r="M50" i="28"/>
  <c r="M96" i="28" s="1"/>
  <c r="L50" i="28"/>
  <c r="K50" i="28"/>
  <c r="J50" i="28"/>
  <c r="J96" i="28" s="1"/>
  <c r="J97" i="28" s="1"/>
  <c r="I50" i="28"/>
  <c r="H50" i="28"/>
  <c r="H96" i="28" s="1"/>
  <c r="G50" i="28"/>
  <c r="G96" i="28" s="1"/>
  <c r="F50" i="28"/>
  <c r="F96" i="28" s="1"/>
  <c r="E50" i="28"/>
  <c r="D50" i="28"/>
  <c r="C50" i="28"/>
  <c r="P49" i="28"/>
  <c r="O49" i="28"/>
  <c r="N49" i="28"/>
  <c r="C49" i="28"/>
  <c r="Q42" i="28"/>
  <c r="P42" i="28"/>
  <c r="O42" i="28"/>
  <c r="O26" i="28" s="1"/>
  <c r="O47" i="28" s="1"/>
  <c r="N42" i="28"/>
  <c r="M42" i="28"/>
  <c r="L42" i="28"/>
  <c r="K42" i="28"/>
  <c r="J42" i="28"/>
  <c r="I42" i="28"/>
  <c r="H42" i="28"/>
  <c r="G42" i="28"/>
  <c r="F42" i="28"/>
  <c r="E42" i="28"/>
  <c r="D42" i="28"/>
  <c r="C42" i="28"/>
  <c r="Q27" i="28"/>
  <c r="Q26" i="28" s="1"/>
  <c r="P27" i="28"/>
  <c r="O27" i="28"/>
  <c r="N27" i="28"/>
  <c r="N26" i="28" s="1"/>
  <c r="N47" i="28" s="1"/>
  <c r="M27" i="28"/>
  <c r="M26" i="28" s="1"/>
  <c r="M47" i="28" s="1"/>
  <c r="L27" i="28"/>
  <c r="L26" i="28" s="1"/>
  <c r="K27" i="28"/>
  <c r="J27" i="28"/>
  <c r="I27" i="28"/>
  <c r="I26" i="28" s="1"/>
  <c r="H27" i="28"/>
  <c r="G27" i="28"/>
  <c r="F27" i="28"/>
  <c r="F26" i="28" s="1"/>
  <c r="F47" i="28" s="1"/>
  <c r="E27" i="28"/>
  <c r="E26" i="28" s="1"/>
  <c r="E47" i="28" s="1"/>
  <c r="D27" i="28"/>
  <c r="D26" i="28" s="1"/>
  <c r="C27" i="28"/>
  <c r="P26" i="28"/>
  <c r="P47" i="28" s="1"/>
  <c r="J26" i="28"/>
  <c r="J47" i="28" s="1"/>
  <c r="H26" i="28"/>
  <c r="H47" i="28" s="1"/>
  <c r="G26" i="28"/>
  <c r="G47" i="28" s="1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C47" i="28" s="1"/>
  <c r="C97" i="28" s="1"/>
  <c r="C81" i="27"/>
  <c r="C79" i="27" s="1"/>
  <c r="Q79" i="27"/>
  <c r="P79" i="27"/>
  <c r="O79" i="27"/>
  <c r="N79" i="27"/>
  <c r="M79" i="27"/>
  <c r="L79" i="27"/>
  <c r="K79" i="27"/>
  <c r="J79" i="27"/>
  <c r="I79" i="27"/>
  <c r="I86" i="27" s="1"/>
  <c r="H79" i="27"/>
  <c r="G79" i="27"/>
  <c r="F79" i="27"/>
  <c r="E79" i="27"/>
  <c r="D79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C58" i="27"/>
  <c r="C54" i="27"/>
  <c r="C45" i="27" s="1"/>
  <c r="Q45" i="27"/>
  <c r="P45" i="27"/>
  <c r="P86" i="27" s="1"/>
  <c r="O45" i="27"/>
  <c r="N45" i="27"/>
  <c r="M45" i="27"/>
  <c r="L45" i="27"/>
  <c r="K45" i="27"/>
  <c r="J45" i="27"/>
  <c r="I45" i="27"/>
  <c r="H45" i="27"/>
  <c r="H86" i="27" s="1"/>
  <c r="G45" i="27"/>
  <c r="F45" i="27"/>
  <c r="E45" i="27"/>
  <c r="D45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O42" i="27"/>
  <c r="C38" i="27"/>
  <c r="C37" i="27"/>
  <c r="C34" i="27"/>
  <c r="C32" i="27"/>
  <c r="C24" i="27" s="1"/>
  <c r="C42" i="27" s="1"/>
  <c r="C28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19" i="27"/>
  <c r="C18" i="27"/>
  <c r="C16" i="27"/>
  <c r="C15" i="27"/>
  <c r="Q8" i="27"/>
  <c r="H11" i="27"/>
  <c r="H8" i="27" s="1"/>
  <c r="P8" i="27"/>
  <c r="O8" i="27"/>
  <c r="N8" i="27"/>
  <c r="N42" i="27" s="1"/>
  <c r="M8" i="27"/>
  <c r="M42" i="27" s="1"/>
  <c r="L8" i="27"/>
  <c r="L42" i="27" s="1"/>
  <c r="K8" i="27"/>
  <c r="J8" i="27"/>
  <c r="J42" i="27" s="1"/>
  <c r="I8" i="27"/>
  <c r="G8" i="27"/>
  <c r="G42" i="27" s="1"/>
  <c r="F8" i="27"/>
  <c r="F42" i="27" s="1"/>
  <c r="E8" i="27"/>
  <c r="E42" i="27" s="1"/>
  <c r="D8" i="27"/>
  <c r="D42" i="27" s="1"/>
  <c r="I31" i="26"/>
  <c r="H31" i="26"/>
  <c r="G31" i="26"/>
  <c r="E31" i="26"/>
  <c r="D31" i="26"/>
  <c r="C31" i="26"/>
  <c r="I21" i="26"/>
  <c r="H21" i="26"/>
  <c r="G21" i="26"/>
  <c r="E21" i="26"/>
  <c r="D21" i="26"/>
  <c r="C21" i="26"/>
  <c r="I16" i="26"/>
  <c r="E16" i="26"/>
  <c r="E20" i="26" s="1"/>
  <c r="E28" i="26" s="1"/>
  <c r="E30" i="26" s="1"/>
  <c r="E34" i="26" s="1"/>
  <c r="E39" i="26" s="1"/>
  <c r="H16" i="26"/>
  <c r="G16" i="26"/>
  <c r="D16" i="26"/>
  <c r="C16" i="26"/>
  <c r="E9" i="26"/>
  <c r="E15" i="26" s="1"/>
  <c r="I9" i="26"/>
  <c r="H9" i="26"/>
  <c r="H15" i="26" s="1"/>
  <c r="G9" i="26"/>
  <c r="G15" i="26" s="1"/>
  <c r="G20" i="26" s="1"/>
  <c r="G28" i="26" s="1"/>
  <c r="G30" i="26" s="1"/>
  <c r="G34" i="26" s="1"/>
  <c r="G39" i="26" s="1"/>
  <c r="D9" i="26"/>
  <c r="D15" i="26" s="1"/>
  <c r="C9" i="26"/>
  <c r="C15" i="26" s="1"/>
  <c r="C20" i="26" s="1"/>
  <c r="C28" i="26" s="1"/>
  <c r="C30" i="26" s="1"/>
  <c r="C34" i="26" s="1"/>
  <c r="C39" i="26" s="1"/>
  <c r="D40" i="25"/>
  <c r="F35" i="25"/>
  <c r="F40" i="25" s="1"/>
  <c r="M32" i="25"/>
  <c r="L32" i="25"/>
  <c r="K32" i="25"/>
  <c r="J32" i="25"/>
  <c r="I32" i="25"/>
  <c r="H32" i="25"/>
  <c r="G32" i="25"/>
  <c r="F32" i="25"/>
  <c r="D32" i="25"/>
  <c r="C32" i="25"/>
  <c r="F31" i="25"/>
  <c r="G29" i="25"/>
  <c r="G31" i="25" s="1"/>
  <c r="G35" i="25" s="1"/>
  <c r="G40" i="25" s="1"/>
  <c r="F29" i="25"/>
  <c r="M21" i="25"/>
  <c r="L21" i="25"/>
  <c r="K21" i="25"/>
  <c r="J21" i="25"/>
  <c r="I21" i="25"/>
  <c r="H21" i="25"/>
  <c r="G21" i="25"/>
  <c r="D21" i="25"/>
  <c r="C21" i="25"/>
  <c r="D20" i="25"/>
  <c r="M16" i="25"/>
  <c r="L16" i="25"/>
  <c r="K16" i="25"/>
  <c r="J16" i="25"/>
  <c r="I16" i="25"/>
  <c r="H16" i="25"/>
  <c r="G16" i="25"/>
  <c r="D16" i="25"/>
  <c r="C16" i="25"/>
  <c r="K15" i="25"/>
  <c r="J15" i="25"/>
  <c r="J29" i="25" s="1"/>
  <c r="J31" i="25" s="1"/>
  <c r="J35" i="25" s="1"/>
  <c r="J40" i="25" s="1"/>
  <c r="D15" i="25"/>
  <c r="D29" i="25" s="1"/>
  <c r="D31" i="25" s="1"/>
  <c r="D35" i="25" s="1"/>
  <c r="M9" i="25"/>
  <c r="M15" i="25" s="1"/>
  <c r="L9" i="25"/>
  <c r="L15" i="25" s="1"/>
  <c r="K9" i="25"/>
  <c r="J9" i="25"/>
  <c r="I9" i="25"/>
  <c r="I15" i="25" s="1"/>
  <c r="I29" i="25" s="1"/>
  <c r="I31" i="25" s="1"/>
  <c r="I35" i="25" s="1"/>
  <c r="I40" i="25" s="1"/>
  <c r="H9" i="25"/>
  <c r="H15" i="25" s="1"/>
  <c r="G9" i="25"/>
  <c r="G15" i="25" s="1"/>
  <c r="G20" i="25" s="1"/>
  <c r="D9" i="25"/>
  <c r="C9" i="25"/>
  <c r="C15" i="25" s="1"/>
  <c r="E34" i="24"/>
  <c r="E39" i="24" s="1"/>
  <c r="K31" i="24"/>
  <c r="J31" i="24"/>
  <c r="I31" i="24"/>
  <c r="H31" i="24"/>
  <c r="G31" i="24"/>
  <c r="F31" i="24"/>
  <c r="E31" i="24"/>
  <c r="D31" i="24"/>
  <c r="C31" i="24"/>
  <c r="F28" i="24"/>
  <c r="F30" i="24" s="1"/>
  <c r="F34" i="24" s="1"/>
  <c r="F39" i="24" s="1"/>
  <c r="K21" i="24"/>
  <c r="J21" i="24"/>
  <c r="I21" i="24"/>
  <c r="H21" i="24"/>
  <c r="G21" i="24"/>
  <c r="F21" i="24"/>
  <c r="E21" i="24"/>
  <c r="D21" i="24"/>
  <c r="C21" i="24"/>
  <c r="K20" i="24"/>
  <c r="K28" i="24" s="1"/>
  <c r="K30" i="24" s="1"/>
  <c r="K34" i="24" s="1"/>
  <c r="K39" i="24" s="1"/>
  <c r="F20" i="24"/>
  <c r="K16" i="24"/>
  <c r="J16" i="24"/>
  <c r="I16" i="24"/>
  <c r="H16" i="24"/>
  <c r="G16" i="24"/>
  <c r="F16" i="24"/>
  <c r="E16" i="24"/>
  <c r="D16" i="24"/>
  <c r="C16" i="24"/>
  <c r="H15" i="24"/>
  <c r="H20" i="24" s="1"/>
  <c r="H28" i="24" s="1"/>
  <c r="H30" i="24" s="1"/>
  <c r="H34" i="24" s="1"/>
  <c r="H39" i="24" s="1"/>
  <c r="C15" i="24"/>
  <c r="C20" i="24" s="1"/>
  <c r="C28" i="24" s="1"/>
  <c r="C30" i="24" s="1"/>
  <c r="C34" i="24" s="1"/>
  <c r="C39" i="24" s="1"/>
  <c r="K9" i="24"/>
  <c r="K15" i="24" s="1"/>
  <c r="J9" i="24"/>
  <c r="J15" i="24" s="1"/>
  <c r="J20" i="24" s="1"/>
  <c r="I9" i="24"/>
  <c r="I15" i="24" s="1"/>
  <c r="I20" i="24" s="1"/>
  <c r="I28" i="24" s="1"/>
  <c r="I30" i="24" s="1"/>
  <c r="I34" i="24" s="1"/>
  <c r="I39" i="24" s="1"/>
  <c r="H9" i="24"/>
  <c r="G9" i="24"/>
  <c r="G15" i="24" s="1"/>
  <c r="G20" i="24" s="1"/>
  <c r="G28" i="24" s="1"/>
  <c r="G30" i="24" s="1"/>
  <c r="G34" i="24" s="1"/>
  <c r="G39" i="24" s="1"/>
  <c r="F9" i="24"/>
  <c r="F15" i="24" s="1"/>
  <c r="E9" i="24"/>
  <c r="E15" i="24" s="1"/>
  <c r="E20" i="24" s="1"/>
  <c r="E28" i="24" s="1"/>
  <c r="E30" i="24" s="1"/>
  <c r="D9" i="24"/>
  <c r="D15" i="24" s="1"/>
  <c r="D20" i="24" s="1"/>
  <c r="D28" i="24" s="1"/>
  <c r="D30" i="24" s="1"/>
  <c r="D34" i="24" s="1"/>
  <c r="D39" i="24" s="1"/>
  <c r="C9" i="24"/>
  <c r="Y31" i="23"/>
  <c r="X31" i="23"/>
  <c r="W31" i="23"/>
  <c r="V31" i="23"/>
  <c r="U31" i="23"/>
  <c r="T31" i="23"/>
  <c r="W28" i="23"/>
  <c r="W30" i="23" s="1"/>
  <c r="T28" i="23"/>
  <c r="T30" i="23" s="1"/>
  <c r="T34" i="23" s="1"/>
  <c r="T39" i="23" s="1"/>
  <c r="Y21" i="23"/>
  <c r="X21" i="23"/>
  <c r="W21" i="23"/>
  <c r="V21" i="23"/>
  <c r="U21" i="23"/>
  <c r="T21" i="23"/>
  <c r="Y16" i="23"/>
  <c r="X16" i="23"/>
  <c r="W16" i="23"/>
  <c r="V16" i="23"/>
  <c r="U16" i="23"/>
  <c r="T16" i="23"/>
  <c r="W15" i="23"/>
  <c r="W20" i="23" s="1"/>
  <c r="U15" i="23"/>
  <c r="X9" i="23"/>
  <c r="X15" i="23" s="1"/>
  <c r="W9" i="23"/>
  <c r="V9" i="23"/>
  <c r="V15" i="23" s="1"/>
  <c r="U9" i="23"/>
  <c r="T9" i="23"/>
  <c r="T15" i="23" s="1"/>
  <c r="T20" i="23" s="1"/>
  <c r="Q32" i="22"/>
  <c r="P32" i="22"/>
  <c r="O32" i="22"/>
  <c r="N32" i="22"/>
  <c r="M32" i="22"/>
  <c r="L3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I21" i="22"/>
  <c r="I29" i="22" s="1"/>
  <c r="D21" i="22"/>
  <c r="D29" i="22" s="1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M15" i="22"/>
  <c r="M21" i="22" s="1"/>
  <c r="M29" i="22" s="1"/>
  <c r="M31" i="22" s="1"/>
  <c r="M35" i="22" s="1"/>
  <c r="M40" i="22" s="1"/>
  <c r="K15" i="22"/>
  <c r="J15" i="22"/>
  <c r="J21" i="22" s="1"/>
  <c r="J29" i="22" s="1"/>
  <c r="I15" i="22"/>
  <c r="H15" i="22"/>
  <c r="H21" i="22" s="1"/>
  <c r="H29" i="22" s="1"/>
  <c r="G15" i="22"/>
  <c r="G21" i="22" s="1"/>
  <c r="G29" i="22" s="1"/>
  <c r="F15" i="22"/>
  <c r="F21" i="22" s="1"/>
  <c r="F29" i="22" s="1"/>
  <c r="E15" i="22"/>
  <c r="E21" i="22" s="1"/>
  <c r="E29" i="22" s="1"/>
  <c r="D15" i="22"/>
  <c r="C15" i="22"/>
  <c r="Q9" i="22"/>
  <c r="Q15" i="22" s="1"/>
  <c r="P9" i="22"/>
  <c r="P15" i="22" s="1"/>
  <c r="P21" i="22" s="1"/>
  <c r="P29" i="22" s="1"/>
  <c r="P31" i="22" s="1"/>
  <c r="P35" i="22" s="1"/>
  <c r="P40" i="22" s="1"/>
  <c r="O9" i="22"/>
  <c r="O15" i="22" s="1"/>
  <c r="O21" i="22" s="1"/>
  <c r="O29" i="22" s="1"/>
  <c r="O31" i="22" s="1"/>
  <c r="O35" i="22" s="1"/>
  <c r="O40" i="22" s="1"/>
  <c r="N9" i="22"/>
  <c r="N15" i="22" s="1"/>
  <c r="N21" i="22" s="1"/>
  <c r="N29" i="22" s="1"/>
  <c r="N31" i="22" s="1"/>
  <c r="N35" i="22" s="1"/>
  <c r="N40" i="22" s="1"/>
  <c r="M9" i="22"/>
  <c r="L9" i="22"/>
  <c r="L15" i="22" s="1"/>
  <c r="L21" i="22" s="1"/>
  <c r="L29" i="22" s="1"/>
  <c r="L31" i="22" s="1"/>
  <c r="L35" i="22" s="1"/>
  <c r="L40" i="22" s="1"/>
  <c r="AN42" i="21"/>
  <c r="AS34" i="21"/>
  <c r="AR34" i="21"/>
  <c r="AQ34" i="21"/>
  <c r="AP34" i="21"/>
  <c r="AO34" i="21"/>
  <c r="AN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AM31" i="21"/>
  <c r="AL31" i="21"/>
  <c r="AK31" i="21"/>
  <c r="AJ31" i="21"/>
  <c r="AI31" i="21"/>
  <c r="AH31" i="21"/>
  <c r="AG31" i="21"/>
  <c r="AF31" i="21"/>
  <c r="AE31" i="21"/>
  <c r="AD31" i="21"/>
  <c r="AC31" i="21"/>
  <c r="V31" i="21"/>
  <c r="V33" i="21" s="1"/>
  <c r="V37" i="21" s="1"/>
  <c r="V42" i="21" s="1"/>
  <c r="F31" i="21"/>
  <c r="F33" i="21" s="1"/>
  <c r="F37" i="21" s="1"/>
  <c r="F42" i="21" s="1"/>
  <c r="AS21" i="21"/>
  <c r="AR21" i="21"/>
  <c r="AQ21" i="21"/>
  <c r="AP21" i="21"/>
  <c r="AO21" i="21"/>
  <c r="AN21" i="21"/>
  <c r="AB21" i="21"/>
  <c r="AA21" i="21"/>
  <c r="Z21" i="21"/>
  <c r="Y21" i="21"/>
  <c r="X21" i="21"/>
  <c r="W21" i="21"/>
  <c r="V21" i="21"/>
  <c r="U21" i="21"/>
  <c r="U31" i="21" s="1"/>
  <c r="U33" i="21" s="1"/>
  <c r="U37" i="21" s="1"/>
  <c r="U42" i="21" s="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AN20" i="21"/>
  <c r="T20" i="21"/>
  <c r="M20" i="21"/>
  <c r="L20" i="21"/>
  <c r="AS16" i="21"/>
  <c r="AR16" i="21"/>
  <c r="AQ16" i="21"/>
  <c r="AP16" i="21"/>
  <c r="AO16" i="21"/>
  <c r="AN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AQ15" i="21"/>
  <c r="AP15" i="21"/>
  <c r="X15" i="21"/>
  <c r="H15" i="21"/>
  <c r="AR9" i="21"/>
  <c r="AR15" i="21" s="1"/>
  <c r="AQ9" i="21"/>
  <c r="AP9" i="21"/>
  <c r="AO9" i="21"/>
  <c r="AO15" i="21" s="1"/>
  <c r="AN9" i="21"/>
  <c r="AN15" i="21" s="1"/>
  <c r="AN31" i="21" s="1"/>
  <c r="AN33" i="21" s="1"/>
  <c r="AN37" i="21" s="1"/>
  <c r="AM9" i="21"/>
  <c r="AL9" i="21"/>
  <c r="AK9" i="21"/>
  <c r="AJ9" i="21"/>
  <c r="AI9" i="21"/>
  <c r="AH9" i="21"/>
  <c r="AG9" i="21"/>
  <c r="AF9" i="21"/>
  <c r="AE9" i="21"/>
  <c r="AD9" i="21"/>
  <c r="AC9" i="21"/>
  <c r="AB9" i="21"/>
  <c r="AB15" i="21" s="1"/>
  <c r="AB31" i="21" s="1"/>
  <c r="AB33" i="21" s="1"/>
  <c r="AB37" i="21" s="1"/>
  <c r="AB42" i="21" s="1"/>
  <c r="AA9" i="21"/>
  <c r="AA15" i="21" s="1"/>
  <c r="Z9" i="21"/>
  <c r="Z15" i="21" s="1"/>
  <c r="Y9" i="21"/>
  <c r="Y15" i="21" s="1"/>
  <c r="X9" i="21"/>
  <c r="W9" i="21"/>
  <c r="W15" i="21" s="1"/>
  <c r="V9" i="21"/>
  <c r="V15" i="21" s="1"/>
  <c r="V20" i="21" s="1"/>
  <c r="U9" i="21"/>
  <c r="U15" i="21" s="1"/>
  <c r="U20" i="21" s="1"/>
  <c r="T9" i="21"/>
  <c r="T15" i="21" s="1"/>
  <c r="T31" i="21" s="1"/>
  <c r="T33" i="21" s="1"/>
  <c r="T37" i="21" s="1"/>
  <c r="T42" i="21" s="1"/>
  <c r="S9" i="21"/>
  <c r="S15" i="21" s="1"/>
  <c r="R9" i="21"/>
  <c r="R15" i="21" s="1"/>
  <c r="Q9" i="21"/>
  <c r="Q15" i="21" s="1"/>
  <c r="P9" i="21"/>
  <c r="P15" i="21" s="1"/>
  <c r="O9" i="21"/>
  <c r="O15" i="21" s="1"/>
  <c r="N9" i="21"/>
  <c r="N15" i="21" s="1"/>
  <c r="N20" i="21" s="1"/>
  <c r="M9" i="21"/>
  <c r="M15" i="21" s="1"/>
  <c r="M31" i="21" s="1"/>
  <c r="M33" i="21" s="1"/>
  <c r="M37" i="21" s="1"/>
  <c r="M42" i="21" s="1"/>
  <c r="L9" i="21"/>
  <c r="L15" i="21" s="1"/>
  <c r="L31" i="21" s="1"/>
  <c r="L33" i="21" s="1"/>
  <c r="L37" i="21" s="1"/>
  <c r="L42" i="21" s="1"/>
  <c r="K9" i="21"/>
  <c r="K15" i="21" s="1"/>
  <c r="J9" i="21"/>
  <c r="J15" i="21" s="1"/>
  <c r="I9" i="21"/>
  <c r="I15" i="21" s="1"/>
  <c r="H9" i="21"/>
  <c r="G9" i="21"/>
  <c r="G15" i="21" s="1"/>
  <c r="F9" i="21"/>
  <c r="F15" i="21" s="1"/>
  <c r="F20" i="21" s="1"/>
  <c r="E9" i="21"/>
  <c r="E15" i="21" s="1"/>
  <c r="E20" i="21" s="1"/>
  <c r="D9" i="21"/>
  <c r="D15" i="21" s="1"/>
  <c r="D31" i="21" s="1"/>
  <c r="D33" i="21" s="1"/>
  <c r="D37" i="21" s="1"/>
  <c r="D42" i="21" s="1"/>
  <c r="C9" i="21"/>
  <c r="C15" i="21" s="1"/>
  <c r="AP35" i="20"/>
  <c r="AP40" i="20" s="1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AH31" i="20"/>
  <c r="AH35" i="20" s="1"/>
  <c r="AH40" i="20" s="1"/>
  <c r="AK29" i="20"/>
  <c r="AK31" i="20" s="1"/>
  <c r="AK35" i="20" s="1"/>
  <c r="AK40" i="20" s="1"/>
  <c r="AD29" i="20"/>
  <c r="AD31" i="20" s="1"/>
  <c r="AD35" i="20" s="1"/>
  <c r="AD40" i="20" s="1"/>
  <c r="E29" i="20"/>
  <c r="E31" i="20" s="1"/>
  <c r="E35" i="20" s="1"/>
  <c r="E40" i="20" s="1"/>
  <c r="AR22" i="20"/>
  <c r="AQ22" i="20"/>
  <c r="AP22" i="20"/>
  <c r="AO22" i="20"/>
  <c r="AN22" i="20"/>
  <c r="AM22" i="20"/>
  <c r="AL22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N29" i="20" s="1"/>
  <c r="N31" i="20" s="1"/>
  <c r="N35" i="20" s="1"/>
  <c r="N40" i="20" s="1"/>
  <c r="M22" i="20"/>
  <c r="L22" i="20"/>
  <c r="K22" i="20"/>
  <c r="J22" i="20"/>
  <c r="I22" i="20"/>
  <c r="H22" i="20"/>
  <c r="G22" i="20"/>
  <c r="F22" i="20"/>
  <c r="E22" i="20"/>
  <c r="D22" i="20"/>
  <c r="C22" i="20"/>
  <c r="AP21" i="20"/>
  <c r="Z21" i="20"/>
  <c r="J21" i="20"/>
  <c r="AS16" i="20"/>
  <c r="AR16" i="20"/>
  <c r="AQ16" i="20"/>
  <c r="AP16" i="20"/>
  <c r="AO16" i="20"/>
  <c r="AN16" i="20"/>
  <c r="AM16" i="20"/>
  <c r="AL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AQ15" i="20"/>
  <c r="AP15" i="20"/>
  <c r="AP29" i="20" s="1"/>
  <c r="AP31" i="20" s="1"/>
  <c r="AI15" i="20"/>
  <c r="AH15" i="20"/>
  <c r="AH29" i="20" s="1"/>
  <c r="AA15" i="20"/>
  <c r="Z15" i="20"/>
  <c r="Z29" i="20" s="1"/>
  <c r="Z31" i="20" s="1"/>
  <c r="Z35" i="20" s="1"/>
  <c r="Z40" i="20" s="1"/>
  <c r="K15" i="20"/>
  <c r="J15" i="20"/>
  <c r="J29" i="20" s="1"/>
  <c r="J31" i="20" s="1"/>
  <c r="J35" i="20" s="1"/>
  <c r="J40" i="20" s="1"/>
  <c r="F15" i="20"/>
  <c r="F21" i="20" s="1"/>
  <c r="AR9" i="20"/>
  <c r="AR15" i="20" s="1"/>
  <c r="AQ9" i="20"/>
  <c r="AP9" i="20"/>
  <c r="AO9" i="20"/>
  <c r="AO15" i="20" s="1"/>
  <c r="AN9" i="20"/>
  <c r="AN15" i="20" s="1"/>
  <c r="AM9" i="20"/>
  <c r="AM15" i="20" s="1"/>
  <c r="AL9" i="20"/>
  <c r="AL15" i="20" s="1"/>
  <c r="AL21" i="20" s="1"/>
  <c r="AK9" i="20"/>
  <c r="AK15" i="20" s="1"/>
  <c r="AK21" i="20" s="1"/>
  <c r="AJ9" i="20"/>
  <c r="AJ15" i="20" s="1"/>
  <c r="AI9" i="20"/>
  <c r="AH9" i="20"/>
  <c r="AG9" i="20"/>
  <c r="AG15" i="20" s="1"/>
  <c r="AF9" i="20"/>
  <c r="AF15" i="20" s="1"/>
  <c r="AE9" i="20"/>
  <c r="AE15" i="20" s="1"/>
  <c r="AD9" i="20"/>
  <c r="AD15" i="20" s="1"/>
  <c r="AD21" i="20" s="1"/>
  <c r="AC9" i="20"/>
  <c r="AC15" i="20" s="1"/>
  <c r="AC21" i="20" s="1"/>
  <c r="AB9" i="20"/>
  <c r="AB15" i="20" s="1"/>
  <c r="AA9" i="20"/>
  <c r="Z9" i="20"/>
  <c r="Y9" i="20"/>
  <c r="Y15" i="20" s="1"/>
  <c r="X9" i="20"/>
  <c r="X15" i="20" s="1"/>
  <c r="W9" i="20"/>
  <c r="W15" i="20" s="1"/>
  <c r="V9" i="20"/>
  <c r="V15" i="20" s="1"/>
  <c r="V21" i="20" s="1"/>
  <c r="U9" i="20"/>
  <c r="U15" i="20" s="1"/>
  <c r="U21" i="20" s="1"/>
  <c r="T9" i="20"/>
  <c r="T15" i="20" s="1"/>
  <c r="S9" i="20"/>
  <c r="S15" i="20" s="1"/>
  <c r="R9" i="20"/>
  <c r="R15" i="20" s="1"/>
  <c r="Q9" i="20"/>
  <c r="Q15" i="20" s="1"/>
  <c r="Q29" i="20" s="1"/>
  <c r="Q31" i="20" s="1"/>
  <c r="Q35" i="20" s="1"/>
  <c r="Q40" i="20" s="1"/>
  <c r="P9" i="20"/>
  <c r="P15" i="20" s="1"/>
  <c r="O9" i="20"/>
  <c r="O15" i="20" s="1"/>
  <c r="N9" i="20"/>
  <c r="N15" i="20" s="1"/>
  <c r="N21" i="20" s="1"/>
  <c r="M9" i="20"/>
  <c r="M15" i="20" s="1"/>
  <c r="M21" i="20" s="1"/>
  <c r="L9" i="20"/>
  <c r="L15" i="20" s="1"/>
  <c r="K9" i="20"/>
  <c r="J9" i="20"/>
  <c r="I9" i="20"/>
  <c r="I15" i="20" s="1"/>
  <c r="H9" i="20"/>
  <c r="H15" i="20" s="1"/>
  <c r="G9" i="20"/>
  <c r="G15" i="20" s="1"/>
  <c r="F9" i="20"/>
  <c r="E9" i="20"/>
  <c r="E15" i="20" s="1"/>
  <c r="E21" i="20" s="1"/>
  <c r="D9" i="20"/>
  <c r="D15" i="20" s="1"/>
  <c r="C9" i="20"/>
  <c r="C15" i="20" s="1"/>
  <c r="V30" i="19"/>
  <c r="Q30" i="19"/>
  <c r="P30" i="19"/>
  <c r="M30" i="19"/>
  <c r="L30" i="19"/>
  <c r="E30" i="19"/>
  <c r="D30" i="19"/>
  <c r="X26" i="19"/>
  <c r="W26" i="19"/>
  <c r="T26" i="19"/>
  <c r="Q26" i="19"/>
  <c r="P26" i="19"/>
  <c r="N26" i="19"/>
  <c r="M26" i="19"/>
  <c r="L26" i="19"/>
  <c r="E26" i="19"/>
  <c r="AG24" i="19"/>
  <c r="AF24" i="19"/>
  <c r="Z24" i="19"/>
  <c r="Y24" i="19"/>
  <c r="Y26" i="19" s="1"/>
  <c r="X24" i="19"/>
  <c r="W24" i="19"/>
  <c r="W30" i="19" s="1"/>
  <c r="V24" i="19"/>
  <c r="V26" i="19" s="1"/>
  <c r="U24" i="19"/>
  <c r="U26" i="19" s="1"/>
  <c r="T24" i="19"/>
  <c r="T30" i="19" s="1"/>
  <c r="O24" i="19"/>
  <c r="O30" i="19" s="1"/>
  <c r="N24" i="19"/>
  <c r="N30" i="19" s="1"/>
  <c r="M24" i="19"/>
  <c r="L24" i="19"/>
  <c r="K24" i="19"/>
  <c r="G24" i="19"/>
  <c r="F24" i="19"/>
  <c r="F26" i="19" s="1"/>
  <c r="E24" i="19"/>
  <c r="D24" i="19"/>
  <c r="D26" i="19" s="1"/>
  <c r="C24" i="19"/>
  <c r="AE24" i="19"/>
  <c r="AE26" i="19" s="1"/>
  <c r="AD24" i="19"/>
  <c r="AC24" i="19"/>
  <c r="AC30" i="19" s="1"/>
  <c r="AD17" i="19"/>
  <c r="Y17" i="19"/>
  <c r="X17" i="19"/>
  <c r="T17" i="19"/>
  <c r="O17" i="19"/>
  <c r="N17" i="19"/>
  <c r="H17" i="19"/>
  <c r="D17" i="19"/>
  <c r="AI17" i="19"/>
  <c r="Z13" i="19"/>
  <c r="Y13" i="19"/>
  <c r="X13" i="19"/>
  <c r="W13" i="19"/>
  <c r="V13" i="19"/>
  <c r="U13" i="19"/>
  <c r="T13" i="19"/>
  <c r="Q13" i="19"/>
  <c r="P13" i="19"/>
  <c r="O13" i="19"/>
  <c r="N13" i="19"/>
  <c r="M13" i="19"/>
  <c r="L13" i="19"/>
  <c r="K13" i="19"/>
  <c r="F13" i="19"/>
  <c r="E13" i="19"/>
  <c r="D13" i="19"/>
  <c r="C13" i="19"/>
  <c r="AG11" i="19"/>
  <c r="AF11" i="19"/>
  <c r="AD11" i="19"/>
  <c r="AC11" i="19"/>
  <c r="Z11" i="19"/>
  <c r="Z17" i="19" s="1"/>
  <c r="Y11" i="19"/>
  <c r="X11" i="19"/>
  <c r="W11" i="19"/>
  <c r="W17" i="19" s="1"/>
  <c r="V11" i="19"/>
  <c r="V17" i="19" s="1"/>
  <c r="U11" i="19"/>
  <c r="U17" i="19" s="1"/>
  <c r="T11" i="19"/>
  <c r="Q11" i="19"/>
  <c r="Q17" i="19" s="1"/>
  <c r="P11" i="19"/>
  <c r="P17" i="19" s="1"/>
  <c r="O11" i="19"/>
  <c r="N11" i="19"/>
  <c r="M11" i="19"/>
  <c r="M17" i="19" s="1"/>
  <c r="L11" i="19"/>
  <c r="L17" i="19" s="1"/>
  <c r="K11" i="19"/>
  <c r="K17" i="19" s="1"/>
  <c r="H11" i="19"/>
  <c r="G11" i="19"/>
  <c r="F11" i="19"/>
  <c r="F17" i="19" s="1"/>
  <c r="E11" i="19"/>
  <c r="E17" i="19" s="1"/>
  <c r="D11" i="19"/>
  <c r="C11" i="19"/>
  <c r="C17" i="19" s="1"/>
  <c r="AH11" i="19"/>
  <c r="AF13" i="19"/>
  <c r="AD13" i="19"/>
  <c r="AC13" i="19"/>
  <c r="K28" i="18"/>
  <c r="J28" i="18"/>
  <c r="C28" i="18"/>
  <c r="L24" i="18"/>
  <c r="H24" i="18"/>
  <c r="K24" i="18"/>
  <c r="J24" i="18"/>
  <c r="I24" i="18"/>
  <c r="G24" i="18"/>
  <c r="G28" i="18" s="1"/>
  <c r="F24" i="18"/>
  <c r="F28" i="18" s="1"/>
  <c r="E24" i="18"/>
  <c r="D24" i="18"/>
  <c r="C24" i="18"/>
  <c r="H20" i="18"/>
  <c r="H28" i="18" s="1"/>
  <c r="L20" i="18"/>
  <c r="K20" i="18"/>
  <c r="J20" i="18"/>
  <c r="I20" i="18"/>
  <c r="I28" i="18" s="1"/>
  <c r="G20" i="18"/>
  <c r="F20" i="18"/>
  <c r="E20" i="18"/>
  <c r="E28" i="18" s="1"/>
  <c r="D20" i="18"/>
  <c r="D28" i="18" s="1"/>
  <c r="C20" i="18"/>
  <c r="H15" i="18"/>
  <c r="F15" i="18"/>
  <c r="C15" i="18"/>
  <c r="L11" i="18"/>
  <c r="K11" i="18"/>
  <c r="K15" i="18" s="1"/>
  <c r="J11" i="18"/>
  <c r="I11" i="18"/>
  <c r="H11" i="18"/>
  <c r="G11" i="18"/>
  <c r="G15" i="18" s="1"/>
  <c r="F11" i="18"/>
  <c r="E11" i="18"/>
  <c r="D11" i="18"/>
  <c r="C11" i="18"/>
  <c r="L7" i="18"/>
  <c r="K7" i="18"/>
  <c r="J7" i="18"/>
  <c r="J15" i="18" s="1"/>
  <c r="I7" i="18"/>
  <c r="I15" i="18" s="1"/>
  <c r="H7" i="18"/>
  <c r="G7" i="18"/>
  <c r="F7" i="18"/>
  <c r="E7" i="18"/>
  <c r="E15" i="18" s="1"/>
  <c r="D7" i="18"/>
  <c r="C7" i="18"/>
  <c r="E61" i="17"/>
  <c r="H61" i="17"/>
  <c r="D61" i="17"/>
  <c r="G61" i="17"/>
  <c r="C61" i="17"/>
  <c r="I61" i="17"/>
  <c r="D52" i="17"/>
  <c r="C52" i="17"/>
  <c r="I52" i="17"/>
  <c r="H52" i="17"/>
  <c r="G42" i="17"/>
  <c r="H34" i="17"/>
  <c r="I34" i="17"/>
  <c r="E34" i="17"/>
  <c r="D34" i="17"/>
  <c r="G24" i="17"/>
  <c r="F24" i="17"/>
  <c r="I14" i="17"/>
  <c r="H14" i="17"/>
  <c r="E14" i="17"/>
  <c r="D14" i="17"/>
  <c r="R59" i="16"/>
  <c r="Q59" i="16"/>
  <c r="I59" i="16"/>
  <c r="H59" i="16"/>
  <c r="E59" i="16"/>
  <c r="D59" i="16"/>
  <c r="G59" i="16"/>
  <c r="K54" i="16"/>
  <c r="I51" i="16"/>
  <c r="H51" i="16"/>
  <c r="E51" i="16"/>
  <c r="N50" i="16" s="1"/>
  <c r="D51" i="16"/>
  <c r="P50" i="16"/>
  <c r="P49" i="16"/>
  <c r="P48" i="16"/>
  <c r="P47" i="16"/>
  <c r="N47" i="16"/>
  <c r="G51" i="16"/>
  <c r="P51" i="16" s="1"/>
  <c r="O46" i="16"/>
  <c r="O54" i="16" s="1"/>
  <c r="I43" i="16"/>
  <c r="R42" i="16" s="1"/>
  <c r="H43" i="16"/>
  <c r="E43" i="16"/>
  <c r="D43" i="16"/>
  <c r="R39" i="16"/>
  <c r="L35" i="16"/>
  <c r="I35" i="16"/>
  <c r="H35" i="16"/>
  <c r="Q35" i="16" s="1"/>
  <c r="E35" i="16"/>
  <c r="D35" i="16"/>
  <c r="M35" i="16" s="1"/>
  <c r="C35" i="16"/>
  <c r="Q34" i="16"/>
  <c r="M34" i="16"/>
  <c r="L34" i="16"/>
  <c r="Q33" i="16"/>
  <c r="M33" i="16"/>
  <c r="L33" i="16"/>
  <c r="Q32" i="16"/>
  <c r="M32" i="16"/>
  <c r="L32" i="16"/>
  <c r="Q31" i="16"/>
  <c r="M31" i="16"/>
  <c r="L31" i="16"/>
  <c r="Q30" i="16"/>
  <c r="Q38" i="16" s="1"/>
  <c r="Q46" i="16" s="1"/>
  <c r="Q54" i="16" s="1"/>
  <c r="Q27" i="16"/>
  <c r="N27" i="16"/>
  <c r="I27" i="16"/>
  <c r="R26" i="16" s="1"/>
  <c r="H27" i="16"/>
  <c r="E27" i="16"/>
  <c r="D27" i="16"/>
  <c r="C27" i="16"/>
  <c r="Q26" i="16"/>
  <c r="N26" i="16"/>
  <c r="R25" i="16"/>
  <c r="Q25" i="16"/>
  <c r="N25" i="16"/>
  <c r="O25" i="16"/>
  <c r="R24" i="16"/>
  <c r="Q24" i="16"/>
  <c r="N24" i="16"/>
  <c r="O24" i="16"/>
  <c r="R23" i="16"/>
  <c r="Q23" i="16"/>
  <c r="O23" i="16"/>
  <c r="N23" i="16"/>
  <c r="F27" i="16"/>
  <c r="O27" i="16" s="1"/>
  <c r="P22" i="16"/>
  <c r="P30" i="16" s="1"/>
  <c r="P38" i="16" s="1"/>
  <c r="P46" i="16" s="1"/>
  <c r="P54" i="16" s="1"/>
  <c r="O22" i="16"/>
  <c r="O30" i="16" s="1"/>
  <c r="O38" i="16" s="1"/>
  <c r="K22" i="16"/>
  <c r="K30" i="16" s="1"/>
  <c r="K38" i="16" s="1"/>
  <c r="K46" i="16" s="1"/>
  <c r="I19" i="16"/>
  <c r="H19" i="16"/>
  <c r="Q19" i="16" s="1"/>
  <c r="E19" i="16"/>
  <c r="D19" i="16"/>
  <c r="M19" i="16" s="1"/>
  <c r="C19" i="16"/>
  <c r="L19" i="16" s="1"/>
  <c r="Q18" i="16"/>
  <c r="N18" i="16"/>
  <c r="M18" i="16"/>
  <c r="L18" i="16"/>
  <c r="Q17" i="16"/>
  <c r="N17" i="16"/>
  <c r="M17" i="16"/>
  <c r="L17" i="16"/>
  <c r="F19" i="16"/>
  <c r="Q16" i="16"/>
  <c r="M16" i="16"/>
  <c r="L16" i="16"/>
  <c r="Q15" i="16"/>
  <c r="M15" i="16"/>
  <c r="L15" i="16"/>
  <c r="R14" i="16"/>
  <c r="R22" i="16" s="1"/>
  <c r="R30" i="16" s="1"/>
  <c r="R38" i="16" s="1"/>
  <c r="R46" i="16" s="1"/>
  <c r="R54" i="16" s="1"/>
  <c r="Q14" i="16"/>
  <c r="Q22" i="16" s="1"/>
  <c r="P14" i="16"/>
  <c r="O14" i="16"/>
  <c r="N14" i="16"/>
  <c r="N22" i="16" s="1"/>
  <c r="N30" i="16" s="1"/>
  <c r="N38" i="16" s="1"/>
  <c r="N46" i="16" s="1"/>
  <c r="N54" i="16" s="1"/>
  <c r="M14" i="16"/>
  <c r="M22" i="16" s="1"/>
  <c r="M30" i="16" s="1"/>
  <c r="M38" i="16" s="1"/>
  <c r="M46" i="16" s="1"/>
  <c r="M54" i="16" s="1"/>
  <c r="L14" i="16"/>
  <c r="L22" i="16" s="1"/>
  <c r="L30" i="16" s="1"/>
  <c r="L38" i="16" s="1"/>
  <c r="L46" i="16" s="1"/>
  <c r="L54" i="16" s="1"/>
  <c r="K14" i="16"/>
  <c r="R11" i="16"/>
  <c r="M11" i="16"/>
  <c r="I11" i="16"/>
  <c r="R10" i="16" s="1"/>
  <c r="H11" i="16"/>
  <c r="E11" i="16"/>
  <c r="N11" i="16" s="1"/>
  <c r="D11" i="16"/>
  <c r="M10" i="16" s="1"/>
  <c r="C11" i="16"/>
  <c r="N10" i="16"/>
  <c r="R9" i="16"/>
  <c r="Q9" i="16"/>
  <c r="N9" i="16"/>
  <c r="M9" i="16"/>
  <c r="R8" i="16"/>
  <c r="Q8" i="16"/>
  <c r="N8" i="16"/>
  <c r="M8" i="16"/>
  <c r="R7" i="16"/>
  <c r="N7" i="16"/>
  <c r="M7" i="16"/>
  <c r="AS36" i="15"/>
  <c r="AS42" i="15" s="1"/>
  <c r="AO30" i="15"/>
  <c r="AO36" i="15" s="1"/>
  <c r="AO42" i="15" s="1"/>
  <c r="AG30" i="15"/>
  <c r="AG36" i="15" s="1"/>
  <c r="AG42" i="15" s="1"/>
  <c r="AF30" i="15"/>
  <c r="AF36" i="15" s="1"/>
  <c r="AF42" i="15" s="1"/>
  <c r="AN24" i="15"/>
  <c r="AN30" i="15" s="1"/>
  <c r="AN36" i="15" s="1"/>
  <c r="AN42" i="15" s="1"/>
  <c r="AF24" i="15"/>
  <c r="AA24" i="15"/>
  <c r="AA30" i="15" s="1"/>
  <c r="AA36" i="15" s="1"/>
  <c r="AA42" i="15" s="1"/>
  <c r="AP18" i="15"/>
  <c r="AP24" i="15" s="1"/>
  <c r="AP30" i="15" s="1"/>
  <c r="AP36" i="15" s="1"/>
  <c r="AP42" i="15" s="1"/>
  <c r="AH18" i="15"/>
  <c r="AH24" i="15" s="1"/>
  <c r="AH30" i="15" s="1"/>
  <c r="AH36" i="15" s="1"/>
  <c r="AH42" i="15" s="1"/>
  <c r="AE18" i="15"/>
  <c r="AE24" i="15" s="1"/>
  <c r="AE30" i="15" s="1"/>
  <c r="AE36" i="15" s="1"/>
  <c r="AE42" i="15" s="1"/>
  <c r="AD18" i="15"/>
  <c r="AD24" i="15" s="1"/>
  <c r="AD30" i="15" s="1"/>
  <c r="AD36" i="15" s="1"/>
  <c r="AD42" i="15" s="1"/>
  <c r="AS12" i="15"/>
  <c r="AS18" i="15" s="1"/>
  <c r="AS24" i="15" s="1"/>
  <c r="AS30" i="15" s="1"/>
  <c r="AR12" i="15"/>
  <c r="AR18" i="15" s="1"/>
  <c r="AR24" i="15" s="1"/>
  <c r="AR30" i="15" s="1"/>
  <c r="AR36" i="15" s="1"/>
  <c r="AR42" i="15" s="1"/>
  <c r="AQ12" i="15"/>
  <c r="AQ18" i="15" s="1"/>
  <c r="AQ24" i="15" s="1"/>
  <c r="AQ30" i="15" s="1"/>
  <c r="AQ36" i="15" s="1"/>
  <c r="AQ42" i="15" s="1"/>
  <c r="AP12" i="15"/>
  <c r="AO12" i="15"/>
  <c r="AO18" i="15" s="1"/>
  <c r="AO24" i="15" s="1"/>
  <c r="AN12" i="15"/>
  <c r="AN18" i="15" s="1"/>
  <c r="AM12" i="15"/>
  <c r="AM18" i="15" s="1"/>
  <c r="AM24" i="15" s="1"/>
  <c r="AM30" i="15" s="1"/>
  <c r="AM36" i="15" s="1"/>
  <c r="AM42" i="15" s="1"/>
  <c r="AL12" i="15"/>
  <c r="AL18" i="15" s="1"/>
  <c r="AL24" i="15" s="1"/>
  <c r="AL30" i="15" s="1"/>
  <c r="AL36" i="15" s="1"/>
  <c r="AL42" i="15" s="1"/>
  <c r="AK12" i="15"/>
  <c r="AK18" i="15" s="1"/>
  <c r="AK24" i="15" s="1"/>
  <c r="AK30" i="15" s="1"/>
  <c r="AK36" i="15" s="1"/>
  <c r="AK42" i="15" s="1"/>
  <c r="AJ12" i="15"/>
  <c r="AJ18" i="15" s="1"/>
  <c r="AJ24" i="15" s="1"/>
  <c r="AJ30" i="15" s="1"/>
  <c r="AJ36" i="15" s="1"/>
  <c r="AJ42" i="15" s="1"/>
  <c r="AI12" i="15"/>
  <c r="AI18" i="15" s="1"/>
  <c r="AI24" i="15" s="1"/>
  <c r="AI30" i="15" s="1"/>
  <c r="AI36" i="15" s="1"/>
  <c r="AI42" i="15" s="1"/>
  <c r="AH12" i="15"/>
  <c r="AG12" i="15"/>
  <c r="AG18" i="15" s="1"/>
  <c r="AG24" i="15" s="1"/>
  <c r="AF12" i="15"/>
  <c r="AF18" i="15" s="1"/>
  <c r="AE12" i="15"/>
  <c r="AD12" i="15"/>
  <c r="AC12" i="15"/>
  <c r="AC18" i="15" s="1"/>
  <c r="AC24" i="15" s="1"/>
  <c r="AC30" i="15" s="1"/>
  <c r="AC36" i="15" s="1"/>
  <c r="AC42" i="15" s="1"/>
  <c r="AB12" i="15"/>
  <c r="AB18" i="15" s="1"/>
  <c r="AB24" i="15" s="1"/>
  <c r="AB30" i="15" s="1"/>
  <c r="AB36" i="15" s="1"/>
  <c r="AB42" i="15" s="1"/>
  <c r="AA12" i="15"/>
  <c r="AA18" i="15" s="1"/>
  <c r="AJ42" i="14"/>
  <c r="AR36" i="14"/>
  <c r="AR42" i="14" s="1"/>
  <c r="AJ36" i="14"/>
  <c r="AI36" i="14"/>
  <c r="AI42" i="14" s="1"/>
  <c r="AM30" i="14"/>
  <c r="AM36" i="14" s="1"/>
  <c r="AM42" i="14" s="1"/>
  <c r="AE30" i="14"/>
  <c r="AE36" i="14" s="1"/>
  <c r="AE42" i="14" s="1"/>
  <c r="AC24" i="14"/>
  <c r="AC30" i="14" s="1"/>
  <c r="AC36" i="14" s="1"/>
  <c r="AC42" i="14" s="1"/>
  <c r="AR18" i="14"/>
  <c r="AR24" i="14" s="1"/>
  <c r="AR30" i="14" s="1"/>
  <c r="AL18" i="14"/>
  <c r="AL24" i="14" s="1"/>
  <c r="AL30" i="14" s="1"/>
  <c r="AL36" i="14" s="1"/>
  <c r="AL42" i="14" s="1"/>
  <c r="AK18" i="14"/>
  <c r="AK24" i="14" s="1"/>
  <c r="AK30" i="14" s="1"/>
  <c r="AK36" i="14" s="1"/>
  <c r="AK42" i="14" s="1"/>
  <c r="AJ18" i="14"/>
  <c r="AJ24" i="14" s="1"/>
  <c r="AJ30" i="14" s="1"/>
  <c r="AD18" i="14"/>
  <c r="AD24" i="14" s="1"/>
  <c r="AD30" i="14" s="1"/>
  <c r="AD36" i="14" s="1"/>
  <c r="AD42" i="14" s="1"/>
  <c r="AC18" i="14"/>
  <c r="AB18" i="14"/>
  <c r="AB24" i="14" s="1"/>
  <c r="AB30" i="14" s="1"/>
  <c r="AB36" i="14" s="1"/>
  <c r="AB42" i="14" s="1"/>
  <c r="AS12" i="14"/>
  <c r="AS18" i="14" s="1"/>
  <c r="AS24" i="14" s="1"/>
  <c r="AS30" i="14" s="1"/>
  <c r="AS36" i="14" s="1"/>
  <c r="AS42" i="14" s="1"/>
  <c r="AR12" i="14"/>
  <c r="AQ12" i="14"/>
  <c r="AQ18" i="14" s="1"/>
  <c r="AQ24" i="14" s="1"/>
  <c r="AQ30" i="14" s="1"/>
  <c r="AQ36" i="14" s="1"/>
  <c r="AQ42" i="14" s="1"/>
  <c r="AP12" i="14"/>
  <c r="AP18" i="14" s="1"/>
  <c r="AP24" i="14" s="1"/>
  <c r="AP30" i="14" s="1"/>
  <c r="AP36" i="14" s="1"/>
  <c r="AP42" i="14" s="1"/>
  <c r="AO12" i="14"/>
  <c r="AO18" i="14" s="1"/>
  <c r="AO24" i="14" s="1"/>
  <c r="AO30" i="14" s="1"/>
  <c r="AO36" i="14" s="1"/>
  <c r="AO42" i="14" s="1"/>
  <c r="AN12" i="14"/>
  <c r="AN18" i="14" s="1"/>
  <c r="AN24" i="14" s="1"/>
  <c r="AN30" i="14" s="1"/>
  <c r="AN36" i="14" s="1"/>
  <c r="AN42" i="14" s="1"/>
  <c r="AM12" i="14"/>
  <c r="AM18" i="14" s="1"/>
  <c r="AM24" i="14" s="1"/>
  <c r="AL12" i="14"/>
  <c r="AK12" i="14"/>
  <c r="AJ12" i="14"/>
  <c r="AI12" i="14"/>
  <c r="AI18" i="14" s="1"/>
  <c r="AI24" i="14" s="1"/>
  <c r="AI30" i="14" s="1"/>
  <c r="AH12" i="14"/>
  <c r="AH18" i="14" s="1"/>
  <c r="AH24" i="14" s="1"/>
  <c r="AH30" i="14" s="1"/>
  <c r="AH36" i="14" s="1"/>
  <c r="AH42" i="14" s="1"/>
  <c r="AG12" i="14"/>
  <c r="AG18" i="14" s="1"/>
  <c r="AG24" i="14" s="1"/>
  <c r="AG30" i="14" s="1"/>
  <c r="AG36" i="14" s="1"/>
  <c r="AG42" i="14" s="1"/>
  <c r="AF12" i="14"/>
  <c r="AF18" i="14" s="1"/>
  <c r="AF24" i="14" s="1"/>
  <c r="AF30" i="14" s="1"/>
  <c r="AF36" i="14" s="1"/>
  <c r="AF42" i="14" s="1"/>
  <c r="AE12" i="14"/>
  <c r="AE18" i="14" s="1"/>
  <c r="AE24" i="14" s="1"/>
  <c r="AD12" i="14"/>
  <c r="AC12" i="14"/>
  <c r="AB12" i="14"/>
  <c r="AA12" i="14"/>
  <c r="AA18" i="14" s="1"/>
  <c r="AA24" i="14" s="1"/>
  <c r="AA30" i="14" s="1"/>
  <c r="AA36" i="14" s="1"/>
  <c r="AA42" i="14" s="1"/>
  <c r="AS85" i="13"/>
  <c r="AR85" i="13"/>
  <c r="AQ85" i="13"/>
  <c r="AP85" i="13"/>
  <c r="AO85" i="13"/>
  <c r="AN85" i="13"/>
  <c r="AM85" i="13"/>
  <c r="AL85" i="13"/>
  <c r="AK85" i="13"/>
  <c r="AJ85" i="13"/>
  <c r="AI85" i="13"/>
  <c r="AH85" i="13"/>
  <c r="AG85" i="13"/>
  <c r="AF85" i="13"/>
  <c r="AE85" i="13"/>
  <c r="AD85" i="13"/>
  <c r="AC85" i="13"/>
  <c r="AB85" i="13"/>
  <c r="AA85" i="13"/>
  <c r="AS84" i="13"/>
  <c r="AR84" i="13"/>
  <c r="AQ84" i="13"/>
  <c r="AP84" i="13"/>
  <c r="AO84" i="13"/>
  <c r="AN84" i="13"/>
  <c r="AM84" i="13"/>
  <c r="AL84" i="13"/>
  <c r="AK84" i="13"/>
  <c r="AJ84" i="13"/>
  <c r="AI84" i="13"/>
  <c r="AH84" i="13"/>
  <c r="AG84" i="13"/>
  <c r="AF84" i="13"/>
  <c r="AE84" i="13"/>
  <c r="AD84" i="13"/>
  <c r="AC84" i="13"/>
  <c r="AB84" i="13"/>
  <c r="AA84" i="13"/>
  <c r="AS83" i="13"/>
  <c r="AR83" i="13"/>
  <c r="AQ83" i="13"/>
  <c r="AP83" i="13"/>
  <c r="AO83" i="13"/>
  <c r="AN83" i="13"/>
  <c r="AM83" i="13"/>
  <c r="AL83" i="13"/>
  <c r="AK83" i="13"/>
  <c r="AJ83" i="13"/>
  <c r="AI83" i="13"/>
  <c r="AH83" i="13"/>
  <c r="AG83" i="13"/>
  <c r="AF83" i="13"/>
  <c r="AE83" i="13"/>
  <c r="AD83" i="13"/>
  <c r="AC83" i="13"/>
  <c r="AB83" i="13"/>
  <c r="AA83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AH81" i="13"/>
  <c r="AD81" i="13"/>
  <c r="Z81" i="13"/>
  <c r="F81" i="13"/>
  <c r="AS80" i="13"/>
  <c r="AR80" i="13"/>
  <c r="AQ80" i="13"/>
  <c r="AP80" i="13"/>
  <c r="AO80" i="13"/>
  <c r="AN80" i="13"/>
  <c r="AM80" i="13"/>
  <c r="AL80" i="13"/>
  <c r="AK80" i="13"/>
  <c r="AJ80" i="13"/>
  <c r="AI80" i="13"/>
  <c r="AH80" i="13"/>
  <c r="AG80" i="13"/>
  <c r="AF80" i="13"/>
  <c r="AE80" i="13"/>
  <c r="AD80" i="13"/>
  <c r="AC80" i="13"/>
  <c r="AB80" i="13"/>
  <c r="AA80" i="13"/>
  <c r="AS79" i="13"/>
  <c r="AR79" i="13"/>
  <c r="AQ79" i="13"/>
  <c r="AP79" i="13"/>
  <c r="AO79" i="13"/>
  <c r="AN79" i="13"/>
  <c r="AM79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AS78" i="13"/>
  <c r="AR78" i="13"/>
  <c r="AQ78" i="13"/>
  <c r="AP78" i="13"/>
  <c r="AO78" i="13"/>
  <c r="AN78" i="13"/>
  <c r="AM78" i="13"/>
  <c r="AL78" i="13"/>
  <c r="AK78" i="13"/>
  <c r="AJ78" i="13"/>
  <c r="AI78" i="13"/>
  <c r="AH78" i="13"/>
  <c r="AG78" i="13"/>
  <c r="AF78" i="13"/>
  <c r="AE78" i="13"/>
  <c r="AD78" i="13"/>
  <c r="AC78" i="13"/>
  <c r="AB78" i="13"/>
  <c r="AA78" i="13"/>
  <c r="AS70" i="13"/>
  <c r="AR70" i="13"/>
  <c r="AQ70" i="13"/>
  <c r="AP70" i="13"/>
  <c r="AO70" i="13"/>
  <c r="AN70" i="13"/>
  <c r="AM70" i="13"/>
  <c r="AL70" i="13"/>
  <c r="AQ67" i="13"/>
  <c r="AS61" i="13"/>
  <c r="AR61" i="13"/>
  <c r="AQ61" i="13"/>
  <c r="AQ81" i="13" s="1"/>
  <c r="AP61" i="13"/>
  <c r="AP81" i="13" s="1"/>
  <c r="AO61" i="13"/>
  <c r="AN61" i="13"/>
  <c r="AM61" i="13"/>
  <c r="AL61" i="13"/>
  <c r="AK61" i="13"/>
  <c r="AK81" i="13" s="1"/>
  <c r="AJ61" i="13"/>
  <c r="AI61" i="13"/>
  <c r="AI81" i="13" s="1"/>
  <c r="AH61" i="13"/>
  <c r="AL57" i="13"/>
  <c r="AL67" i="13" s="1"/>
  <c r="AA57" i="13"/>
  <c r="AA67" i="13" s="1"/>
  <c r="AS50" i="13"/>
  <c r="AR50" i="13"/>
  <c r="AQ50" i="13"/>
  <c r="AP50" i="13"/>
  <c r="AO50" i="13"/>
  <c r="AN50" i="13"/>
  <c r="AM50" i="13"/>
  <c r="AM81" i="13" s="1"/>
  <c r="AL50" i="13"/>
  <c r="AL81" i="13" s="1"/>
  <c r="AK50" i="13"/>
  <c r="AJ50" i="13"/>
  <c r="AI50" i="13"/>
  <c r="AH50" i="13"/>
  <c r="AG50" i="13"/>
  <c r="AG81" i="13" s="1"/>
  <c r="AQ47" i="13"/>
  <c r="AQ57" i="13" s="1"/>
  <c r="AQ77" i="13" s="1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F81" i="13" s="1"/>
  <c r="AE40" i="13"/>
  <c r="AD40" i="13"/>
  <c r="AC40" i="13"/>
  <c r="AC81" i="13" s="1"/>
  <c r="AB40" i="13"/>
  <c r="AA40" i="13"/>
  <c r="Z40" i="13"/>
  <c r="Y40" i="13"/>
  <c r="Y81" i="13" s="1"/>
  <c r="AR37" i="13"/>
  <c r="AR47" i="13" s="1"/>
  <c r="AR57" i="13" s="1"/>
  <c r="AN37" i="13"/>
  <c r="AN47" i="13" s="1"/>
  <c r="AN57" i="13" s="1"/>
  <c r="AG37" i="13"/>
  <c r="AG47" i="13" s="1"/>
  <c r="AG57" i="13" s="1"/>
  <c r="AF37" i="13"/>
  <c r="AF47" i="13" s="1"/>
  <c r="AF57" i="13" s="1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X81" i="13" s="1"/>
  <c r="W30" i="13"/>
  <c r="V30" i="13"/>
  <c r="U30" i="13"/>
  <c r="U81" i="13" s="1"/>
  <c r="T30" i="13"/>
  <c r="T81" i="13" s="1"/>
  <c r="S30" i="13"/>
  <c r="S81" i="13" s="1"/>
  <c r="R30" i="13"/>
  <c r="Q30" i="13"/>
  <c r="Q81" i="13" s="1"/>
  <c r="P30" i="13"/>
  <c r="P81" i="13" s="1"/>
  <c r="O30" i="13"/>
  <c r="N30" i="13"/>
  <c r="M30" i="13"/>
  <c r="M81" i="13" s="1"/>
  <c r="L30" i="13"/>
  <c r="L81" i="13" s="1"/>
  <c r="K30" i="13"/>
  <c r="K81" i="13" s="1"/>
  <c r="J30" i="13"/>
  <c r="I30" i="13"/>
  <c r="I81" i="13" s="1"/>
  <c r="H30" i="13"/>
  <c r="H81" i="13" s="1"/>
  <c r="G30" i="13"/>
  <c r="F30" i="13"/>
  <c r="E30" i="13"/>
  <c r="E81" i="13" s="1"/>
  <c r="D30" i="13"/>
  <c r="D81" i="13" s="1"/>
  <c r="C30" i="13"/>
  <c r="C81" i="13" s="1"/>
  <c r="AR27" i="13"/>
  <c r="AQ27" i="13"/>
  <c r="AQ37" i="13" s="1"/>
  <c r="AK27" i="13"/>
  <c r="AK37" i="13" s="1"/>
  <c r="AK47" i="13" s="1"/>
  <c r="AK57" i="13" s="1"/>
  <c r="AJ27" i="13"/>
  <c r="AJ37" i="13" s="1"/>
  <c r="AJ47" i="13" s="1"/>
  <c r="AJ57" i="13" s="1"/>
  <c r="AI27" i="13"/>
  <c r="AI37" i="13" s="1"/>
  <c r="AI47" i="13" s="1"/>
  <c r="AI57" i="13" s="1"/>
  <c r="AH27" i="13"/>
  <c r="AH37" i="13" s="1"/>
  <c r="AH47" i="13" s="1"/>
  <c r="AH57" i="13" s="1"/>
  <c r="AG27" i="13"/>
  <c r="AF27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W81" i="13" s="1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AS16" i="13"/>
  <c r="AS27" i="13" s="1"/>
  <c r="AS37" i="13" s="1"/>
  <c r="AS47" i="13" s="1"/>
  <c r="AS57" i="13" s="1"/>
  <c r="AR16" i="13"/>
  <c r="AQ16" i="13"/>
  <c r="AP16" i="13"/>
  <c r="AP27" i="13" s="1"/>
  <c r="AP37" i="13" s="1"/>
  <c r="AP47" i="13" s="1"/>
  <c r="AP57" i="13" s="1"/>
  <c r="AO16" i="13"/>
  <c r="AO27" i="13" s="1"/>
  <c r="AO37" i="13" s="1"/>
  <c r="AO47" i="13" s="1"/>
  <c r="AO57" i="13" s="1"/>
  <c r="AN16" i="13"/>
  <c r="AN27" i="13" s="1"/>
  <c r="AM16" i="13"/>
  <c r="AM27" i="13" s="1"/>
  <c r="AM37" i="13" s="1"/>
  <c r="AM47" i="13" s="1"/>
  <c r="AM57" i="13" s="1"/>
  <c r="AL16" i="13"/>
  <c r="AL27" i="13" s="1"/>
  <c r="AL37" i="13" s="1"/>
  <c r="AL47" i="13" s="1"/>
  <c r="AK16" i="13"/>
  <c r="AJ16" i="13"/>
  <c r="AI16" i="13"/>
  <c r="AH16" i="13"/>
  <c r="AG16" i="13"/>
  <c r="AF16" i="13"/>
  <c r="AE16" i="13"/>
  <c r="AE27" i="13" s="1"/>
  <c r="AE37" i="13" s="1"/>
  <c r="AE47" i="13" s="1"/>
  <c r="AE57" i="13" s="1"/>
  <c r="AA16" i="13"/>
  <c r="AA27" i="13" s="1"/>
  <c r="AA37" i="13" s="1"/>
  <c r="AA47" i="13" s="1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E81" i="13" s="1"/>
  <c r="AD9" i="13"/>
  <c r="AC9" i="13"/>
  <c r="AB9" i="13"/>
  <c r="AA9" i="13"/>
  <c r="Z9" i="13"/>
  <c r="Y9" i="13"/>
  <c r="X9" i="13"/>
  <c r="W9" i="13"/>
  <c r="V9" i="13"/>
  <c r="V81" i="13" s="1"/>
  <c r="U9" i="13"/>
  <c r="T9" i="13"/>
  <c r="S9" i="13"/>
  <c r="R9" i="13"/>
  <c r="R81" i="13" s="1"/>
  <c r="Q9" i="13"/>
  <c r="P9" i="13"/>
  <c r="O9" i="13"/>
  <c r="O81" i="13" s="1"/>
  <c r="N9" i="13"/>
  <c r="N81" i="13" s="1"/>
  <c r="M9" i="13"/>
  <c r="L9" i="13"/>
  <c r="K9" i="13"/>
  <c r="J9" i="13"/>
  <c r="J81" i="13" s="1"/>
  <c r="I9" i="13"/>
  <c r="H9" i="13"/>
  <c r="G9" i="13"/>
  <c r="G81" i="13" s="1"/>
  <c r="F9" i="13"/>
  <c r="E9" i="13"/>
  <c r="D9" i="13"/>
  <c r="C9" i="13"/>
  <c r="AK174" i="12"/>
  <c r="AH174" i="12"/>
  <c r="AC174" i="12"/>
  <c r="Z174" i="12"/>
  <c r="Q174" i="12"/>
  <c r="M174" i="12"/>
  <c r="J174" i="12"/>
  <c r="I174" i="12"/>
  <c r="E174" i="12"/>
  <c r="AS172" i="12"/>
  <c r="AR172" i="12"/>
  <c r="AQ172" i="12"/>
  <c r="AP172" i="12"/>
  <c r="AO172" i="12"/>
  <c r="AN172" i="12"/>
  <c r="AM172" i="12"/>
  <c r="AL172" i="12"/>
  <c r="AS164" i="12"/>
  <c r="AR164" i="12"/>
  <c r="AQ164" i="12"/>
  <c r="AP164" i="12"/>
  <c r="AO164" i="12"/>
  <c r="AN164" i="12"/>
  <c r="AM164" i="12"/>
  <c r="AL164" i="12"/>
  <c r="AK164" i="12"/>
  <c r="AJ164" i="12"/>
  <c r="AI164" i="12"/>
  <c r="AH164" i="12"/>
  <c r="AG164" i="12"/>
  <c r="AF164" i="12"/>
  <c r="AE164" i="12"/>
  <c r="AD164" i="12"/>
  <c r="AC164" i="12"/>
  <c r="AB164" i="12"/>
  <c r="AA164" i="12"/>
  <c r="Z164" i="12"/>
  <c r="Y164" i="12"/>
  <c r="X164" i="12"/>
  <c r="W164" i="12"/>
  <c r="V164" i="12"/>
  <c r="U164" i="12"/>
  <c r="T164" i="12"/>
  <c r="S164" i="12"/>
  <c r="R164" i="12"/>
  <c r="Q164" i="12"/>
  <c r="P164" i="12"/>
  <c r="O164" i="12"/>
  <c r="N164" i="12"/>
  <c r="M164" i="12"/>
  <c r="L164" i="12"/>
  <c r="K164" i="12"/>
  <c r="J164" i="12"/>
  <c r="I164" i="12"/>
  <c r="H164" i="12"/>
  <c r="G164" i="12"/>
  <c r="F164" i="12"/>
  <c r="E164" i="12"/>
  <c r="D164" i="12"/>
  <c r="C164" i="12"/>
  <c r="AS156" i="12"/>
  <c r="AR156" i="12"/>
  <c r="AQ156" i="12"/>
  <c r="AP156" i="12"/>
  <c r="AO156" i="12"/>
  <c r="AN156" i="12"/>
  <c r="AM156" i="12"/>
  <c r="AL156" i="12"/>
  <c r="AK156" i="12"/>
  <c r="AJ156" i="12"/>
  <c r="AI156" i="12"/>
  <c r="AH156" i="12"/>
  <c r="AG156" i="12"/>
  <c r="AF156" i="12"/>
  <c r="AE156" i="12"/>
  <c r="AD156" i="12"/>
  <c r="AC156" i="12"/>
  <c r="AB156" i="12"/>
  <c r="AA156" i="12"/>
  <c r="Z156" i="12"/>
  <c r="Y156" i="12"/>
  <c r="X156" i="12"/>
  <c r="W156" i="12"/>
  <c r="V156" i="12"/>
  <c r="U156" i="12"/>
  <c r="T156" i="12"/>
  <c r="S156" i="12"/>
  <c r="R156" i="12"/>
  <c r="Q156" i="12"/>
  <c r="P156" i="12"/>
  <c r="O156" i="12"/>
  <c r="N156" i="12"/>
  <c r="M156" i="12"/>
  <c r="L156" i="12"/>
  <c r="K156" i="12"/>
  <c r="J156" i="12"/>
  <c r="I156" i="12"/>
  <c r="H156" i="12"/>
  <c r="G156" i="12"/>
  <c r="F156" i="12"/>
  <c r="E156" i="12"/>
  <c r="D156" i="12"/>
  <c r="C156" i="12"/>
  <c r="AS148" i="12"/>
  <c r="AR148" i="12"/>
  <c r="AQ148" i="12"/>
  <c r="AP148" i="12"/>
  <c r="AP174" i="12" s="1"/>
  <c r="AO148" i="12"/>
  <c r="AN148" i="12"/>
  <c r="AM148" i="12"/>
  <c r="AL148" i="12"/>
  <c r="AK148" i="12"/>
  <c r="AJ148" i="12"/>
  <c r="AI148" i="12"/>
  <c r="AH148" i="12"/>
  <c r="AG148" i="12"/>
  <c r="AF148" i="12"/>
  <c r="AE148" i="12"/>
  <c r="AD148" i="12"/>
  <c r="AC148" i="12"/>
  <c r="AB148" i="12"/>
  <c r="AA148" i="12"/>
  <c r="Z148" i="12"/>
  <c r="Y148" i="12"/>
  <c r="X148" i="12"/>
  <c r="W148" i="12"/>
  <c r="V148" i="12"/>
  <c r="U148" i="12"/>
  <c r="T148" i="12"/>
  <c r="S148" i="12"/>
  <c r="R148" i="12"/>
  <c r="R174" i="12" s="1"/>
  <c r="Q148" i="12"/>
  <c r="P148" i="12"/>
  <c r="O148" i="12"/>
  <c r="N148" i="12"/>
  <c r="M148" i="12"/>
  <c r="L148" i="12"/>
  <c r="K148" i="12"/>
  <c r="J148" i="12"/>
  <c r="I148" i="12"/>
  <c r="H148" i="12"/>
  <c r="G148" i="12"/>
  <c r="F148" i="12"/>
  <c r="E148" i="12"/>
  <c r="D148" i="12"/>
  <c r="C148" i="12"/>
  <c r="AS140" i="12"/>
  <c r="AS174" i="12" s="1"/>
  <c r="AR140" i="12"/>
  <c r="AQ140" i="12"/>
  <c r="AP140" i="12"/>
  <c r="AO140" i="12"/>
  <c r="AN140" i="12"/>
  <c r="AM140" i="12"/>
  <c r="AL140" i="12"/>
  <c r="AK140" i="12"/>
  <c r="AJ140" i="12"/>
  <c r="AI140" i="12"/>
  <c r="AH140" i="12"/>
  <c r="AG140" i="12"/>
  <c r="AG174" i="12" s="1"/>
  <c r="AF140" i="12"/>
  <c r="AE140" i="12"/>
  <c r="AD140" i="12"/>
  <c r="AC140" i="12"/>
  <c r="AB140" i="12"/>
  <c r="AA140" i="12"/>
  <c r="Z140" i="12"/>
  <c r="Y140" i="12"/>
  <c r="X140" i="12"/>
  <c r="W140" i="12"/>
  <c r="V140" i="12"/>
  <c r="U140" i="12"/>
  <c r="U174" i="12" s="1"/>
  <c r="T140" i="12"/>
  <c r="S140" i="12"/>
  <c r="R140" i="12"/>
  <c r="Q140" i="12"/>
  <c r="P140" i="12"/>
  <c r="O140" i="12"/>
  <c r="N140" i="12"/>
  <c r="M140" i="12"/>
  <c r="L140" i="12"/>
  <c r="K140" i="12"/>
  <c r="J140" i="12"/>
  <c r="I140" i="12"/>
  <c r="H140" i="12"/>
  <c r="G140" i="12"/>
  <c r="F140" i="12"/>
  <c r="E140" i="12"/>
  <c r="D140" i="12"/>
  <c r="C140" i="12"/>
  <c r="AS132" i="12"/>
  <c r="AR132" i="12"/>
  <c r="AQ132" i="12"/>
  <c r="AP132" i="12"/>
  <c r="AO132" i="12"/>
  <c r="AO174" i="12" s="1"/>
  <c r="AN132" i="12"/>
  <c r="AM132" i="12"/>
  <c r="AL132" i="12"/>
  <c r="AK132" i="12"/>
  <c r="AJ132" i="12"/>
  <c r="AI132" i="12"/>
  <c r="AH132" i="12"/>
  <c r="AG132" i="12"/>
  <c r="AF132" i="12"/>
  <c r="AE132" i="12"/>
  <c r="AD132" i="12"/>
  <c r="AC132" i="12"/>
  <c r="AB132" i="12"/>
  <c r="AA132" i="12"/>
  <c r="Z132" i="12"/>
  <c r="Y132" i="12"/>
  <c r="Y174" i="12" s="1"/>
  <c r="X132" i="12"/>
  <c r="W132" i="12"/>
  <c r="V132" i="12"/>
  <c r="U132" i="12"/>
  <c r="T132" i="12"/>
  <c r="S132" i="12"/>
  <c r="R132" i="12"/>
  <c r="Q132" i="12"/>
  <c r="P132" i="12"/>
  <c r="O132" i="12"/>
  <c r="N132" i="12"/>
  <c r="M132" i="12"/>
  <c r="L132" i="12"/>
  <c r="K132" i="12"/>
  <c r="J132" i="12"/>
  <c r="I132" i="12"/>
  <c r="H132" i="12"/>
  <c r="G132" i="12"/>
  <c r="F132" i="12"/>
  <c r="E132" i="12"/>
  <c r="D132" i="12"/>
  <c r="C132" i="12"/>
  <c r="AS124" i="12"/>
  <c r="AR124" i="12"/>
  <c r="AQ124" i="12"/>
  <c r="AP124" i="12"/>
  <c r="AO124" i="12"/>
  <c r="AN124" i="12"/>
  <c r="AN174" i="12" s="1"/>
  <c r="AM124" i="12"/>
  <c r="AM174" i="12" s="1"/>
  <c r="AL124" i="12"/>
  <c r="AL174" i="12" s="1"/>
  <c r="AK124" i="12"/>
  <c r="AJ124" i="12"/>
  <c r="AI124" i="12"/>
  <c r="AH124" i="12"/>
  <c r="AG124" i="12"/>
  <c r="AF124" i="12"/>
  <c r="AF174" i="12" s="1"/>
  <c r="AE124" i="12"/>
  <c r="AE174" i="12" s="1"/>
  <c r="AD124" i="12"/>
  <c r="AD174" i="12" s="1"/>
  <c r="AC124" i="12"/>
  <c r="AB124" i="12"/>
  <c r="AA124" i="12"/>
  <c r="Z124" i="12"/>
  <c r="Y124" i="12"/>
  <c r="X124" i="12"/>
  <c r="X174" i="12" s="1"/>
  <c r="W124" i="12"/>
  <c r="W174" i="12" s="1"/>
  <c r="V124" i="12"/>
  <c r="V174" i="12" s="1"/>
  <c r="U124" i="12"/>
  <c r="T124" i="12"/>
  <c r="S124" i="12"/>
  <c r="R124" i="12"/>
  <c r="Q124" i="12"/>
  <c r="P124" i="12"/>
  <c r="P174" i="12" s="1"/>
  <c r="O124" i="12"/>
  <c r="O174" i="12" s="1"/>
  <c r="N124" i="12"/>
  <c r="N174" i="12" s="1"/>
  <c r="M124" i="12"/>
  <c r="L124" i="12"/>
  <c r="K124" i="12"/>
  <c r="J124" i="12"/>
  <c r="I124" i="12"/>
  <c r="H124" i="12"/>
  <c r="H174" i="12" s="1"/>
  <c r="G124" i="12"/>
  <c r="G174" i="12" s="1"/>
  <c r="F124" i="12"/>
  <c r="F174" i="12" s="1"/>
  <c r="E124" i="12"/>
  <c r="D124" i="12"/>
  <c r="C124" i="12"/>
  <c r="AS116" i="12"/>
  <c r="AR116" i="12"/>
  <c r="AQ116" i="12"/>
  <c r="AP116" i="12"/>
  <c r="AO116" i="12"/>
  <c r="AN116" i="12"/>
  <c r="AM116" i="12"/>
  <c r="AL116" i="12"/>
  <c r="AK116" i="12"/>
  <c r="AJ116" i="12"/>
  <c r="AI116" i="12"/>
  <c r="AS108" i="12"/>
  <c r="AR108" i="12"/>
  <c r="AQ108" i="12"/>
  <c r="AP108" i="12"/>
  <c r="AO108" i="12"/>
  <c r="AN108" i="12"/>
  <c r="AM108" i="12"/>
  <c r="AL108" i="12"/>
  <c r="AS104" i="12"/>
  <c r="AS111" i="12" s="1"/>
  <c r="AS112" i="12" s="1"/>
  <c r="AR104" i="12"/>
  <c r="AR111" i="12" s="1"/>
  <c r="AR112" i="12" s="1"/>
  <c r="AQ104" i="12"/>
  <c r="AQ111" i="12" s="1"/>
  <c r="AQ112" i="12" s="1"/>
  <c r="AP104" i="12"/>
  <c r="AP111" i="12" s="1"/>
  <c r="AP112" i="12" s="1"/>
  <c r="AO104" i="12"/>
  <c r="AO111" i="12" s="1"/>
  <c r="AO112" i="12" s="1"/>
  <c r="AN104" i="12"/>
  <c r="AN111" i="12" s="1"/>
  <c r="AN112" i="12" s="1"/>
  <c r="AM104" i="12"/>
  <c r="AM111" i="12" s="1"/>
  <c r="AM112" i="12" s="1"/>
  <c r="AL104" i="12"/>
  <c r="AL111" i="12" s="1"/>
  <c r="AL112" i="12" s="1"/>
  <c r="AJ97" i="12"/>
  <c r="AJ96" i="12"/>
  <c r="AS93" i="12"/>
  <c r="AR93" i="12"/>
  <c r="AR96" i="12" s="1"/>
  <c r="AR97" i="12" s="1"/>
  <c r="AQ93" i="12"/>
  <c r="AP93" i="12"/>
  <c r="AO93" i="12"/>
  <c r="AN93" i="12"/>
  <c r="AM93" i="12"/>
  <c r="AL93" i="12"/>
  <c r="AK93" i="12"/>
  <c r="AJ93" i="12"/>
  <c r="AI93" i="12"/>
  <c r="AH93" i="12"/>
  <c r="AS89" i="12"/>
  <c r="AR89" i="12"/>
  <c r="AQ89" i="12"/>
  <c r="AQ96" i="12" s="1"/>
  <c r="AQ97" i="12" s="1"/>
  <c r="AP89" i="12"/>
  <c r="AP96" i="12" s="1"/>
  <c r="AP97" i="12" s="1"/>
  <c r="AO89" i="12"/>
  <c r="AO96" i="12" s="1"/>
  <c r="AO97" i="12" s="1"/>
  <c r="AN89" i="12"/>
  <c r="AN96" i="12" s="1"/>
  <c r="AN97" i="12" s="1"/>
  <c r="AM89" i="12"/>
  <c r="AM96" i="12" s="1"/>
  <c r="AM97" i="12" s="1"/>
  <c r="AL89" i="12"/>
  <c r="AL96" i="12" s="1"/>
  <c r="AL97" i="12" s="1"/>
  <c r="AK89" i="12"/>
  <c r="AJ89" i="12"/>
  <c r="AI89" i="12"/>
  <c r="AI96" i="12" s="1"/>
  <c r="AI97" i="12" s="1"/>
  <c r="AH89" i="12"/>
  <c r="AH96" i="12" s="1"/>
  <c r="AH97" i="12" s="1"/>
  <c r="AG81" i="12"/>
  <c r="AG82" i="12" s="1"/>
  <c r="AS78" i="12"/>
  <c r="AR78" i="12"/>
  <c r="AQ78" i="12"/>
  <c r="AP78" i="12"/>
  <c r="AO78" i="12"/>
  <c r="AO81" i="12" s="1"/>
  <c r="AO82" i="12" s="1"/>
  <c r="AN78" i="12"/>
  <c r="AM78" i="12"/>
  <c r="AL78" i="12"/>
  <c r="AK78" i="12"/>
  <c r="AJ78" i="12"/>
  <c r="AI78" i="12"/>
  <c r="AH78" i="12"/>
  <c r="AG78" i="12"/>
  <c r="AS74" i="12"/>
  <c r="AS81" i="12" s="1"/>
  <c r="AS82" i="12" s="1"/>
  <c r="AR74" i="12"/>
  <c r="AR81" i="12" s="1"/>
  <c r="AR82" i="12" s="1"/>
  <c r="AQ74" i="12"/>
  <c r="AQ81" i="12" s="1"/>
  <c r="AQ82" i="12" s="1"/>
  <c r="AP74" i="12"/>
  <c r="AP81" i="12" s="1"/>
  <c r="AP82" i="12" s="1"/>
  <c r="AO74" i="12"/>
  <c r="AN74" i="12"/>
  <c r="AM74" i="12"/>
  <c r="AL74" i="12"/>
  <c r="AK74" i="12"/>
  <c r="AJ74" i="12"/>
  <c r="AJ81" i="12" s="1"/>
  <c r="AJ82" i="12" s="1"/>
  <c r="AI74" i="12"/>
  <c r="AI81" i="12" s="1"/>
  <c r="AI82" i="12" s="1"/>
  <c r="AH74" i="12"/>
  <c r="AH81" i="12" s="1"/>
  <c r="AH82" i="12" s="1"/>
  <c r="AG74" i="12"/>
  <c r="AF67" i="12"/>
  <c r="AQ66" i="12"/>
  <c r="AQ67" i="12" s="1"/>
  <c r="AP66" i="12"/>
  <c r="AP67" i="12" s="1"/>
  <c r="AI66" i="12"/>
  <c r="AI67" i="12" s="1"/>
  <c r="AH66" i="12"/>
  <c r="AH67" i="12" s="1"/>
  <c r="AA66" i="12"/>
  <c r="AA67" i="12" s="1"/>
  <c r="Z66" i="12"/>
  <c r="Z67" i="12" s="1"/>
  <c r="S66" i="12"/>
  <c r="S67" i="12" s="1"/>
  <c r="AS63" i="12"/>
  <c r="AS66" i="12" s="1"/>
  <c r="AS67" i="12" s="1"/>
  <c r="AR63" i="12"/>
  <c r="AQ63" i="12"/>
  <c r="AP63" i="12"/>
  <c r="AO63" i="12"/>
  <c r="AN63" i="12"/>
  <c r="AM63" i="12"/>
  <c r="AL63" i="12"/>
  <c r="AL66" i="12" s="1"/>
  <c r="AL67" i="12" s="1"/>
  <c r="AK63" i="12"/>
  <c r="AK66" i="12" s="1"/>
  <c r="AK67" i="12" s="1"/>
  <c r="AJ63" i="12"/>
  <c r="AI63" i="12"/>
  <c r="AH63" i="12"/>
  <c r="AG63" i="12"/>
  <c r="AF63" i="12"/>
  <c r="AE63" i="12"/>
  <c r="AD63" i="12"/>
  <c r="AD66" i="12" s="1"/>
  <c r="AD67" i="12" s="1"/>
  <c r="AC63" i="12"/>
  <c r="AC66" i="12" s="1"/>
  <c r="AC67" i="12" s="1"/>
  <c r="AB63" i="12"/>
  <c r="AA63" i="12"/>
  <c r="Z63" i="12"/>
  <c r="Y63" i="12"/>
  <c r="X63" i="12"/>
  <c r="W63" i="12"/>
  <c r="V63" i="12"/>
  <c r="V66" i="12" s="1"/>
  <c r="V67" i="12" s="1"/>
  <c r="U63" i="12"/>
  <c r="U66" i="12" s="1"/>
  <c r="U67" i="12" s="1"/>
  <c r="T63" i="12"/>
  <c r="S63" i="12"/>
  <c r="AS59" i="12"/>
  <c r="AR59" i="12"/>
  <c r="AR66" i="12" s="1"/>
  <c r="AR67" i="12" s="1"/>
  <c r="AQ59" i="12"/>
  <c r="AP59" i="12"/>
  <c r="AO59" i="12"/>
  <c r="AO66" i="12" s="1"/>
  <c r="AO67" i="12" s="1"/>
  <c r="AN59" i="12"/>
  <c r="AN66" i="12" s="1"/>
  <c r="AN67" i="12" s="1"/>
  <c r="AM59" i="12"/>
  <c r="AM66" i="12" s="1"/>
  <c r="AM67" i="12" s="1"/>
  <c r="AL59" i="12"/>
  <c r="AK59" i="12"/>
  <c r="AJ59" i="12"/>
  <c r="AJ66" i="12" s="1"/>
  <c r="AJ67" i="12" s="1"/>
  <c r="AI59" i="12"/>
  <c r="AH59" i="12"/>
  <c r="AG59" i="12"/>
  <c r="AG66" i="12" s="1"/>
  <c r="AG67" i="12" s="1"/>
  <c r="AF59" i="12"/>
  <c r="AF66" i="12" s="1"/>
  <c r="AE59" i="12"/>
  <c r="AE66" i="12" s="1"/>
  <c r="AE67" i="12" s="1"/>
  <c r="AD59" i="12"/>
  <c r="AC59" i="12"/>
  <c r="AB59" i="12"/>
  <c r="AB66" i="12" s="1"/>
  <c r="AB67" i="12" s="1"/>
  <c r="AA59" i="12"/>
  <c r="Z59" i="12"/>
  <c r="Y59" i="12"/>
  <c r="Y66" i="12" s="1"/>
  <c r="Y67" i="12" s="1"/>
  <c r="X59" i="12"/>
  <c r="X66" i="12" s="1"/>
  <c r="X67" i="12" s="1"/>
  <c r="W59" i="12"/>
  <c r="W66" i="12" s="1"/>
  <c r="W67" i="12" s="1"/>
  <c r="V59" i="12"/>
  <c r="U59" i="12"/>
  <c r="T59" i="12"/>
  <c r="T66" i="12" s="1"/>
  <c r="T67" i="12" s="1"/>
  <c r="S59" i="12"/>
  <c r="AR52" i="12"/>
  <c r="AJ52" i="12"/>
  <c r="AI52" i="12"/>
  <c r="T52" i="12"/>
  <c r="S52" i="12"/>
  <c r="L52" i="12"/>
  <c r="D52" i="12"/>
  <c r="C52" i="12"/>
  <c r="AM51" i="12"/>
  <c r="AM52" i="12" s="1"/>
  <c r="AL51" i="12"/>
  <c r="AL52" i="12" s="1"/>
  <c r="AH51" i="12"/>
  <c r="AH52" i="12" s="1"/>
  <c r="AE51" i="12"/>
  <c r="AE52" i="12" s="1"/>
  <c r="AD51" i="12"/>
  <c r="AD52" i="12" s="1"/>
  <c r="W51" i="12"/>
  <c r="W52" i="12" s="1"/>
  <c r="V51" i="12"/>
  <c r="V52" i="12" s="1"/>
  <c r="R51" i="12"/>
  <c r="R52" i="12" s="1"/>
  <c r="O51" i="12"/>
  <c r="O52" i="12" s="1"/>
  <c r="N51" i="12"/>
  <c r="N52" i="12" s="1"/>
  <c r="J51" i="12"/>
  <c r="J52" i="12" s="1"/>
  <c r="G51" i="12"/>
  <c r="G52" i="12" s="1"/>
  <c r="F51" i="12"/>
  <c r="F52" i="12" s="1"/>
  <c r="AS48" i="12"/>
  <c r="AR48" i="12"/>
  <c r="AQ48" i="12"/>
  <c r="AP48" i="12"/>
  <c r="AP51" i="12" s="1"/>
  <c r="AP52" i="12" s="1"/>
  <c r="AO48" i="12"/>
  <c r="AO51" i="12" s="1"/>
  <c r="AO52" i="12" s="1"/>
  <c r="AN48" i="12"/>
  <c r="AM48" i="12"/>
  <c r="AL48" i="12"/>
  <c r="AK48" i="12"/>
  <c r="AJ48" i="12"/>
  <c r="AI48" i="12"/>
  <c r="AH48" i="12"/>
  <c r="AG48" i="12"/>
  <c r="AG51" i="12" s="1"/>
  <c r="AG52" i="12" s="1"/>
  <c r="AF48" i="12"/>
  <c r="AE48" i="12"/>
  <c r="AD48" i="12"/>
  <c r="AC48" i="12"/>
  <c r="AB48" i="12"/>
  <c r="AA48" i="12"/>
  <c r="Z48" i="12"/>
  <c r="Z51" i="12" s="1"/>
  <c r="Z52" i="12" s="1"/>
  <c r="Y48" i="12"/>
  <c r="Y51" i="12" s="1"/>
  <c r="Y52" i="12" s="1"/>
  <c r="X48" i="12"/>
  <c r="W48" i="12"/>
  <c r="V48" i="12"/>
  <c r="U48" i="12"/>
  <c r="T48" i="12"/>
  <c r="S48" i="12"/>
  <c r="R48" i="12"/>
  <c r="Q48" i="12"/>
  <c r="Q51" i="12" s="1"/>
  <c r="Q52" i="12" s="1"/>
  <c r="P48" i="12"/>
  <c r="O48" i="12"/>
  <c r="N48" i="12"/>
  <c r="M48" i="12"/>
  <c r="L48" i="12"/>
  <c r="K48" i="12"/>
  <c r="J48" i="12"/>
  <c r="I48" i="12"/>
  <c r="I51" i="12" s="1"/>
  <c r="I52" i="12" s="1"/>
  <c r="H48" i="12"/>
  <c r="G48" i="12"/>
  <c r="F48" i="12"/>
  <c r="E48" i="12"/>
  <c r="D48" i="12"/>
  <c r="C48" i="12"/>
  <c r="AS44" i="12"/>
  <c r="AR44" i="12"/>
  <c r="AR51" i="12" s="1"/>
  <c r="AQ44" i="12"/>
  <c r="AQ51" i="12" s="1"/>
  <c r="AQ52" i="12" s="1"/>
  <c r="AP44" i="12"/>
  <c r="AO44" i="12"/>
  <c r="AN44" i="12"/>
  <c r="AN51" i="12" s="1"/>
  <c r="AN52" i="12" s="1"/>
  <c r="AM44" i="12"/>
  <c r="AL44" i="12"/>
  <c r="AK44" i="12"/>
  <c r="AJ44" i="12"/>
  <c r="AJ51" i="12" s="1"/>
  <c r="AI44" i="12"/>
  <c r="AI51" i="12" s="1"/>
  <c r="AH44" i="12"/>
  <c r="AG44" i="12"/>
  <c r="AF44" i="12"/>
  <c r="AF51" i="12" s="1"/>
  <c r="AF52" i="12" s="1"/>
  <c r="AE44" i="12"/>
  <c r="AD44" i="12"/>
  <c r="AC44" i="12"/>
  <c r="AB44" i="12"/>
  <c r="AB51" i="12" s="1"/>
  <c r="AB52" i="12" s="1"/>
  <c r="AA44" i="12"/>
  <c r="AA51" i="12" s="1"/>
  <c r="AA52" i="12" s="1"/>
  <c r="Z44" i="12"/>
  <c r="Y44" i="12"/>
  <c r="X44" i="12"/>
  <c r="X51" i="12" s="1"/>
  <c r="X52" i="12" s="1"/>
  <c r="W44" i="12"/>
  <c r="V44" i="12"/>
  <c r="U44" i="12"/>
  <c r="T44" i="12"/>
  <c r="T51" i="12" s="1"/>
  <c r="S44" i="12"/>
  <c r="S51" i="12" s="1"/>
  <c r="R44" i="12"/>
  <c r="Q44" i="12"/>
  <c r="P44" i="12"/>
  <c r="P51" i="12" s="1"/>
  <c r="P52" i="12" s="1"/>
  <c r="O44" i="12"/>
  <c r="N44" i="12"/>
  <c r="M44" i="12"/>
  <c r="L44" i="12"/>
  <c r="L51" i="12" s="1"/>
  <c r="K44" i="12"/>
  <c r="K51" i="12" s="1"/>
  <c r="K52" i="12" s="1"/>
  <c r="J44" i="12"/>
  <c r="I44" i="12"/>
  <c r="H44" i="12"/>
  <c r="H51" i="12" s="1"/>
  <c r="H52" i="12" s="1"/>
  <c r="G44" i="12"/>
  <c r="F44" i="12"/>
  <c r="E44" i="12"/>
  <c r="D44" i="12"/>
  <c r="D51" i="12" s="1"/>
  <c r="C44" i="12"/>
  <c r="C51" i="12" s="1"/>
  <c r="W37" i="12"/>
  <c r="O37" i="12"/>
  <c r="AQ36" i="12"/>
  <c r="AQ37" i="12" s="1"/>
  <c r="AP36" i="12"/>
  <c r="AP37" i="12" s="1"/>
  <c r="AI36" i="12"/>
  <c r="AI37" i="12" s="1"/>
  <c r="AH36" i="12"/>
  <c r="AH37" i="12" s="1"/>
  <c r="AA36" i="12"/>
  <c r="AA37" i="12" s="1"/>
  <c r="Z36" i="12"/>
  <c r="Z37" i="12" s="1"/>
  <c r="V36" i="12"/>
  <c r="V37" i="12" s="1"/>
  <c r="S36" i="12"/>
  <c r="S37" i="12" s="1"/>
  <c r="R36" i="12"/>
  <c r="R37" i="12" s="1"/>
  <c r="K36" i="12"/>
  <c r="K37" i="12" s="1"/>
  <c r="J36" i="12"/>
  <c r="J37" i="12" s="1"/>
  <c r="C36" i="12"/>
  <c r="C37" i="12" s="1"/>
  <c r="AS33" i="12"/>
  <c r="AS36" i="12" s="1"/>
  <c r="AS37" i="12" s="1"/>
  <c r="AR33" i="12"/>
  <c r="AQ33" i="12"/>
  <c r="AP33" i="12"/>
  <c r="AO33" i="12"/>
  <c r="AN33" i="12"/>
  <c r="AM33" i="12"/>
  <c r="AL33" i="12"/>
  <c r="AL36" i="12" s="1"/>
  <c r="AL37" i="12" s="1"/>
  <c r="AK33" i="12"/>
  <c r="AK36" i="12" s="1"/>
  <c r="AK37" i="12" s="1"/>
  <c r="AJ33" i="12"/>
  <c r="AI33" i="12"/>
  <c r="AH33" i="12"/>
  <c r="AG33" i="12"/>
  <c r="AF33" i="12"/>
  <c r="AE33" i="12"/>
  <c r="AD33" i="12"/>
  <c r="AD36" i="12" s="1"/>
  <c r="AD37" i="12" s="1"/>
  <c r="AC33" i="12"/>
  <c r="AC36" i="12" s="1"/>
  <c r="AC37" i="12" s="1"/>
  <c r="AB33" i="12"/>
  <c r="AA33" i="12"/>
  <c r="Z33" i="12"/>
  <c r="Y33" i="12"/>
  <c r="X33" i="12"/>
  <c r="W33" i="12"/>
  <c r="V33" i="12"/>
  <c r="U33" i="12"/>
  <c r="U36" i="12" s="1"/>
  <c r="U37" i="12" s="1"/>
  <c r="T33" i="12"/>
  <c r="S33" i="12"/>
  <c r="R33" i="12"/>
  <c r="Q33" i="12"/>
  <c r="P33" i="12"/>
  <c r="O33" i="12"/>
  <c r="N33" i="12"/>
  <c r="N36" i="12" s="1"/>
  <c r="N37" i="12" s="1"/>
  <c r="M33" i="12"/>
  <c r="M36" i="12" s="1"/>
  <c r="M37" i="12" s="1"/>
  <c r="L33" i="12"/>
  <c r="K33" i="12"/>
  <c r="J33" i="12"/>
  <c r="I33" i="12"/>
  <c r="H33" i="12"/>
  <c r="G33" i="12"/>
  <c r="F33" i="12"/>
  <c r="F36" i="12" s="1"/>
  <c r="F37" i="12" s="1"/>
  <c r="E33" i="12"/>
  <c r="E36" i="12" s="1"/>
  <c r="E37" i="12" s="1"/>
  <c r="D33" i="12"/>
  <c r="C33" i="12"/>
  <c r="AS29" i="12"/>
  <c r="AR29" i="12"/>
  <c r="AR36" i="12" s="1"/>
  <c r="AR37" i="12" s="1"/>
  <c r="AQ29" i="12"/>
  <c r="AP29" i="12"/>
  <c r="AO29" i="12"/>
  <c r="AN29" i="12"/>
  <c r="AN36" i="12" s="1"/>
  <c r="AN37" i="12" s="1"/>
  <c r="AM29" i="12"/>
  <c r="AM36" i="12" s="1"/>
  <c r="AM37" i="12" s="1"/>
  <c r="AL29" i="12"/>
  <c r="AK29" i="12"/>
  <c r="AJ29" i="12"/>
  <c r="AJ36" i="12" s="1"/>
  <c r="AJ37" i="12" s="1"/>
  <c r="AI29" i="12"/>
  <c r="AH29" i="12"/>
  <c r="AG29" i="12"/>
  <c r="AF29" i="12"/>
  <c r="AF36" i="12" s="1"/>
  <c r="AF37" i="12" s="1"/>
  <c r="AE29" i="12"/>
  <c r="AE36" i="12" s="1"/>
  <c r="AE37" i="12" s="1"/>
  <c r="AD29" i="12"/>
  <c r="AC29" i="12"/>
  <c r="AB29" i="12"/>
  <c r="AB36" i="12" s="1"/>
  <c r="AB37" i="12" s="1"/>
  <c r="AA29" i="12"/>
  <c r="Z29" i="12"/>
  <c r="Y29" i="12"/>
  <c r="X29" i="12"/>
  <c r="X36" i="12" s="1"/>
  <c r="X37" i="12" s="1"/>
  <c r="W29" i="12"/>
  <c r="W36" i="12" s="1"/>
  <c r="V29" i="12"/>
  <c r="U29" i="12"/>
  <c r="T29" i="12"/>
  <c r="T36" i="12" s="1"/>
  <c r="T37" i="12" s="1"/>
  <c r="S29" i="12"/>
  <c r="R29" i="12"/>
  <c r="Q29" i="12"/>
  <c r="P29" i="12"/>
  <c r="P36" i="12" s="1"/>
  <c r="P37" i="12" s="1"/>
  <c r="O29" i="12"/>
  <c r="O36" i="12" s="1"/>
  <c r="N29" i="12"/>
  <c r="M29" i="12"/>
  <c r="L29" i="12"/>
  <c r="L36" i="12" s="1"/>
  <c r="L37" i="12" s="1"/>
  <c r="K29" i="12"/>
  <c r="J29" i="12"/>
  <c r="I29" i="12"/>
  <c r="H29" i="12"/>
  <c r="H36" i="12" s="1"/>
  <c r="H37" i="12" s="1"/>
  <c r="G29" i="12"/>
  <c r="G36" i="12" s="1"/>
  <c r="G37" i="12" s="1"/>
  <c r="F29" i="12"/>
  <c r="E29" i="12"/>
  <c r="D29" i="12"/>
  <c r="D36" i="12" s="1"/>
  <c r="D37" i="12" s="1"/>
  <c r="C29" i="12"/>
  <c r="AQ21" i="12"/>
  <c r="AB21" i="12"/>
  <c r="T21" i="12"/>
  <c r="S21" i="12"/>
  <c r="AP20" i="12"/>
  <c r="AP21" i="12" s="1"/>
  <c r="AM20" i="12"/>
  <c r="AM21" i="12" s="1"/>
  <c r="AL20" i="12"/>
  <c r="AL21" i="12" s="1"/>
  <c r="AE20" i="12"/>
  <c r="AE21" i="12" s="1"/>
  <c r="AD20" i="12"/>
  <c r="AD21" i="12" s="1"/>
  <c r="W20" i="12"/>
  <c r="V20" i="12"/>
  <c r="R20" i="12"/>
  <c r="R21" i="12" s="1"/>
  <c r="O20" i="12"/>
  <c r="O114" i="12" s="1"/>
  <c r="N20" i="12"/>
  <c r="J20" i="12"/>
  <c r="G20" i="12"/>
  <c r="G114" i="12" s="1"/>
  <c r="F20" i="12"/>
  <c r="AS17" i="12"/>
  <c r="AR17" i="12"/>
  <c r="AQ17" i="12"/>
  <c r="AP17" i="12"/>
  <c r="AO17" i="12"/>
  <c r="AO20" i="12" s="1"/>
  <c r="AO21" i="12" s="1"/>
  <c r="AN17" i="12"/>
  <c r="AM17" i="12"/>
  <c r="AL17" i="12"/>
  <c r="AK17" i="12"/>
  <c r="AJ17" i="12"/>
  <c r="AI17" i="12"/>
  <c r="AH17" i="12"/>
  <c r="AH20" i="12" s="1"/>
  <c r="AH21" i="12" s="1"/>
  <c r="AG17" i="12"/>
  <c r="AG20" i="12" s="1"/>
  <c r="AG21" i="12" s="1"/>
  <c r="AF17" i="12"/>
  <c r="AE17" i="12"/>
  <c r="AD17" i="12"/>
  <c r="AC17" i="12"/>
  <c r="AB17" i="12"/>
  <c r="AA17" i="12"/>
  <c r="Z17" i="12"/>
  <c r="Z20" i="12" s="1"/>
  <c r="Y17" i="12"/>
  <c r="Y20" i="12" s="1"/>
  <c r="X17" i="12"/>
  <c r="W17" i="12"/>
  <c r="V17" i="12"/>
  <c r="U17" i="12"/>
  <c r="T17" i="12"/>
  <c r="S17" i="12"/>
  <c r="R17" i="12"/>
  <c r="Q17" i="12"/>
  <c r="Q20" i="12" s="1"/>
  <c r="P17" i="12"/>
  <c r="O17" i="12"/>
  <c r="N17" i="12"/>
  <c r="M17" i="12"/>
  <c r="L17" i="12"/>
  <c r="K17" i="12"/>
  <c r="J17" i="12"/>
  <c r="I17" i="12"/>
  <c r="I20" i="12" s="1"/>
  <c r="H17" i="12"/>
  <c r="G17" i="12"/>
  <c r="F17" i="12"/>
  <c r="E17" i="12"/>
  <c r="D17" i="12"/>
  <c r="C17" i="12"/>
  <c r="AS13" i="12"/>
  <c r="AS20" i="12" s="1"/>
  <c r="AS21" i="12" s="1"/>
  <c r="AR13" i="12"/>
  <c r="AR20" i="12" s="1"/>
  <c r="AR21" i="12" s="1"/>
  <c r="AQ13" i="12"/>
  <c r="AQ20" i="12" s="1"/>
  <c r="AP13" i="12"/>
  <c r="AO13" i="12"/>
  <c r="AN13" i="12"/>
  <c r="AN20" i="12" s="1"/>
  <c r="AN21" i="12" s="1"/>
  <c r="AM13" i="12"/>
  <c r="AL13" i="12"/>
  <c r="AK13" i="12"/>
  <c r="AK20" i="12" s="1"/>
  <c r="AK21" i="12" s="1"/>
  <c r="AJ13" i="12"/>
  <c r="AJ20" i="12" s="1"/>
  <c r="AJ21" i="12" s="1"/>
  <c r="AI13" i="12"/>
  <c r="AI20" i="12" s="1"/>
  <c r="AI21" i="12" s="1"/>
  <c r="AH13" i="12"/>
  <c r="AG13" i="12"/>
  <c r="AF13" i="12"/>
  <c r="AF20" i="12" s="1"/>
  <c r="AF21" i="12" s="1"/>
  <c r="AE13" i="12"/>
  <c r="AD13" i="12"/>
  <c r="AC13" i="12"/>
  <c r="AC20" i="12" s="1"/>
  <c r="AC21" i="12" s="1"/>
  <c r="AB13" i="12"/>
  <c r="AB20" i="12" s="1"/>
  <c r="AA13" i="12"/>
  <c r="AA20" i="12" s="1"/>
  <c r="AA21" i="12" s="1"/>
  <c r="Z13" i="12"/>
  <c r="Y13" i="12"/>
  <c r="X13" i="12"/>
  <c r="X20" i="12" s="1"/>
  <c r="W13" i="12"/>
  <c r="V13" i="12"/>
  <c r="U13" i="12"/>
  <c r="U20" i="12" s="1"/>
  <c r="T13" i="12"/>
  <c r="T20" i="12" s="1"/>
  <c r="S13" i="12"/>
  <c r="S20" i="12" s="1"/>
  <c r="R13" i="12"/>
  <c r="Q13" i="12"/>
  <c r="P13" i="12"/>
  <c r="P20" i="12" s="1"/>
  <c r="O13" i="12"/>
  <c r="N13" i="12"/>
  <c r="M13" i="12"/>
  <c r="M20" i="12" s="1"/>
  <c r="L13" i="12"/>
  <c r="L20" i="12" s="1"/>
  <c r="K13" i="12"/>
  <c r="K20" i="12" s="1"/>
  <c r="J13" i="12"/>
  <c r="I13" i="12"/>
  <c r="H13" i="12"/>
  <c r="H20" i="12" s="1"/>
  <c r="G13" i="12"/>
  <c r="F13" i="12"/>
  <c r="E13" i="12"/>
  <c r="E20" i="12" s="1"/>
  <c r="D13" i="12"/>
  <c r="D20" i="12" s="1"/>
  <c r="C13" i="12"/>
  <c r="C20" i="12" s="1"/>
  <c r="AE92" i="11"/>
  <c r="AB89" i="11"/>
  <c r="AD87" i="11"/>
  <c r="AD83" i="11" s="1"/>
  <c r="AB84" i="11"/>
  <c r="AR83" i="11"/>
  <c r="AR92" i="11" s="1"/>
  <c r="AQ83" i="11"/>
  <c r="AP83" i="11"/>
  <c r="AO83" i="11"/>
  <c r="AN83" i="11"/>
  <c r="AM83" i="11"/>
  <c r="AL83" i="11"/>
  <c r="AK83" i="11"/>
  <c r="AK92" i="11" s="1"/>
  <c r="AJ83" i="11"/>
  <c r="AJ92" i="11" s="1"/>
  <c r="AI83" i="11"/>
  <c r="AH83" i="11"/>
  <c r="AG83" i="11"/>
  <c r="AE83" i="11"/>
  <c r="AA83" i="11"/>
  <c r="Z83" i="11"/>
  <c r="Y83" i="11"/>
  <c r="Y92" i="11" s="1"/>
  <c r="X83" i="11"/>
  <c r="W83" i="11"/>
  <c r="W92" i="11" s="1"/>
  <c r="V83" i="11"/>
  <c r="U83" i="11"/>
  <c r="T83" i="11"/>
  <c r="S83" i="11"/>
  <c r="S92" i="11" s="1"/>
  <c r="R83" i="11"/>
  <c r="Q83" i="11"/>
  <c r="Q92" i="11" s="1"/>
  <c r="P83" i="11"/>
  <c r="O83" i="11"/>
  <c r="N83" i="11"/>
  <c r="M83" i="11"/>
  <c r="L83" i="11"/>
  <c r="K83" i="11"/>
  <c r="K92" i="11" s="1"/>
  <c r="J83" i="11"/>
  <c r="I83" i="11"/>
  <c r="I92" i="11" s="1"/>
  <c r="H83" i="11"/>
  <c r="G83" i="11"/>
  <c r="F83" i="11"/>
  <c r="E83" i="11"/>
  <c r="D83" i="11"/>
  <c r="C83" i="11"/>
  <c r="C92" i="11" s="1"/>
  <c r="AD81" i="11"/>
  <c r="AR68" i="11"/>
  <c r="AQ68" i="11"/>
  <c r="AP68" i="11"/>
  <c r="AO68" i="11"/>
  <c r="AN68" i="11"/>
  <c r="AM68" i="11"/>
  <c r="AL68" i="11"/>
  <c r="AK68" i="11"/>
  <c r="AJ68" i="11"/>
  <c r="AI68" i="11"/>
  <c r="AH68" i="11"/>
  <c r="AG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AD67" i="11"/>
  <c r="AD52" i="11" s="1"/>
  <c r="AB67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C52" i="11"/>
  <c r="AB52" i="11"/>
  <c r="AA52" i="11"/>
  <c r="AA92" i="11" s="1"/>
  <c r="Z52" i="11"/>
  <c r="Y52" i="11"/>
  <c r="X52" i="11"/>
  <c r="W52" i="11"/>
  <c r="V52" i="11"/>
  <c r="U52" i="11"/>
  <c r="T52" i="11"/>
  <c r="T92" i="11" s="1"/>
  <c r="S52" i="11"/>
  <c r="R52" i="11"/>
  <c r="Q52" i="11"/>
  <c r="P52" i="11"/>
  <c r="O52" i="11"/>
  <c r="N52" i="11"/>
  <c r="M52" i="11"/>
  <c r="L52" i="11"/>
  <c r="L92" i="11" s="1"/>
  <c r="K52" i="11"/>
  <c r="J52" i="11"/>
  <c r="I52" i="11"/>
  <c r="H52" i="11"/>
  <c r="G52" i="11"/>
  <c r="F52" i="11"/>
  <c r="E52" i="11"/>
  <c r="D52" i="11"/>
  <c r="D92" i="11" s="1"/>
  <c r="C52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D47" i="11"/>
  <c r="AD42" i="11" s="1"/>
  <c r="AS42" i="11"/>
  <c r="AR42" i="11"/>
  <c r="AQ42" i="11"/>
  <c r="AP42" i="11"/>
  <c r="AP27" i="11" s="1"/>
  <c r="AP49" i="11" s="1"/>
  <c r="AO42" i="11"/>
  <c r="AN42" i="11"/>
  <c r="AM42" i="11"/>
  <c r="AL42" i="11"/>
  <c r="AK42" i="11"/>
  <c r="AJ42" i="11"/>
  <c r="AI42" i="11"/>
  <c r="AH42" i="11"/>
  <c r="AH27" i="11" s="1"/>
  <c r="AH49" i="11" s="1"/>
  <c r="AG42" i="11"/>
  <c r="AG27" i="11" s="1"/>
  <c r="AF42" i="11"/>
  <c r="AE42" i="11"/>
  <c r="AC42" i="11"/>
  <c r="AB42" i="11"/>
  <c r="AA42" i="11"/>
  <c r="Z42" i="11"/>
  <c r="Z27" i="11" s="1"/>
  <c r="Z49" i="11" s="1"/>
  <c r="Y42" i="11"/>
  <c r="Y27" i="11" s="1"/>
  <c r="Y49" i="11" s="1"/>
  <c r="X42" i="11"/>
  <c r="W42" i="11"/>
  <c r="V42" i="11"/>
  <c r="U42" i="11"/>
  <c r="T42" i="11"/>
  <c r="S42" i="11"/>
  <c r="R42" i="11"/>
  <c r="Q42" i="11"/>
  <c r="Q27" i="11" s="1"/>
  <c r="Q49" i="11" s="1"/>
  <c r="P42" i="11"/>
  <c r="O42" i="11"/>
  <c r="N42" i="11"/>
  <c r="M42" i="11"/>
  <c r="L42" i="11"/>
  <c r="K42" i="11"/>
  <c r="J42" i="11"/>
  <c r="J27" i="11" s="1"/>
  <c r="J49" i="11" s="1"/>
  <c r="I42" i="11"/>
  <c r="I27" i="11" s="1"/>
  <c r="I49" i="11" s="1"/>
  <c r="H42" i="11"/>
  <c r="G42" i="11"/>
  <c r="F42" i="11"/>
  <c r="E42" i="11"/>
  <c r="D42" i="11"/>
  <c r="C42" i="11"/>
  <c r="AS28" i="11"/>
  <c r="AR28" i="11"/>
  <c r="AR27" i="11" s="1"/>
  <c r="AR49" i="11" s="1"/>
  <c r="AQ28" i="11"/>
  <c r="AP28" i="11"/>
  <c r="AO28" i="11"/>
  <c r="AN28" i="11"/>
  <c r="AM28" i="11"/>
  <c r="AM27" i="11" s="1"/>
  <c r="AL28" i="11"/>
  <c r="AK28" i="11"/>
  <c r="AJ28" i="11"/>
  <c r="AJ27" i="11" s="1"/>
  <c r="AJ49" i="11" s="1"/>
  <c r="AI28" i="11"/>
  <c r="AH28" i="11"/>
  <c r="AG28" i="11"/>
  <c r="AF28" i="11"/>
  <c r="AE28" i="11"/>
  <c r="AD28" i="11"/>
  <c r="AC28" i="11"/>
  <c r="AB28" i="11"/>
  <c r="AA28" i="11"/>
  <c r="AA27" i="11" s="1"/>
  <c r="Z28" i="11"/>
  <c r="Y28" i="11"/>
  <c r="X28" i="11"/>
  <c r="X27" i="11" s="1"/>
  <c r="W28" i="11"/>
  <c r="W27" i="11" s="1"/>
  <c r="V28" i="11"/>
  <c r="U28" i="11"/>
  <c r="T28" i="11"/>
  <c r="T27" i="11" s="1"/>
  <c r="T49" i="11" s="1"/>
  <c r="S28" i="11"/>
  <c r="S27" i="11" s="1"/>
  <c r="R28" i="11"/>
  <c r="Q28" i="11"/>
  <c r="P28" i="11"/>
  <c r="O28" i="11"/>
  <c r="N28" i="11"/>
  <c r="M28" i="11"/>
  <c r="L28" i="11"/>
  <c r="L27" i="11" s="1"/>
  <c r="L49" i="11" s="1"/>
  <c r="K28" i="11"/>
  <c r="K27" i="11" s="1"/>
  <c r="J28" i="11"/>
  <c r="I28" i="11"/>
  <c r="H28" i="11"/>
  <c r="G28" i="11"/>
  <c r="F28" i="11"/>
  <c r="E28" i="11"/>
  <c r="D28" i="11"/>
  <c r="D27" i="11" s="1"/>
  <c r="D49" i="11" s="1"/>
  <c r="C28" i="11"/>
  <c r="C27" i="11" s="1"/>
  <c r="AL27" i="11"/>
  <c r="V27" i="11"/>
  <c r="R27" i="11"/>
  <c r="P27" i="11"/>
  <c r="P49" i="11" s="1"/>
  <c r="O27" i="11"/>
  <c r="O49" i="11" s="1"/>
  <c r="N27" i="11"/>
  <c r="H27" i="11"/>
  <c r="H49" i="11" s="1"/>
  <c r="G27" i="11"/>
  <c r="F27" i="11"/>
  <c r="AB24" i="11"/>
  <c r="AB8" i="11" s="1"/>
  <c r="AS8" i="11"/>
  <c r="AR8" i="11"/>
  <c r="AQ8" i="11"/>
  <c r="AP8" i="11"/>
  <c r="AO8" i="11"/>
  <c r="AN8" i="11"/>
  <c r="AM8" i="11"/>
  <c r="AL8" i="11"/>
  <c r="AJ8" i="11"/>
  <c r="AI8" i="11"/>
  <c r="AH8" i="11"/>
  <c r="AG8" i="11"/>
  <c r="AD8" i="11"/>
  <c r="AC8" i="11"/>
  <c r="AC49" i="11" s="1"/>
  <c r="AA8" i="11"/>
  <c r="Z8" i="11"/>
  <c r="Y8" i="11"/>
  <c r="X8" i="11"/>
  <c r="W8" i="11"/>
  <c r="V8" i="11"/>
  <c r="V49" i="11" s="1"/>
  <c r="U8" i="11"/>
  <c r="T8" i="11"/>
  <c r="S8" i="11"/>
  <c r="R8" i="11"/>
  <c r="R49" i="11" s="1"/>
  <c r="Q8" i="11"/>
  <c r="P8" i="11"/>
  <c r="O8" i="11"/>
  <c r="N8" i="11"/>
  <c r="N49" i="11" s="1"/>
  <c r="M8" i="11"/>
  <c r="L8" i="11"/>
  <c r="K8" i="11"/>
  <c r="J8" i="11"/>
  <c r="I8" i="11"/>
  <c r="H8" i="11"/>
  <c r="G8" i="11"/>
  <c r="F8" i="11"/>
  <c r="F49" i="11" s="1"/>
  <c r="E8" i="11"/>
  <c r="D8" i="11"/>
  <c r="C8" i="11"/>
  <c r="F104" i="10"/>
  <c r="AS95" i="10"/>
  <c r="AR95" i="10"/>
  <c r="AQ95" i="10"/>
  <c r="AP95" i="10"/>
  <c r="AO95" i="10"/>
  <c r="AN95" i="10"/>
  <c r="AM95" i="10"/>
  <c r="AM104" i="10" s="1"/>
  <c r="AL95" i="10"/>
  <c r="AL104" i="10" s="1"/>
  <c r="AL105" i="10" s="1"/>
  <c r="AK95" i="10"/>
  <c r="AJ95" i="10"/>
  <c r="AI95" i="10"/>
  <c r="AH95" i="10"/>
  <c r="AG95" i="10"/>
  <c r="AF95" i="10"/>
  <c r="AE95" i="10"/>
  <c r="AD95" i="10"/>
  <c r="AC95" i="10"/>
  <c r="AC104" i="10" s="1"/>
  <c r="AB95" i="10"/>
  <c r="AA95" i="10"/>
  <c r="Z95" i="10"/>
  <c r="Y95" i="10"/>
  <c r="X95" i="10"/>
  <c r="W95" i="10"/>
  <c r="W104" i="10" s="1"/>
  <c r="V95" i="10"/>
  <c r="V104" i="10" s="1"/>
  <c r="U95" i="10"/>
  <c r="U104" i="10" s="1"/>
  <c r="T95" i="10"/>
  <c r="S95" i="10"/>
  <c r="S104" i="10" s="1"/>
  <c r="R95" i="10"/>
  <c r="R104" i="10" s="1"/>
  <c r="Q95" i="10"/>
  <c r="P95" i="10"/>
  <c r="O95" i="10"/>
  <c r="N95" i="10"/>
  <c r="M95" i="10"/>
  <c r="M104" i="10" s="1"/>
  <c r="L95" i="10"/>
  <c r="K95" i="10"/>
  <c r="J95" i="10"/>
  <c r="I95" i="10"/>
  <c r="H95" i="10"/>
  <c r="G95" i="10"/>
  <c r="G104" i="10" s="1"/>
  <c r="F95" i="10"/>
  <c r="E95" i="10"/>
  <c r="E104" i="10" s="1"/>
  <c r="D95" i="10"/>
  <c r="C95" i="10"/>
  <c r="C104" i="10" s="1"/>
  <c r="AD92" i="10"/>
  <c r="K81" i="10"/>
  <c r="K75" i="10" s="1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AA104" i="10" s="1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J75" i="10"/>
  <c r="I75" i="10"/>
  <c r="H75" i="10"/>
  <c r="G75" i="10"/>
  <c r="F75" i="10"/>
  <c r="E75" i="10"/>
  <c r="D75" i="10"/>
  <c r="C75" i="10"/>
  <c r="AK55" i="10"/>
  <c r="AK51" i="10" s="1"/>
  <c r="AR51" i="10"/>
  <c r="AQ51" i="10"/>
  <c r="AP51" i="10"/>
  <c r="AO51" i="10"/>
  <c r="AN51" i="10"/>
  <c r="AM51" i="10"/>
  <c r="AL51" i="10"/>
  <c r="AJ51" i="10"/>
  <c r="AI51" i="10"/>
  <c r="AI104" i="10" s="1"/>
  <c r="AH51" i="10"/>
  <c r="AG51" i="10"/>
  <c r="AF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AQ50" i="10"/>
  <c r="AP50" i="10"/>
  <c r="AA50" i="10"/>
  <c r="Z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AD45" i="10"/>
  <c r="AD41" i="10" s="1"/>
  <c r="AD25" i="10" s="1"/>
  <c r="AD48" i="10" s="1"/>
  <c r="AD42" i="10"/>
  <c r="Z42" i="10"/>
  <c r="Z41" i="10" s="1"/>
  <c r="AS41" i="10"/>
  <c r="AR41" i="10"/>
  <c r="AQ41" i="10"/>
  <c r="AP41" i="10"/>
  <c r="AO41" i="10"/>
  <c r="AN41" i="10"/>
  <c r="AM41" i="10"/>
  <c r="AL41" i="10"/>
  <c r="AL25" i="10" s="1"/>
  <c r="AL48" i="10" s="1"/>
  <c r="AK41" i="10"/>
  <c r="AJ41" i="10"/>
  <c r="AI41" i="10"/>
  <c r="AH41" i="10"/>
  <c r="AG41" i="10"/>
  <c r="AF41" i="10"/>
  <c r="AF25" i="10" s="1"/>
  <c r="AF48" i="10" s="1"/>
  <c r="AE41" i="10"/>
  <c r="AC41" i="10"/>
  <c r="AB41" i="10"/>
  <c r="AA41" i="10"/>
  <c r="Y41" i="10"/>
  <c r="X41" i="10"/>
  <c r="W41" i="10"/>
  <c r="W25" i="10" s="1"/>
  <c r="W48" i="10" s="1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G25" i="10" s="1"/>
  <c r="G48" i="10" s="1"/>
  <c r="F41" i="10"/>
  <c r="E41" i="10"/>
  <c r="D41" i="10"/>
  <c r="C41" i="10"/>
  <c r="AD38" i="10"/>
  <c r="Z38" i="10"/>
  <c r="Z26" i="10" s="1"/>
  <c r="M34" i="10"/>
  <c r="K33" i="10"/>
  <c r="K26" i="10" s="1"/>
  <c r="K25" i="10" s="1"/>
  <c r="K48" i="10" s="1"/>
  <c r="J33" i="10"/>
  <c r="J26" i="10" s="1"/>
  <c r="I33" i="10"/>
  <c r="I26" i="10" s="1"/>
  <c r="I25" i="10" s="1"/>
  <c r="I48" i="10" s="1"/>
  <c r="H33" i="10"/>
  <c r="F33" i="10"/>
  <c r="V32" i="10"/>
  <c r="V26" i="10" s="1"/>
  <c r="S32" i="10"/>
  <c r="O32" i="10"/>
  <c r="N32" i="10"/>
  <c r="N26" i="10" s="1"/>
  <c r="N25" i="10" s="1"/>
  <c r="N48" i="10" s="1"/>
  <c r="G32" i="10"/>
  <c r="G26" i="10" s="1"/>
  <c r="E32" i="10"/>
  <c r="E26" i="10" s="1"/>
  <c r="E25" i="10" s="1"/>
  <c r="E48" i="10" s="1"/>
  <c r="D32" i="10"/>
  <c r="AS26" i="10"/>
  <c r="AS25" i="10" s="1"/>
  <c r="AR26" i="10"/>
  <c r="AR25" i="10" s="1"/>
  <c r="AQ26" i="10"/>
  <c r="AP26" i="10"/>
  <c r="AO26" i="10"/>
  <c r="AO25" i="10" s="1"/>
  <c r="AO48" i="10" s="1"/>
  <c r="AN26" i="10"/>
  <c r="AM26" i="10"/>
  <c r="AM25" i="10" s="1"/>
  <c r="AM48" i="10" s="1"/>
  <c r="AL26" i="10"/>
  <c r="AK26" i="10"/>
  <c r="AJ26" i="10"/>
  <c r="AI26" i="10"/>
  <c r="AH26" i="10"/>
  <c r="AG26" i="10"/>
  <c r="AG25" i="10" s="1"/>
  <c r="AG48" i="10" s="1"/>
  <c r="AF26" i="10"/>
  <c r="AE26" i="10"/>
  <c r="AE25" i="10" s="1"/>
  <c r="AD26" i="10"/>
  <c r="AC26" i="10"/>
  <c r="AB26" i="10"/>
  <c r="AB25" i="10" s="1"/>
  <c r="AA26" i="10"/>
  <c r="Y26" i="10"/>
  <c r="Y25" i="10" s="1"/>
  <c r="X26" i="10"/>
  <c r="X25" i="10" s="1"/>
  <c r="X48" i="10" s="1"/>
  <c r="W26" i="10"/>
  <c r="U26" i="10"/>
  <c r="T26" i="10"/>
  <c r="S26" i="10"/>
  <c r="S25" i="10" s="1"/>
  <c r="S48" i="10" s="1"/>
  <c r="R26" i="10"/>
  <c r="Q26" i="10"/>
  <c r="Q25" i="10" s="1"/>
  <c r="P26" i="10"/>
  <c r="P25" i="10" s="1"/>
  <c r="O26" i="10"/>
  <c r="O25" i="10" s="1"/>
  <c r="O48" i="10" s="1"/>
  <c r="M26" i="10"/>
  <c r="L26" i="10"/>
  <c r="L25" i="10" s="1"/>
  <c r="H26" i="10"/>
  <c r="H25" i="10" s="1"/>
  <c r="F26" i="10"/>
  <c r="D26" i="10"/>
  <c r="D25" i="10" s="1"/>
  <c r="C26" i="10"/>
  <c r="AQ25" i="10"/>
  <c r="AN25" i="10"/>
  <c r="AN48" i="10" s="1"/>
  <c r="AJ25" i="10"/>
  <c r="AI25" i="10"/>
  <c r="AA25" i="10"/>
  <c r="AA48" i="10" s="1"/>
  <c r="T25" i="10"/>
  <c r="T48" i="10" s="1"/>
  <c r="C25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AQ42" i="8"/>
  <c r="AP42" i="8"/>
  <c r="AQ37" i="8"/>
  <c r="AP37" i="8"/>
  <c r="AI37" i="8"/>
  <c r="AI42" i="8" s="1"/>
  <c r="AH37" i="8"/>
  <c r="AH42" i="8" s="1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K31" i="8"/>
  <c r="AK37" i="8" s="1"/>
  <c r="AK42" i="8" s="1"/>
  <c r="AG31" i="8"/>
  <c r="AG37" i="8" s="1"/>
  <c r="AG42" i="8" s="1"/>
  <c r="Y31" i="8"/>
  <c r="Y37" i="8" s="1"/>
  <c r="Y42" i="8" s="1"/>
  <c r="I31" i="8"/>
  <c r="I37" i="8" s="1"/>
  <c r="I42" i="8" s="1"/>
  <c r="AR29" i="8"/>
  <c r="AR31" i="8" s="1"/>
  <c r="AR37" i="8" s="1"/>
  <c r="AR42" i="8" s="1"/>
  <c r="AO29" i="8"/>
  <c r="AO31" i="8" s="1"/>
  <c r="AO37" i="8" s="1"/>
  <c r="AO42" i="8" s="1"/>
  <c r="AN29" i="8"/>
  <c r="AN31" i="8" s="1"/>
  <c r="AN37" i="8" s="1"/>
  <c r="AN42" i="8" s="1"/>
  <c r="AK29" i="8"/>
  <c r="AG29" i="8"/>
  <c r="Y29" i="8"/>
  <c r="U29" i="8"/>
  <c r="U31" i="8" s="1"/>
  <c r="U37" i="8" s="1"/>
  <c r="U42" i="8" s="1"/>
  <c r="T29" i="8"/>
  <c r="T31" i="8" s="1"/>
  <c r="T37" i="8" s="1"/>
  <c r="T42" i="8" s="1"/>
  <c r="I29" i="8"/>
  <c r="AO22" i="8"/>
  <c r="AB23" i="8"/>
  <c r="AR22" i="8"/>
  <c r="AQ22" i="8"/>
  <c r="AQ29" i="8" s="1"/>
  <c r="AQ31" i="8" s="1"/>
  <c r="AP22" i="8"/>
  <c r="AP29" i="8" s="1"/>
  <c r="AP31" i="8" s="1"/>
  <c r="AN22" i="8"/>
  <c r="AM22" i="8"/>
  <c r="AM29" i="8" s="1"/>
  <c r="AM31" i="8" s="1"/>
  <c r="AM37" i="8" s="1"/>
  <c r="AM42" i="8" s="1"/>
  <c r="AL22" i="8"/>
  <c r="AL29" i="8" s="1"/>
  <c r="AL31" i="8" s="1"/>
  <c r="AL37" i="8" s="1"/>
  <c r="AL42" i="8" s="1"/>
  <c r="AK22" i="8"/>
  <c r="AJ22" i="8"/>
  <c r="AJ29" i="8" s="1"/>
  <c r="AJ31" i="8" s="1"/>
  <c r="AI22" i="8"/>
  <c r="AI29" i="8" s="1"/>
  <c r="AI31" i="8" s="1"/>
  <c r="AH22" i="8"/>
  <c r="AH29" i="8" s="1"/>
  <c r="AH31" i="8" s="1"/>
  <c r="AG22" i="8"/>
  <c r="AB22" i="8"/>
  <c r="AB29" i="8" s="1"/>
  <c r="AB31" i="8" s="1"/>
  <c r="AB37" i="8" s="1"/>
  <c r="AB42" i="8" s="1"/>
  <c r="AA22" i="8"/>
  <c r="Z22" i="8"/>
  <c r="Y22" i="8"/>
  <c r="X22" i="8"/>
  <c r="X29" i="8" s="1"/>
  <c r="X31" i="8" s="1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H29" i="8" s="1"/>
  <c r="H31" i="8" s="1"/>
  <c r="G22" i="8"/>
  <c r="F22" i="8"/>
  <c r="E22" i="8"/>
  <c r="D22" i="8"/>
  <c r="C22" i="8"/>
  <c r="AB21" i="8"/>
  <c r="Z21" i="8"/>
  <c r="Y21" i="8"/>
  <c r="Q21" i="8"/>
  <c r="J21" i="8"/>
  <c r="I21" i="8"/>
  <c r="AA16" i="8"/>
  <c r="Z16" i="8"/>
  <c r="Y16" i="8"/>
  <c r="X16" i="8"/>
  <c r="W16" i="8"/>
  <c r="V16" i="8"/>
  <c r="U16" i="8"/>
  <c r="T16" i="8"/>
  <c r="S16" i="8"/>
  <c r="R16" i="8"/>
  <c r="R21" i="8" s="1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A15" i="8"/>
  <c r="X15" i="8"/>
  <c r="X21" i="8" s="1"/>
  <c r="W15" i="8"/>
  <c r="T15" i="8"/>
  <c r="T21" i="8" s="1"/>
  <c r="S15" i="8"/>
  <c r="O15" i="8"/>
  <c r="K15" i="8"/>
  <c r="H15" i="8"/>
  <c r="H21" i="8" s="1"/>
  <c r="G15" i="8"/>
  <c r="D15" i="8"/>
  <c r="D21" i="8" s="1"/>
  <c r="C15" i="8"/>
  <c r="AA9" i="8"/>
  <c r="Z9" i="8"/>
  <c r="Z15" i="8" s="1"/>
  <c r="Y9" i="8"/>
  <c r="Y15" i="8" s="1"/>
  <c r="X9" i="8"/>
  <c r="W9" i="8"/>
  <c r="V9" i="8"/>
  <c r="V15" i="8" s="1"/>
  <c r="U9" i="8"/>
  <c r="U15" i="8" s="1"/>
  <c r="U21" i="8" s="1"/>
  <c r="T9" i="8"/>
  <c r="S9" i="8"/>
  <c r="R9" i="8"/>
  <c r="R15" i="8" s="1"/>
  <c r="Q9" i="8"/>
  <c r="Q15" i="8" s="1"/>
  <c r="Q29" i="8" s="1"/>
  <c r="Q31" i="8" s="1"/>
  <c r="Q37" i="8" s="1"/>
  <c r="Q42" i="8" s="1"/>
  <c r="P9" i="8"/>
  <c r="P15" i="8" s="1"/>
  <c r="O9" i="8"/>
  <c r="N9" i="8"/>
  <c r="N15" i="8" s="1"/>
  <c r="M9" i="8"/>
  <c r="M15" i="8" s="1"/>
  <c r="M29" i="8" s="1"/>
  <c r="M31" i="8" s="1"/>
  <c r="M37" i="8" s="1"/>
  <c r="M42" i="8" s="1"/>
  <c r="L9" i="8"/>
  <c r="L15" i="8" s="1"/>
  <c r="K9" i="8"/>
  <c r="J9" i="8"/>
  <c r="J15" i="8" s="1"/>
  <c r="I9" i="8"/>
  <c r="I15" i="8" s="1"/>
  <c r="H9" i="8"/>
  <c r="G9" i="8"/>
  <c r="F9" i="8"/>
  <c r="F15" i="8" s="1"/>
  <c r="E9" i="8"/>
  <c r="E15" i="8" s="1"/>
  <c r="E21" i="8" s="1"/>
  <c r="D9" i="8"/>
  <c r="C9" i="8"/>
  <c r="K48" i="7"/>
  <c r="K50" i="7" s="1"/>
  <c r="H48" i="7"/>
  <c r="H50" i="7" s="1"/>
  <c r="N43" i="7"/>
  <c r="N48" i="7" s="1"/>
  <c r="N50" i="7" s="1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P35" i="7"/>
  <c r="P37" i="7" s="1"/>
  <c r="P43" i="7" s="1"/>
  <c r="P48" i="7" s="1"/>
  <c r="P50" i="7" s="1"/>
  <c r="G35" i="7"/>
  <c r="G37" i="7" s="1"/>
  <c r="G43" i="7" s="1"/>
  <c r="G48" i="7" s="1"/>
  <c r="G50" i="7" s="1"/>
  <c r="D35" i="7"/>
  <c r="D37" i="7" s="1"/>
  <c r="D43" i="7" s="1"/>
  <c r="D48" i="7" s="1"/>
  <c r="D50" i="7" s="1"/>
  <c r="C35" i="7"/>
  <c r="C37" i="7" s="1"/>
  <c r="C43" i="7" s="1"/>
  <c r="C48" i="7" s="1"/>
  <c r="C50" i="7" s="1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Q26" i="7"/>
  <c r="P26" i="7"/>
  <c r="M26" i="7"/>
  <c r="M35" i="7" s="1"/>
  <c r="M37" i="7" s="1"/>
  <c r="M43" i="7" s="1"/>
  <c r="M48" i="7" s="1"/>
  <c r="M50" i="7" s="1"/>
  <c r="E26" i="7"/>
  <c r="E35" i="7" s="1"/>
  <c r="E37" i="7" s="1"/>
  <c r="E43" i="7" s="1"/>
  <c r="E48" i="7" s="1"/>
  <c r="E50" i="7" s="1"/>
  <c r="D26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O19" i="7"/>
  <c r="O26" i="7" s="1"/>
  <c r="O35" i="7" s="1"/>
  <c r="O37" i="7" s="1"/>
  <c r="O43" i="7" s="1"/>
  <c r="O48" i="7" s="1"/>
  <c r="O50" i="7" s="1"/>
  <c r="G19" i="7"/>
  <c r="G26" i="7" s="1"/>
  <c r="F19" i="7"/>
  <c r="F26" i="7" s="1"/>
  <c r="F35" i="7" s="1"/>
  <c r="F37" i="7" s="1"/>
  <c r="F43" i="7" s="1"/>
  <c r="F48" i="7" s="1"/>
  <c r="F50" i="7" s="1"/>
  <c r="C19" i="7"/>
  <c r="C26" i="7" s="1"/>
  <c r="Q9" i="7"/>
  <c r="Q19" i="7" s="1"/>
  <c r="P9" i="7"/>
  <c r="P19" i="7" s="1"/>
  <c r="O9" i="7"/>
  <c r="N9" i="7"/>
  <c r="N19" i="7" s="1"/>
  <c r="N26" i="7" s="1"/>
  <c r="N35" i="7" s="1"/>
  <c r="N37" i="7" s="1"/>
  <c r="M9" i="7"/>
  <c r="M19" i="7" s="1"/>
  <c r="L9" i="7"/>
  <c r="L19" i="7" s="1"/>
  <c r="L26" i="7" s="1"/>
  <c r="L35" i="7" s="1"/>
  <c r="L37" i="7" s="1"/>
  <c r="L43" i="7" s="1"/>
  <c r="L48" i="7" s="1"/>
  <c r="L50" i="7" s="1"/>
  <c r="K9" i="7"/>
  <c r="K19" i="7" s="1"/>
  <c r="K26" i="7" s="1"/>
  <c r="K35" i="7" s="1"/>
  <c r="K37" i="7" s="1"/>
  <c r="K43" i="7" s="1"/>
  <c r="J9" i="7"/>
  <c r="J19" i="7" s="1"/>
  <c r="J26" i="7" s="1"/>
  <c r="I9" i="7"/>
  <c r="I19" i="7" s="1"/>
  <c r="I26" i="7" s="1"/>
  <c r="H9" i="7"/>
  <c r="H19" i="7" s="1"/>
  <c r="H26" i="7" s="1"/>
  <c r="H35" i="7" s="1"/>
  <c r="H37" i="7" s="1"/>
  <c r="H43" i="7" s="1"/>
  <c r="G9" i="7"/>
  <c r="F9" i="7"/>
  <c r="E9" i="7"/>
  <c r="E19" i="7" s="1"/>
  <c r="D9" i="7"/>
  <c r="D19" i="7" s="1"/>
  <c r="C9" i="7"/>
  <c r="T23" i="5"/>
  <c r="Q19" i="5"/>
  <c r="O19" i="5"/>
  <c r="N19" i="5"/>
  <c r="G19" i="5"/>
  <c r="F19" i="5"/>
  <c r="E19" i="5"/>
  <c r="T17" i="5"/>
  <c r="T16" i="5"/>
  <c r="T15" i="5"/>
  <c r="T14" i="5"/>
  <c r="T13" i="5"/>
  <c r="T12" i="5"/>
  <c r="T11" i="5"/>
  <c r="T10" i="5"/>
  <c r="S18" i="5"/>
  <c r="S20" i="5" s="1"/>
  <c r="R18" i="5"/>
  <c r="R20" i="5" s="1"/>
  <c r="Q18" i="5"/>
  <c r="Q20" i="5" s="1"/>
  <c r="P18" i="5"/>
  <c r="P20" i="5" s="1"/>
  <c r="O18" i="5"/>
  <c r="O20" i="5" s="1"/>
  <c r="N18" i="5"/>
  <c r="M18" i="5"/>
  <c r="M20" i="5" s="1"/>
  <c r="L18" i="5"/>
  <c r="L20" i="5" s="1"/>
  <c r="K18" i="5"/>
  <c r="K20" i="5" s="1"/>
  <c r="J18" i="5"/>
  <c r="J20" i="5" s="1"/>
  <c r="I18" i="5"/>
  <c r="I20" i="5" s="1"/>
  <c r="H18" i="5"/>
  <c r="H20" i="5" s="1"/>
  <c r="G18" i="5"/>
  <c r="G20" i="5" s="1"/>
  <c r="F18" i="5"/>
  <c r="F20" i="5" s="1"/>
  <c r="E18" i="5"/>
  <c r="L100" i="4"/>
  <c r="M99" i="4"/>
  <c r="J100" i="4"/>
  <c r="H100" i="4"/>
  <c r="M98" i="4"/>
  <c r="K100" i="4"/>
  <c r="I100" i="4"/>
  <c r="G100" i="4"/>
  <c r="F100" i="4"/>
  <c r="L94" i="4"/>
  <c r="M93" i="4"/>
  <c r="M92" i="4"/>
  <c r="H94" i="4"/>
  <c r="M91" i="4"/>
  <c r="K94" i="4"/>
  <c r="J94" i="4"/>
  <c r="I94" i="4"/>
  <c r="M90" i="4"/>
  <c r="J86" i="4"/>
  <c r="H86" i="4"/>
  <c r="M85" i="4"/>
  <c r="K86" i="4"/>
  <c r="M84" i="4"/>
  <c r="M83" i="4"/>
  <c r="M82" i="4"/>
  <c r="L86" i="4"/>
  <c r="I86" i="4"/>
  <c r="G86" i="4"/>
  <c r="M81" i="4"/>
  <c r="K77" i="4"/>
  <c r="M76" i="4"/>
  <c r="L77" i="4"/>
  <c r="J77" i="4"/>
  <c r="I77" i="4"/>
  <c r="H77" i="4"/>
  <c r="F77" i="4"/>
  <c r="I72" i="4"/>
  <c r="G72" i="4"/>
  <c r="L72" i="4"/>
  <c r="K72" i="4"/>
  <c r="J72" i="4"/>
  <c r="H72" i="4"/>
  <c r="F72" i="4"/>
  <c r="K67" i="4"/>
  <c r="I67" i="4"/>
  <c r="L67" i="4"/>
  <c r="M64" i="4"/>
  <c r="J67" i="4"/>
  <c r="H67" i="4"/>
  <c r="G67" i="4"/>
  <c r="M63" i="4"/>
  <c r="G60" i="4"/>
  <c r="K60" i="4"/>
  <c r="M59" i="4"/>
  <c r="M58" i="4"/>
  <c r="L60" i="4"/>
  <c r="J60" i="4"/>
  <c r="I60" i="4"/>
  <c r="H60" i="4"/>
  <c r="F60" i="4"/>
  <c r="I54" i="4"/>
  <c r="G54" i="4"/>
  <c r="J54" i="4"/>
  <c r="M52" i="4"/>
  <c r="L54" i="4"/>
  <c r="K54" i="4"/>
  <c r="M51" i="4"/>
  <c r="H54" i="4"/>
  <c r="F54" i="4"/>
  <c r="L47" i="4"/>
  <c r="J47" i="4"/>
  <c r="H47" i="4"/>
  <c r="M45" i="4"/>
  <c r="K47" i="4"/>
  <c r="I47" i="4"/>
  <c r="G47" i="4"/>
  <c r="F47" i="4"/>
  <c r="L42" i="4"/>
  <c r="M41" i="4"/>
  <c r="M40" i="4"/>
  <c r="K42" i="4"/>
  <c r="J42" i="4"/>
  <c r="I42" i="4"/>
  <c r="H42" i="4"/>
  <c r="M39" i="4"/>
  <c r="I36" i="4"/>
  <c r="G36" i="4"/>
  <c r="J36" i="4"/>
  <c r="M34" i="4"/>
  <c r="M33" i="4"/>
  <c r="M32" i="4"/>
  <c r="M31" i="4"/>
  <c r="L36" i="4"/>
  <c r="K36" i="4"/>
  <c r="H36" i="4"/>
  <c r="F36" i="4"/>
  <c r="L28" i="4"/>
  <c r="M27" i="4"/>
  <c r="M26" i="4"/>
  <c r="H28" i="4"/>
  <c r="M25" i="4"/>
  <c r="K28" i="4"/>
  <c r="J28" i="4"/>
  <c r="I28" i="4"/>
  <c r="M24" i="4"/>
  <c r="J21" i="4"/>
  <c r="H21" i="4"/>
  <c r="M20" i="4"/>
  <c r="K21" i="4"/>
  <c r="M19" i="4"/>
  <c r="M18" i="4"/>
  <c r="M17" i="4"/>
  <c r="I21" i="4"/>
  <c r="G21" i="4"/>
  <c r="F21" i="4"/>
  <c r="F14" i="4"/>
  <c r="M13" i="4"/>
  <c r="M12" i="4"/>
  <c r="M11" i="4"/>
  <c r="M10" i="4"/>
  <c r="J14" i="4"/>
  <c r="H14" i="4"/>
  <c r="M9" i="4"/>
  <c r="L14" i="4"/>
  <c r="K14" i="4"/>
  <c r="I14" i="4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B75" i="3"/>
  <c r="Z75" i="3"/>
  <c r="AD75" i="3"/>
  <c r="AC75" i="3"/>
  <c r="AA75" i="3"/>
  <c r="Z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D69" i="3"/>
  <c r="AC69" i="3"/>
  <c r="AB69" i="3"/>
  <c r="AA69" i="3"/>
  <c r="Y69" i="3"/>
  <c r="Z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D63" i="3"/>
  <c r="AC63" i="3"/>
  <c r="AB63" i="3"/>
  <c r="AA63" i="3"/>
  <c r="Y63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D57" i="3"/>
  <c r="AD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D48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D42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D30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B17" i="3"/>
  <c r="B23" i="3" s="1"/>
  <c r="B29" i="3" s="1"/>
  <c r="B35" i="3" s="1"/>
  <c r="B41" i="3" s="1"/>
  <c r="B47" i="3" s="1"/>
  <c r="AD18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D12" i="3"/>
  <c r="O242" i="2"/>
  <c r="N242" i="2"/>
  <c r="M242" i="2"/>
  <c r="L242" i="2"/>
  <c r="K242" i="2"/>
  <c r="J242" i="2"/>
  <c r="I242" i="2"/>
  <c r="H242" i="2"/>
  <c r="G242" i="2"/>
  <c r="F242" i="2"/>
  <c r="E242" i="2"/>
  <c r="N240" i="2"/>
  <c r="M240" i="2"/>
  <c r="L240" i="2"/>
  <c r="K240" i="2"/>
  <c r="I240" i="2"/>
  <c r="H240" i="2"/>
  <c r="G240" i="2"/>
  <c r="F240" i="2"/>
  <c r="O226" i="2"/>
  <c r="N226" i="2"/>
  <c r="M226" i="2"/>
  <c r="L226" i="2"/>
  <c r="K226" i="2"/>
  <c r="J226" i="2"/>
  <c r="I226" i="2"/>
  <c r="H226" i="2"/>
  <c r="G226" i="2"/>
  <c r="F226" i="2"/>
  <c r="E226" i="2"/>
  <c r="O222" i="2"/>
  <c r="N222" i="2"/>
  <c r="M222" i="2"/>
  <c r="L222" i="2"/>
  <c r="K222" i="2"/>
  <c r="J222" i="2"/>
  <c r="I222" i="2"/>
  <c r="H222" i="2"/>
  <c r="G222" i="2"/>
  <c r="F222" i="2"/>
  <c r="E222" i="2"/>
  <c r="J216" i="2"/>
  <c r="K216" i="2" s="1"/>
  <c r="L216" i="2" s="1"/>
  <c r="M216" i="2" s="1"/>
  <c r="N216" i="2" s="1"/>
  <c r="O216" i="2" s="1"/>
  <c r="H216" i="2"/>
  <c r="G216" i="2" s="1"/>
  <c r="F216" i="2" s="1"/>
  <c r="E216" i="2" s="1"/>
  <c r="O209" i="2"/>
  <c r="N209" i="2"/>
  <c r="M209" i="2"/>
  <c r="L209" i="2"/>
  <c r="K209" i="2"/>
  <c r="J209" i="2"/>
  <c r="I209" i="2"/>
  <c r="H209" i="2"/>
  <c r="G209" i="2"/>
  <c r="F209" i="2"/>
  <c r="E209" i="2"/>
  <c r="O207" i="2"/>
  <c r="N207" i="2"/>
  <c r="J9" i="2" s="1"/>
  <c r="M207" i="2"/>
  <c r="L207" i="2"/>
  <c r="K207" i="2"/>
  <c r="J207" i="2"/>
  <c r="H207" i="2"/>
  <c r="G207" i="2"/>
  <c r="F207" i="2"/>
  <c r="E207" i="2"/>
  <c r="O193" i="2"/>
  <c r="N193" i="2"/>
  <c r="M193" i="2"/>
  <c r="L193" i="2"/>
  <c r="K193" i="2"/>
  <c r="J193" i="2"/>
  <c r="I193" i="2"/>
  <c r="H193" i="2"/>
  <c r="H197" i="2" s="1"/>
  <c r="G193" i="2"/>
  <c r="F193" i="2"/>
  <c r="E193" i="2"/>
  <c r="O189" i="2"/>
  <c r="N189" i="2"/>
  <c r="M189" i="2"/>
  <c r="L189" i="2"/>
  <c r="K189" i="2"/>
  <c r="J189" i="2"/>
  <c r="I189" i="2"/>
  <c r="H189" i="2"/>
  <c r="G189" i="2"/>
  <c r="F189" i="2"/>
  <c r="E189" i="2"/>
  <c r="J183" i="2"/>
  <c r="K183" i="2" s="1"/>
  <c r="L183" i="2" s="1"/>
  <c r="M183" i="2" s="1"/>
  <c r="N183" i="2" s="1"/>
  <c r="O183" i="2" s="1"/>
  <c r="H183" i="2"/>
  <c r="G183" i="2" s="1"/>
  <c r="F183" i="2" s="1"/>
  <c r="E183" i="2" s="1"/>
  <c r="O176" i="2"/>
  <c r="N176" i="2"/>
  <c r="M176" i="2"/>
  <c r="L176" i="2"/>
  <c r="K176" i="2"/>
  <c r="J176" i="2"/>
  <c r="I176" i="2"/>
  <c r="H176" i="2"/>
  <c r="G176" i="2"/>
  <c r="F176" i="2"/>
  <c r="E176" i="2"/>
  <c r="O174" i="2"/>
  <c r="N174" i="2"/>
  <c r="I9" i="2" s="1"/>
  <c r="L174" i="2"/>
  <c r="K174" i="2"/>
  <c r="J174" i="2"/>
  <c r="I174" i="2"/>
  <c r="G174" i="2"/>
  <c r="F174" i="2"/>
  <c r="E174" i="2"/>
  <c r="O160" i="2"/>
  <c r="N160" i="2"/>
  <c r="M160" i="2"/>
  <c r="L160" i="2"/>
  <c r="K160" i="2"/>
  <c r="J160" i="2"/>
  <c r="I160" i="2"/>
  <c r="H160" i="2"/>
  <c r="G160" i="2"/>
  <c r="F160" i="2"/>
  <c r="E160" i="2"/>
  <c r="O156" i="2"/>
  <c r="N156" i="2"/>
  <c r="M156" i="2"/>
  <c r="L156" i="2"/>
  <c r="K156" i="2"/>
  <c r="J156" i="2"/>
  <c r="I156" i="2"/>
  <c r="H156" i="2"/>
  <c r="G156" i="2"/>
  <c r="F156" i="2"/>
  <c r="E156" i="2"/>
  <c r="J150" i="2"/>
  <c r="K150" i="2" s="1"/>
  <c r="L150" i="2" s="1"/>
  <c r="M150" i="2" s="1"/>
  <c r="N150" i="2" s="1"/>
  <c r="O150" i="2" s="1"/>
  <c r="H150" i="2"/>
  <c r="G150" i="2" s="1"/>
  <c r="F150" i="2" s="1"/>
  <c r="E150" i="2" s="1"/>
  <c r="O143" i="2"/>
  <c r="N143" i="2"/>
  <c r="M143" i="2"/>
  <c r="L143" i="2"/>
  <c r="K143" i="2"/>
  <c r="J143" i="2"/>
  <c r="I143" i="2"/>
  <c r="H143" i="2"/>
  <c r="G143" i="2"/>
  <c r="F143" i="2"/>
  <c r="E143" i="2"/>
  <c r="O141" i="2"/>
  <c r="H9" i="2" s="1"/>
  <c r="N141" i="2"/>
  <c r="M141" i="2"/>
  <c r="K141" i="2"/>
  <c r="J141" i="2"/>
  <c r="I141" i="2"/>
  <c r="H141" i="2"/>
  <c r="G141" i="2"/>
  <c r="F141" i="2"/>
  <c r="L139" i="2"/>
  <c r="L141" i="2" s="1"/>
  <c r="E139" i="2"/>
  <c r="E141" i="2" s="1"/>
  <c r="O127" i="2"/>
  <c r="N127" i="2"/>
  <c r="M127" i="2"/>
  <c r="L127" i="2"/>
  <c r="K127" i="2"/>
  <c r="J127" i="2"/>
  <c r="I127" i="2"/>
  <c r="H127" i="2"/>
  <c r="G127" i="2"/>
  <c r="F127" i="2"/>
  <c r="E127" i="2"/>
  <c r="O123" i="2"/>
  <c r="N123" i="2"/>
  <c r="M123" i="2"/>
  <c r="L123" i="2"/>
  <c r="K123" i="2"/>
  <c r="J123" i="2"/>
  <c r="I123" i="2"/>
  <c r="H123" i="2"/>
  <c r="G123" i="2"/>
  <c r="F123" i="2"/>
  <c r="E123" i="2"/>
  <c r="J117" i="2"/>
  <c r="K117" i="2" s="1"/>
  <c r="L117" i="2" s="1"/>
  <c r="M117" i="2" s="1"/>
  <c r="N117" i="2" s="1"/>
  <c r="O117" i="2" s="1"/>
  <c r="H117" i="2"/>
  <c r="G117" i="2" s="1"/>
  <c r="F117" i="2" s="1"/>
  <c r="E117" i="2" s="1"/>
  <c r="O110" i="2"/>
  <c r="N110" i="2"/>
  <c r="M110" i="2"/>
  <c r="L110" i="2"/>
  <c r="K110" i="2"/>
  <c r="J110" i="2"/>
  <c r="I110" i="2"/>
  <c r="H110" i="2"/>
  <c r="G110" i="2"/>
  <c r="F110" i="2"/>
  <c r="E110" i="2"/>
  <c r="N108" i="2"/>
  <c r="M108" i="2"/>
  <c r="K108" i="2"/>
  <c r="J108" i="2"/>
  <c r="I108" i="2"/>
  <c r="H108" i="2"/>
  <c r="G108" i="2"/>
  <c r="F108" i="2"/>
  <c r="L106" i="2"/>
  <c r="L108" i="2" s="1"/>
  <c r="O94" i="2"/>
  <c r="N94" i="2"/>
  <c r="M94" i="2"/>
  <c r="L94" i="2"/>
  <c r="K94" i="2"/>
  <c r="J94" i="2"/>
  <c r="I94" i="2"/>
  <c r="H94" i="2"/>
  <c r="G94" i="2"/>
  <c r="F94" i="2"/>
  <c r="E94" i="2"/>
  <c r="O90" i="2"/>
  <c r="N90" i="2"/>
  <c r="M90" i="2"/>
  <c r="L90" i="2"/>
  <c r="K90" i="2"/>
  <c r="J90" i="2"/>
  <c r="I90" i="2"/>
  <c r="H90" i="2"/>
  <c r="G90" i="2"/>
  <c r="F90" i="2"/>
  <c r="E90" i="2"/>
  <c r="J84" i="2"/>
  <c r="K84" i="2" s="1"/>
  <c r="L84" i="2" s="1"/>
  <c r="M84" i="2" s="1"/>
  <c r="N84" i="2" s="1"/>
  <c r="O84" i="2" s="1"/>
  <c r="H84" i="2"/>
  <c r="G84" i="2" s="1"/>
  <c r="F84" i="2" s="1"/>
  <c r="E84" i="2" s="1"/>
  <c r="L79" i="2"/>
  <c r="M79" i="2" s="1"/>
  <c r="N79" i="2" s="1"/>
  <c r="H79" i="2"/>
  <c r="I79" i="2" s="1"/>
  <c r="J79" i="2" s="1"/>
  <c r="L78" i="2"/>
  <c r="M78" i="2" s="1"/>
  <c r="N78" i="2" s="1"/>
  <c r="H78" i="2"/>
  <c r="I78" i="2" s="1"/>
  <c r="O77" i="2"/>
  <c r="K77" i="2"/>
  <c r="G77" i="2"/>
  <c r="F77" i="2"/>
  <c r="E77" i="2"/>
  <c r="N75" i="2"/>
  <c r="M75" i="2"/>
  <c r="L75" i="2"/>
  <c r="J75" i="2"/>
  <c r="I75" i="2"/>
  <c r="H75" i="2"/>
  <c r="F75" i="2"/>
  <c r="E75" i="2"/>
  <c r="O61" i="2"/>
  <c r="N61" i="2"/>
  <c r="M61" i="2"/>
  <c r="L61" i="2"/>
  <c r="K61" i="2"/>
  <c r="J61" i="2"/>
  <c r="I61" i="2"/>
  <c r="H61" i="2"/>
  <c r="G61" i="2"/>
  <c r="F61" i="2"/>
  <c r="E61" i="2"/>
  <c r="O57" i="2"/>
  <c r="N57" i="2"/>
  <c r="M57" i="2"/>
  <c r="L57" i="2"/>
  <c r="K57" i="2"/>
  <c r="J57" i="2"/>
  <c r="I57" i="2"/>
  <c r="H57" i="2"/>
  <c r="G57" i="2"/>
  <c r="F57" i="2"/>
  <c r="E57" i="2"/>
  <c r="J51" i="2"/>
  <c r="K51" i="2" s="1"/>
  <c r="L51" i="2" s="1"/>
  <c r="M51" i="2" s="1"/>
  <c r="N51" i="2" s="1"/>
  <c r="O51" i="2" s="1"/>
  <c r="H51" i="2"/>
  <c r="G51" i="2" s="1"/>
  <c r="F51" i="2" s="1"/>
  <c r="E51" i="2" s="1"/>
  <c r="N46" i="2"/>
  <c r="O46" i="2" s="1"/>
  <c r="J46" i="2"/>
  <c r="K46" i="2" s="1"/>
  <c r="L46" i="2" s="1"/>
  <c r="N45" i="2"/>
  <c r="O45" i="2" s="1"/>
  <c r="J45" i="2"/>
  <c r="M44" i="2"/>
  <c r="I44" i="2"/>
  <c r="H44" i="2"/>
  <c r="G44" i="2"/>
  <c r="F44" i="2"/>
  <c r="E44" i="2"/>
  <c r="O42" i="2"/>
  <c r="E9" i="2" s="1"/>
  <c r="N42" i="2"/>
  <c r="L42" i="2"/>
  <c r="K42" i="2"/>
  <c r="J42" i="2"/>
  <c r="H42" i="2"/>
  <c r="G42" i="2"/>
  <c r="F42" i="2"/>
  <c r="O28" i="2"/>
  <c r="N28" i="2"/>
  <c r="M28" i="2"/>
  <c r="L28" i="2"/>
  <c r="K28" i="2"/>
  <c r="J28" i="2"/>
  <c r="I28" i="2"/>
  <c r="H28" i="2"/>
  <c r="G28" i="2"/>
  <c r="F28" i="2"/>
  <c r="E28" i="2"/>
  <c r="O24" i="2"/>
  <c r="N24" i="2"/>
  <c r="M24" i="2"/>
  <c r="L24" i="2"/>
  <c r="K24" i="2"/>
  <c r="J24" i="2"/>
  <c r="I24" i="2"/>
  <c r="H24" i="2"/>
  <c r="G24" i="2"/>
  <c r="F24" i="2"/>
  <c r="E24" i="2"/>
  <c r="K19" i="2"/>
  <c r="L19" i="2" s="1"/>
  <c r="G19" i="2"/>
  <c r="H19" i="2" s="1"/>
  <c r="J18" i="2"/>
  <c r="K18" i="2" s="1"/>
  <c r="L18" i="2" s="1"/>
  <c r="M18" i="2" s="1"/>
  <c r="N18" i="2" s="1"/>
  <c r="O18" i="2" s="1"/>
  <c r="H18" i="2"/>
  <c r="G18" i="2" s="1"/>
  <c r="F18" i="2" s="1"/>
  <c r="E18" i="2" s="1"/>
  <c r="J8" i="2"/>
  <c r="I8" i="2"/>
  <c r="H8" i="2"/>
  <c r="E8" i="2"/>
  <c r="K7" i="2"/>
  <c r="J7" i="2"/>
  <c r="I7" i="2"/>
  <c r="H7" i="2"/>
  <c r="F7" i="2"/>
  <c r="E7" i="2"/>
  <c r="G98" i="2" l="1"/>
  <c r="K131" i="2"/>
  <c r="K132" i="2" s="1"/>
  <c r="E164" i="2"/>
  <c r="M98" i="2"/>
  <c r="E197" i="2"/>
  <c r="E230" i="2"/>
  <c r="E231" i="2" s="1"/>
  <c r="E238" i="2" s="1"/>
  <c r="E240" i="2" s="1"/>
  <c r="M230" i="2"/>
  <c r="L131" i="2"/>
  <c r="L32" i="2"/>
  <c r="I98" i="2"/>
  <c r="L230" i="2"/>
  <c r="F164" i="2"/>
  <c r="K65" i="2"/>
  <c r="K66" i="2" s="1"/>
  <c r="K73" i="2" s="1"/>
  <c r="K75" i="2" s="1"/>
  <c r="G32" i="2"/>
  <c r="E65" i="2"/>
  <c r="J44" i="2"/>
  <c r="L65" i="2"/>
  <c r="L77" i="2"/>
  <c r="J98" i="2"/>
  <c r="G164" i="2"/>
  <c r="O164" i="2"/>
  <c r="O165" i="2" s="1"/>
  <c r="O32" i="2"/>
  <c r="M65" i="2"/>
  <c r="I32" i="2"/>
  <c r="I33" i="2" s="1"/>
  <c r="I40" i="2" s="1"/>
  <c r="I42" i="2" s="1"/>
  <c r="G65" i="2"/>
  <c r="G66" i="2" s="1"/>
  <c r="G73" i="2" s="1"/>
  <c r="G75" i="2" s="1"/>
  <c r="O65" i="2"/>
  <c r="O66" i="2" s="1"/>
  <c r="O73" i="2" s="1"/>
  <c r="O75" i="2" s="1"/>
  <c r="F9" i="2" s="1"/>
  <c r="N77" i="2"/>
  <c r="G131" i="2"/>
  <c r="O131" i="2"/>
  <c r="O132" i="2" s="1"/>
  <c r="I164" i="2"/>
  <c r="M197" i="2"/>
  <c r="H65" i="2"/>
  <c r="E98" i="2"/>
  <c r="E99" i="2" s="1"/>
  <c r="E106" i="2" s="1"/>
  <c r="E108" i="2" s="1"/>
  <c r="H131" i="2"/>
  <c r="H230" i="2"/>
  <c r="L197" i="2"/>
  <c r="K32" i="2"/>
  <c r="F98" i="2"/>
  <c r="N98" i="2"/>
  <c r="I131" i="2"/>
  <c r="K164" i="2"/>
  <c r="K165" i="2" s="1"/>
  <c r="F230" i="2"/>
  <c r="E131" i="2"/>
  <c r="M131" i="2"/>
  <c r="E32" i="2"/>
  <c r="E33" i="2" s="1"/>
  <c r="E40" i="2" s="1"/>
  <c r="E42" i="2" s="1"/>
  <c r="M32" i="2"/>
  <c r="M33" i="2" s="1"/>
  <c r="M40" i="2" s="1"/>
  <c r="M42" i="2" s="1"/>
  <c r="I65" i="2"/>
  <c r="K98" i="2"/>
  <c r="F197" i="2"/>
  <c r="N197" i="2"/>
  <c r="N230" i="2"/>
  <c r="F32" i="2"/>
  <c r="N32" i="2"/>
  <c r="J65" i="2"/>
  <c r="L98" i="2"/>
  <c r="F131" i="2"/>
  <c r="M164" i="2"/>
  <c r="M165" i="2" s="1"/>
  <c r="M172" i="2" s="1"/>
  <c r="M174" i="2" s="1"/>
  <c r="G197" i="2"/>
  <c r="O197" i="2"/>
  <c r="O198" i="2" s="1"/>
  <c r="G230" i="2"/>
  <c r="O230" i="2"/>
  <c r="O231" i="2" s="1"/>
  <c r="O238" i="2" s="1"/>
  <c r="O240" i="2" s="1"/>
  <c r="K9" i="2" s="1"/>
  <c r="H32" i="2"/>
  <c r="H77" i="2"/>
  <c r="I197" i="2"/>
  <c r="I198" i="2" s="1"/>
  <c r="I205" i="2" s="1"/>
  <c r="I207" i="2" s="1"/>
  <c r="I230" i="2"/>
  <c r="O44" i="2"/>
  <c r="H164" i="2"/>
  <c r="H165" i="2" s="1"/>
  <c r="H172" i="2" s="1"/>
  <c r="H174" i="2" s="1"/>
  <c r="J197" i="2"/>
  <c r="J230" i="2"/>
  <c r="J231" i="2" s="1"/>
  <c r="J238" i="2" s="1"/>
  <c r="J240" i="2" s="1"/>
  <c r="N44" i="2"/>
  <c r="J32" i="2"/>
  <c r="F65" i="2"/>
  <c r="N65" i="2"/>
  <c r="H98" i="2"/>
  <c r="J131" i="2"/>
  <c r="K197" i="2"/>
  <c r="K230" i="2"/>
  <c r="AS81" i="13"/>
  <c r="O98" i="2"/>
  <c r="O99" i="2" s="1"/>
  <c r="O106" i="2" s="1"/>
  <c r="I78" i="3"/>
  <c r="Z78" i="3"/>
  <c r="E78" i="3"/>
  <c r="M78" i="3"/>
  <c r="U78" i="3"/>
  <c r="D78" i="3"/>
  <c r="L78" i="3"/>
  <c r="T78" i="3"/>
  <c r="R78" i="3"/>
  <c r="F78" i="3"/>
  <c r="N78" i="3"/>
  <c r="V78" i="3"/>
  <c r="Q78" i="3"/>
  <c r="W78" i="3"/>
  <c r="K78" i="3"/>
  <c r="S78" i="3"/>
  <c r="AA78" i="3"/>
  <c r="J78" i="3"/>
  <c r="G78" i="3"/>
  <c r="O78" i="3"/>
  <c r="H78" i="3"/>
  <c r="P78" i="3"/>
  <c r="X78" i="3"/>
  <c r="J102" i="4"/>
  <c r="M28" i="4"/>
  <c r="N20" i="5"/>
  <c r="D56" i="46"/>
  <c r="D62" i="46" s="1"/>
  <c r="E56" i="46"/>
  <c r="E62" i="46" s="1"/>
  <c r="C62" i="46"/>
  <c r="F56" i="46"/>
  <c r="C49" i="11"/>
  <c r="K49" i="11"/>
  <c r="S49" i="11"/>
  <c r="AA49" i="11"/>
  <c r="AI27" i="11"/>
  <c r="AI49" i="11" s="1"/>
  <c r="AQ27" i="11"/>
  <c r="AQ49" i="11" s="1"/>
  <c r="AQ93" i="11" s="1"/>
  <c r="AG49" i="11"/>
  <c r="AO27" i="11"/>
  <c r="G92" i="11"/>
  <c r="O92" i="11"/>
  <c r="AI92" i="11"/>
  <c r="AQ92" i="11"/>
  <c r="J92" i="11"/>
  <c r="R92" i="11"/>
  <c r="Z92" i="11"/>
  <c r="G49" i="11"/>
  <c r="W49" i="11"/>
  <c r="AM49" i="11"/>
  <c r="AB27" i="11"/>
  <c r="AB49" i="11" s="1"/>
  <c r="AK27" i="11"/>
  <c r="AK49" i="11" s="1"/>
  <c r="E92" i="11"/>
  <c r="M92" i="11"/>
  <c r="U92" i="11"/>
  <c r="AC92" i="11"/>
  <c r="AL92" i="11"/>
  <c r="AB83" i="11"/>
  <c r="AB92" i="11" s="1"/>
  <c r="X49" i="11"/>
  <c r="E27" i="11"/>
  <c r="E49" i="11" s="1"/>
  <c r="M27" i="11"/>
  <c r="M49" i="11" s="1"/>
  <c r="U27" i="11"/>
  <c r="U49" i="11" s="1"/>
  <c r="AD27" i="11"/>
  <c r="AD49" i="11" s="1"/>
  <c r="AN92" i="11"/>
  <c r="AL49" i="11"/>
  <c r="H92" i="11"/>
  <c r="P92" i="11"/>
  <c r="X92" i="11"/>
  <c r="AG92" i="11"/>
  <c r="AO92" i="11"/>
  <c r="AK104" i="10"/>
  <c r="AQ48" i="10"/>
  <c r="F25" i="10"/>
  <c r="F48" i="10" s="1"/>
  <c r="Z104" i="10"/>
  <c r="AH104" i="10"/>
  <c r="AH105" i="10" s="1"/>
  <c r="AP104" i="10"/>
  <c r="D48" i="10"/>
  <c r="P48" i="10"/>
  <c r="Y48" i="10"/>
  <c r="H104" i="10"/>
  <c r="P104" i="10"/>
  <c r="X104" i="10"/>
  <c r="AF104" i="10"/>
  <c r="AN104" i="10"/>
  <c r="AN105" i="10" s="1"/>
  <c r="J104" i="10"/>
  <c r="Q48" i="10"/>
  <c r="AH25" i="10"/>
  <c r="AH48" i="10" s="1"/>
  <c r="AP25" i="10"/>
  <c r="AP48" i="10" s="1"/>
  <c r="K104" i="10"/>
  <c r="I104" i="10"/>
  <c r="Q104" i="10"/>
  <c r="Y104" i="10"/>
  <c r="AG104" i="10"/>
  <c r="AO104" i="10"/>
  <c r="C48" i="10"/>
  <c r="AI48" i="10"/>
  <c r="AI105" i="10" s="1"/>
  <c r="AB48" i="10"/>
  <c r="AR48" i="10"/>
  <c r="R25" i="10"/>
  <c r="R48" i="10" s="1"/>
  <c r="N104" i="10"/>
  <c r="AD104" i="10"/>
  <c r="AD105" i="10" s="1"/>
  <c r="AQ104" i="10"/>
  <c r="AQ105" i="10" s="1"/>
  <c r="AJ48" i="10"/>
  <c r="H48" i="10"/>
  <c r="O104" i="10"/>
  <c r="AE104" i="10"/>
  <c r="AE105" i="10" s="1"/>
  <c r="AO105" i="10"/>
  <c r="D104" i="10"/>
  <c r="L104" i="10"/>
  <c r="T104" i="10"/>
  <c r="AB104" i="10"/>
  <c r="AJ104" i="10"/>
  <c r="AR104" i="10"/>
  <c r="AR105" i="10" s="1"/>
  <c r="H31" i="40"/>
  <c r="F31" i="40"/>
  <c r="N31" i="40"/>
  <c r="V31" i="40"/>
  <c r="H60" i="40"/>
  <c r="P60" i="40"/>
  <c r="X60" i="40"/>
  <c r="K31" i="40"/>
  <c r="G31" i="40"/>
  <c r="W31" i="40"/>
  <c r="I60" i="40"/>
  <c r="Q60" i="40"/>
  <c r="Y60" i="40"/>
  <c r="AB60" i="40"/>
  <c r="P31" i="40"/>
  <c r="D60" i="40"/>
  <c r="L60" i="40"/>
  <c r="T60" i="40"/>
  <c r="C31" i="40"/>
  <c r="M60" i="40"/>
  <c r="U60" i="40"/>
  <c r="D31" i="40"/>
  <c r="S31" i="40"/>
  <c r="I18" i="40"/>
  <c r="I31" i="40" s="1"/>
  <c r="Y18" i="40"/>
  <c r="Y31" i="40" s="1"/>
  <c r="F60" i="40"/>
  <c r="N60" i="40"/>
  <c r="V60" i="40"/>
  <c r="V43" i="39"/>
  <c r="V90" i="39" s="1"/>
  <c r="M43" i="39"/>
  <c r="U43" i="39"/>
  <c r="U90" i="39" s="1"/>
  <c r="N89" i="39"/>
  <c r="N90" i="39" s="1"/>
  <c r="K25" i="39"/>
  <c r="AA25" i="39"/>
  <c r="R89" i="39"/>
  <c r="R90" i="39" s="1"/>
  <c r="G43" i="39"/>
  <c r="O43" i="39"/>
  <c r="W43" i="39"/>
  <c r="W90" i="39" s="1"/>
  <c r="I25" i="39"/>
  <c r="Q25" i="39"/>
  <c r="Y25" i="39"/>
  <c r="L25" i="39"/>
  <c r="L43" i="39" s="1"/>
  <c r="T25" i="39"/>
  <c r="T43" i="39" s="1"/>
  <c r="T90" i="39" s="1"/>
  <c r="S89" i="39"/>
  <c r="Z89" i="39"/>
  <c r="Z90" i="39" s="1"/>
  <c r="X43" i="39"/>
  <c r="C89" i="39"/>
  <c r="K89" i="39"/>
  <c r="D43" i="39"/>
  <c r="D74" i="43"/>
  <c r="D75" i="43" s="1"/>
  <c r="F74" i="43"/>
  <c r="G33" i="43"/>
  <c r="I65" i="43"/>
  <c r="F33" i="43"/>
  <c r="N33" i="43"/>
  <c r="H65" i="43"/>
  <c r="H74" i="43" s="1"/>
  <c r="H75" i="43" s="1"/>
  <c r="H33" i="43"/>
  <c r="J65" i="43"/>
  <c r="G75" i="43"/>
  <c r="C74" i="43"/>
  <c r="C75" i="43" s="1"/>
  <c r="K74" i="43"/>
  <c r="K75" i="43" s="1"/>
  <c r="E63" i="46"/>
  <c r="F29" i="46"/>
  <c r="D63" i="46"/>
  <c r="E43" i="33"/>
  <c r="E95" i="33"/>
  <c r="C43" i="33"/>
  <c r="C71" i="32"/>
  <c r="F34" i="32"/>
  <c r="C34" i="32"/>
  <c r="D34" i="32"/>
  <c r="D72" i="32" s="1"/>
  <c r="F71" i="32"/>
  <c r="I42" i="31"/>
  <c r="I91" i="31" s="1"/>
  <c r="J90" i="31"/>
  <c r="C42" i="31"/>
  <c r="E90" i="31"/>
  <c r="F42" i="31"/>
  <c r="G90" i="31"/>
  <c r="H42" i="31"/>
  <c r="H91" i="31"/>
  <c r="F41" i="30"/>
  <c r="C88" i="30"/>
  <c r="K88" i="30"/>
  <c r="S88" i="30"/>
  <c r="D88" i="30"/>
  <c r="J88" i="30"/>
  <c r="E88" i="30"/>
  <c r="M88" i="30"/>
  <c r="M89" i="30" s="1"/>
  <c r="U88" i="30"/>
  <c r="R88" i="30"/>
  <c r="G88" i="30"/>
  <c r="O88" i="30"/>
  <c r="W88" i="30"/>
  <c r="C41" i="30"/>
  <c r="K41" i="30"/>
  <c r="S41" i="30"/>
  <c r="S89" i="30" s="1"/>
  <c r="H88" i="30"/>
  <c r="P88" i="30"/>
  <c r="X88" i="30"/>
  <c r="D41" i="30"/>
  <c r="L41" i="30"/>
  <c r="T41" i="30"/>
  <c r="J45" i="29"/>
  <c r="I88" i="29"/>
  <c r="I89" i="29" s="1"/>
  <c r="D45" i="29"/>
  <c r="L45" i="29"/>
  <c r="K45" i="29"/>
  <c r="K88" i="29"/>
  <c r="K89" i="29" s="1"/>
  <c r="D88" i="29"/>
  <c r="L88" i="29"/>
  <c r="C45" i="29"/>
  <c r="N45" i="29"/>
  <c r="H24" i="29"/>
  <c r="H45" i="29" s="1"/>
  <c r="H89" i="29" s="1"/>
  <c r="P24" i="29"/>
  <c r="P45" i="29" s="1"/>
  <c r="P89" i="29" s="1"/>
  <c r="E88" i="29"/>
  <c r="E89" i="29" s="1"/>
  <c r="M88" i="29"/>
  <c r="M89" i="29" s="1"/>
  <c r="G88" i="29"/>
  <c r="G89" i="29" s="1"/>
  <c r="O88" i="29"/>
  <c r="O89" i="29" s="1"/>
  <c r="D47" i="28"/>
  <c r="L47" i="28"/>
  <c r="H97" i="28"/>
  <c r="P97" i="28"/>
  <c r="I96" i="28"/>
  <c r="K96" i="28"/>
  <c r="D96" i="28"/>
  <c r="D97" i="28" s="1"/>
  <c r="L96" i="28"/>
  <c r="L97" i="28" s="1"/>
  <c r="I47" i="28"/>
  <c r="I97" i="28" s="1"/>
  <c r="K26" i="28"/>
  <c r="K47" i="28" s="1"/>
  <c r="F97" i="28"/>
  <c r="G97" i="28"/>
  <c r="O97" i="28"/>
  <c r="E86" i="27"/>
  <c r="M86" i="27"/>
  <c r="F86" i="27"/>
  <c r="N86" i="27"/>
  <c r="G86" i="27"/>
  <c r="Q86" i="27"/>
  <c r="Q87" i="27" s="1"/>
  <c r="O86" i="27"/>
  <c r="I42" i="27"/>
  <c r="I87" i="27" s="1"/>
  <c r="J86" i="27"/>
  <c r="J87" i="27" s="1"/>
  <c r="Q42" i="27"/>
  <c r="K42" i="27"/>
  <c r="D86" i="27"/>
  <c r="L86" i="27"/>
  <c r="M21" i="47"/>
  <c r="M23" i="47" s="1"/>
  <c r="M27" i="47" s="1"/>
  <c r="M32" i="47" s="1"/>
  <c r="U21" i="47"/>
  <c r="U23" i="47" s="1"/>
  <c r="U27" i="47" s="1"/>
  <c r="U32" i="47" s="1"/>
  <c r="AK21" i="47"/>
  <c r="AK23" i="47" s="1"/>
  <c r="AK27" i="47" s="1"/>
  <c r="AK32" i="47" s="1"/>
  <c r="G21" i="47"/>
  <c r="G23" i="47" s="1"/>
  <c r="G27" i="47" s="1"/>
  <c r="G32" i="47" s="1"/>
  <c r="O21" i="47"/>
  <c r="O23" i="47" s="1"/>
  <c r="O27" i="47" s="1"/>
  <c r="O32" i="47" s="1"/>
  <c r="W21" i="47"/>
  <c r="W23" i="47" s="1"/>
  <c r="W27" i="47" s="1"/>
  <c r="W32" i="47" s="1"/>
  <c r="AI21" i="47"/>
  <c r="AI23" i="47" s="1"/>
  <c r="AI27" i="47" s="1"/>
  <c r="AI32" i="47" s="1"/>
  <c r="H21" i="47"/>
  <c r="H23" i="47" s="1"/>
  <c r="H27" i="47" s="1"/>
  <c r="H32" i="47" s="1"/>
  <c r="P21" i="47"/>
  <c r="P23" i="47" s="1"/>
  <c r="P27" i="47" s="1"/>
  <c r="P32" i="47" s="1"/>
  <c r="X21" i="47"/>
  <c r="X23" i="47" s="1"/>
  <c r="X27" i="47" s="1"/>
  <c r="X32" i="47" s="1"/>
  <c r="AN21" i="47"/>
  <c r="AN23" i="47" s="1"/>
  <c r="AN27" i="47" s="1"/>
  <c r="AN32" i="47" s="1"/>
  <c r="Y21" i="47"/>
  <c r="Y23" i="47" s="1"/>
  <c r="Y27" i="47" s="1"/>
  <c r="Y32" i="47" s="1"/>
  <c r="AO21" i="47"/>
  <c r="AO23" i="47" s="1"/>
  <c r="AO27" i="47" s="1"/>
  <c r="AO32" i="47" s="1"/>
  <c r="K21" i="47"/>
  <c r="K23" i="47" s="1"/>
  <c r="K27" i="47" s="1"/>
  <c r="K32" i="47" s="1"/>
  <c r="S21" i="47"/>
  <c r="S23" i="47" s="1"/>
  <c r="S27" i="47" s="1"/>
  <c r="S32" i="47" s="1"/>
  <c r="AA21" i="47"/>
  <c r="AA23" i="47" s="1"/>
  <c r="AA27" i="47" s="1"/>
  <c r="AA32" i="47" s="1"/>
  <c r="AQ21" i="47"/>
  <c r="AQ23" i="47" s="1"/>
  <c r="AQ27" i="47" s="1"/>
  <c r="AQ32" i="47" s="1"/>
  <c r="L21" i="47"/>
  <c r="L23" i="47" s="1"/>
  <c r="L27" i="47" s="1"/>
  <c r="L32" i="47" s="1"/>
  <c r="T21" i="47"/>
  <c r="T23" i="47" s="1"/>
  <c r="T27" i="47" s="1"/>
  <c r="T32" i="47" s="1"/>
  <c r="AM27" i="47"/>
  <c r="AM32" i="47" s="1"/>
  <c r="I123" i="55"/>
  <c r="T120" i="55"/>
  <c r="T123" i="55" s="1"/>
  <c r="AS21" i="47"/>
  <c r="AS23" i="47" s="1"/>
  <c r="AS27" i="47" s="1"/>
  <c r="AS32" i="47" s="1"/>
  <c r="F62" i="46"/>
  <c r="F63" i="46" s="1"/>
  <c r="C63" i="46"/>
  <c r="E74" i="43"/>
  <c r="E75" i="43" s="1"/>
  <c r="N29" i="42"/>
  <c r="N31" i="42" s="1"/>
  <c r="N35" i="42" s="1"/>
  <c r="N38" i="42" s="1"/>
  <c r="N72" i="43"/>
  <c r="N74" i="43"/>
  <c r="I74" i="43"/>
  <c r="I75" i="43" s="1"/>
  <c r="J74" i="43"/>
  <c r="J75" i="43" s="1"/>
  <c r="L74" i="43"/>
  <c r="L75" i="43" s="1"/>
  <c r="F208" i="41"/>
  <c r="J72" i="43"/>
  <c r="M74" i="43"/>
  <c r="M75" i="43" s="1"/>
  <c r="G208" i="41"/>
  <c r="H208" i="41"/>
  <c r="I43" i="39"/>
  <c r="Q43" i="39"/>
  <c r="Y43" i="39"/>
  <c r="G89" i="39"/>
  <c r="O89" i="39"/>
  <c r="AB89" i="39"/>
  <c r="AB90" i="39" s="1"/>
  <c r="AB31" i="40"/>
  <c r="D14" i="34"/>
  <c r="M14" i="34" s="1"/>
  <c r="AC65" i="39"/>
  <c r="AC89" i="39" s="1"/>
  <c r="H89" i="39"/>
  <c r="Q89" i="39"/>
  <c r="AC34" i="40"/>
  <c r="J60" i="40"/>
  <c r="R60" i="40"/>
  <c r="Z60" i="40"/>
  <c r="J34" i="35"/>
  <c r="J38" i="35" s="1"/>
  <c r="R34" i="35"/>
  <c r="R38" i="35" s="1"/>
  <c r="Z34" i="35"/>
  <c r="Z38" i="35" s="1"/>
  <c r="AC21" i="36"/>
  <c r="AC23" i="36" s="1"/>
  <c r="AC27" i="36" s="1"/>
  <c r="AC30" i="36" s="1"/>
  <c r="C43" i="39"/>
  <c r="K43" i="39"/>
  <c r="K90" i="39" s="1"/>
  <c r="S43" i="39"/>
  <c r="S90" i="39" s="1"/>
  <c r="AA43" i="39"/>
  <c r="AA90" i="39" s="1"/>
  <c r="AC26" i="39"/>
  <c r="AC25" i="39" s="1"/>
  <c r="AC43" i="39" s="1"/>
  <c r="M90" i="39"/>
  <c r="T31" i="40"/>
  <c r="C60" i="40"/>
  <c r="K60" i="40"/>
  <c r="S60" i="40"/>
  <c r="AB43" i="39"/>
  <c r="AC31" i="40"/>
  <c r="AA60" i="40"/>
  <c r="AC21" i="35"/>
  <c r="AC28" i="35" s="1"/>
  <c r="AC30" i="35" s="1"/>
  <c r="AC34" i="35" s="1"/>
  <c r="AC38" i="35" s="1"/>
  <c r="Q34" i="35"/>
  <c r="Q38" i="35" s="1"/>
  <c r="X89" i="39"/>
  <c r="X90" i="39" s="1"/>
  <c r="L31" i="40"/>
  <c r="E60" i="40"/>
  <c r="AC60" i="40"/>
  <c r="I21" i="36"/>
  <c r="I23" i="36" s="1"/>
  <c r="I27" i="36" s="1"/>
  <c r="I30" i="36" s="1"/>
  <c r="Y27" i="36"/>
  <c r="Y30" i="36" s="1"/>
  <c r="D89" i="39"/>
  <c r="L89" i="39"/>
  <c r="Y89" i="39"/>
  <c r="Y90" i="39" s="1"/>
  <c r="M31" i="40"/>
  <c r="AJ77" i="13"/>
  <c r="AJ67" i="13"/>
  <c r="Z21" i="12"/>
  <c r="Z114" i="12"/>
  <c r="AE114" i="12"/>
  <c r="AM114" i="12"/>
  <c r="AQ114" i="12"/>
  <c r="AI67" i="13"/>
  <c r="AI77" i="13"/>
  <c r="G27" i="16"/>
  <c r="K114" i="12"/>
  <c r="J21" i="12"/>
  <c r="J114" i="12"/>
  <c r="AC114" i="12"/>
  <c r="D29" i="20"/>
  <c r="D31" i="20" s="1"/>
  <c r="D35" i="20" s="1"/>
  <c r="D40" i="20" s="1"/>
  <c r="D21" i="20"/>
  <c r="T29" i="20"/>
  <c r="T31" i="20" s="1"/>
  <c r="T35" i="20" s="1"/>
  <c r="T40" i="20" s="1"/>
  <c r="T21" i="20"/>
  <c r="AJ29" i="20"/>
  <c r="AJ31" i="20" s="1"/>
  <c r="AJ35" i="20" s="1"/>
  <c r="AJ40" i="20" s="1"/>
  <c r="AJ21" i="20"/>
  <c r="AR29" i="20"/>
  <c r="AR31" i="20" s="1"/>
  <c r="AR35" i="20" s="1"/>
  <c r="AR40" i="20" s="1"/>
  <c r="AR21" i="20"/>
  <c r="K29" i="20"/>
  <c r="K31" i="20" s="1"/>
  <c r="K35" i="20" s="1"/>
  <c r="K40" i="20" s="1"/>
  <c r="K21" i="20"/>
  <c r="D114" i="12"/>
  <c r="L114" i="12"/>
  <c r="T114" i="12"/>
  <c r="I21" i="12"/>
  <c r="Q21" i="12"/>
  <c r="Y21" i="12"/>
  <c r="Y114" i="12"/>
  <c r="N114" i="12"/>
  <c r="N21" i="12"/>
  <c r="L21" i="12"/>
  <c r="AG114" i="12"/>
  <c r="AD114" i="12"/>
  <c r="G21" i="12"/>
  <c r="C114" i="12"/>
  <c r="S114" i="12"/>
  <c r="K21" i="12"/>
  <c r="L10" i="16"/>
  <c r="L11" i="16"/>
  <c r="L8" i="16"/>
  <c r="L7" i="16"/>
  <c r="L9" i="16"/>
  <c r="L29" i="20"/>
  <c r="L31" i="20" s="1"/>
  <c r="L35" i="20" s="1"/>
  <c r="L40" i="20" s="1"/>
  <c r="L21" i="20"/>
  <c r="AB29" i="20"/>
  <c r="AB31" i="20" s="1"/>
  <c r="AB35" i="20" s="1"/>
  <c r="AB40" i="20" s="1"/>
  <c r="AB21" i="20"/>
  <c r="E21" i="12"/>
  <c r="M21" i="12"/>
  <c r="U21" i="12"/>
  <c r="O21" i="12"/>
  <c r="AK81" i="12"/>
  <c r="AK82" i="12" s="1"/>
  <c r="AE77" i="13"/>
  <c r="AE67" i="13"/>
  <c r="AM77" i="13"/>
  <c r="AM67" i="13"/>
  <c r="AR77" i="13"/>
  <c r="AR67" i="13"/>
  <c r="G67" i="17"/>
  <c r="G8" i="17" s="1"/>
  <c r="AF114" i="12"/>
  <c r="V114" i="12"/>
  <c r="V21" i="12"/>
  <c r="Q36" i="12"/>
  <c r="Q37" i="12" s="1"/>
  <c r="AG36" i="12"/>
  <c r="AG37" i="12" s="1"/>
  <c r="AJ114" i="12"/>
  <c r="AH114" i="12"/>
  <c r="H114" i="12"/>
  <c r="H21" i="12"/>
  <c r="P114" i="12"/>
  <c r="P21" i="12"/>
  <c r="X114" i="12"/>
  <c r="X21" i="12"/>
  <c r="W114" i="12"/>
  <c r="C21" i="12"/>
  <c r="W21" i="12"/>
  <c r="AI114" i="12"/>
  <c r="AP67" i="13"/>
  <c r="AP77" i="13"/>
  <c r="F43" i="16"/>
  <c r="O39" i="16"/>
  <c r="H20" i="21"/>
  <c r="H31" i="21"/>
  <c r="H33" i="21" s="1"/>
  <c r="H37" i="21" s="1"/>
  <c r="H42" i="21" s="1"/>
  <c r="AA114" i="12"/>
  <c r="I36" i="12"/>
  <c r="I37" i="12" s="1"/>
  <c r="Y36" i="12"/>
  <c r="Y37" i="12" s="1"/>
  <c r="AO36" i="12"/>
  <c r="AO37" i="12" s="1"/>
  <c r="AO114" i="12" s="1"/>
  <c r="AB114" i="12"/>
  <c r="AR114" i="12"/>
  <c r="AO77" i="13"/>
  <c r="AO67" i="13"/>
  <c r="F114" i="12"/>
  <c r="F21" i="12"/>
  <c r="D21" i="12"/>
  <c r="E51" i="12"/>
  <c r="E52" i="12" s="1"/>
  <c r="M51" i="12"/>
  <c r="M52" i="12" s="1"/>
  <c r="U51" i="12"/>
  <c r="U52" i="12" s="1"/>
  <c r="AC51" i="12"/>
  <c r="AC52" i="12" s="1"/>
  <c r="AK51" i="12"/>
  <c r="AK52" i="12" s="1"/>
  <c r="AK114" i="12" s="1"/>
  <c r="AS51" i="12"/>
  <c r="AS52" i="12" s="1"/>
  <c r="AS114" i="12" s="1"/>
  <c r="AP114" i="12"/>
  <c r="R114" i="12"/>
  <c r="AH67" i="13"/>
  <c r="AH77" i="13"/>
  <c r="AR81" i="13"/>
  <c r="F94" i="33"/>
  <c r="AS77" i="13"/>
  <c r="AS67" i="13"/>
  <c r="O17" i="16"/>
  <c r="O16" i="16"/>
  <c r="O19" i="16"/>
  <c r="R18" i="16"/>
  <c r="R19" i="16"/>
  <c r="R16" i="16"/>
  <c r="R15" i="16"/>
  <c r="R17" i="16"/>
  <c r="Q51" i="16"/>
  <c r="Q50" i="16"/>
  <c r="Q49" i="16"/>
  <c r="Q48" i="16"/>
  <c r="Q47" i="16"/>
  <c r="N58" i="16"/>
  <c r="N56" i="16"/>
  <c r="AJ81" i="13"/>
  <c r="AA77" i="13"/>
  <c r="G43" i="16"/>
  <c r="P43" i="16" s="1"/>
  <c r="AF77" i="13"/>
  <c r="AF67" i="13"/>
  <c r="AA81" i="13"/>
  <c r="F11" i="16"/>
  <c r="O7" i="16"/>
  <c r="Q7" i="16"/>
  <c r="Q10" i="16"/>
  <c r="Q11" i="16"/>
  <c r="L27" i="16"/>
  <c r="L24" i="16"/>
  <c r="L23" i="16"/>
  <c r="L26" i="16"/>
  <c r="L25" i="16"/>
  <c r="N34" i="16"/>
  <c r="N35" i="16"/>
  <c r="N32" i="16"/>
  <c r="N31" i="16"/>
  <c r="N33" i="16"/>
  <c r="O40" i="16"/>
  <c r="D39" i="17"/>
  <c r="D7" i="17" s="1"/>
  <c r="D9" i="17" s="1"/>
  <c r="D11" i="17" s="1"/>
  <c r="AB81" i="13"/>
  <c r="AL77" i="13"/>
  <c r="G11" i="16"/>
  <c r="H21" i="20"/>
  <c r="H29" i="20"/>
  <c r="H31" i="20" s="1"/>
  <c r="H35" i="20" s="1"/>
  <c r="H40" i="20" s="1"/>
  <c r="X21" i="20"/>
  <c r="X29" i="20"/>
  <c r="X31" i="20" s="1"/>
  <c r="X35" i="20" s="1"/>
  <c r="X40" i="20" s="1"/>
  <c r="AF21" i="20"/>
  <c r="AF29" i="20"/>
  <c r="AF31" i="20" s="1"/>
  <c r="AF35" i="20" s="1"/>
  <c r="AF40" i="20" s="1"/>
  <c r="AM81" i="12"/>
  <c r="AM82" i="12" s="1"/>
  <c r="AN81" i="13"/>
  <c r="P34" i="16"/>
  <c r="D42" i="17"/>
  <c r="D67" i="17" s="1"/>
  <c r="D8" i="17" s="1"/>
  <c r="E42" i="17"/>
  <c r="AL81" i="12"/>
  <c r="AL82" i="12" s="1"/>
  <c r="AL114" i="12" s="1"/>
  <c r="AG77" i="13"/>
  <c r="AG67" i="13"/>
  <c r="O34" i="16"/>
  <c r="E39" i="17"/>
  <c r="E7" i="17" s="1"/>
  <c r="F42" i="17"/>
  <c r="F67" i="17" s="1"/>
  <c r="F8" i="17" s="1"/>
  <c r="P21" i="20"/>
  <c r="P29" i="20"/>
  <c r="P31" i="20" s="1"/>
  <c r="P35" i="20" s="1"/>
  <c r="P40" i="20" s="1"/>
  <c r="AN21" i="20"/>
  <c r="AN29" i="20"/>
  <c r="AN31" i="20" s="1"/>
  <c r="AN35" i="20" s="1"/>
  <c r="AN40" i="20" s="1"/>
  <c r="AN81" i="12"/>
  <c r="AN82" i="12" s="1"/>
  <c r="AN114" i="12" s="1"/>
  <c r="C174" i="12"/>
  <c r="K174" i="12"/>
  <c r="S174" i="12"/>
  <c r="AA174" i="12"/>
  <c r="AI174" i="12"/>
  <c r="AQ174" i="12"/>
  <c r="AN77" i="13"/>
  <c r="AN67" i="13"/>
  <c r="AO81" i="13"/>
  <c r="P10" i="16"/>
  <c r="P41" i="16"/>
  <c r="F59" i="16"/>
  <c r="O57" i="16" s="1"/>
  <c r="O55" i="16"/>
  <c r="AF17" i="19"/>
  <c r="AQ29" i="20"/>
  <c r="AQ31" i="20" s="1"/>
  <c r="AQ35" i="20" s="1"/>
  <c r="AQ40" i="20" s="1"/>
  <c r="AQ21" i="20"/>
  <c r="AK77" i="13"/>
  <c r="AK67" i="13"/>
  <c r="C42" i="17"/>
  <c r="C67" i="17" s="1"/>
  <c r="C8" i="17" s="1"/>
  <c r="AK96" i="12"/>
  <c r="AK97" i="12" s="1"/>
  <c r="AS96" i="12"/>
  <c r="AS97" i="12" s="1"/>
  <c r="D174" i="12"/>
  <c r="L174" i="12"/>
  <c r="T174" i="12"/>
  <c r="AB174" i="12"/>
  <c r="AJ174" i="12"/>
  <c r="AR174" i="12"/>
  <c r="O15" i="16"/>
  <c r="P23" i="16"/>
  <c r="P55" i="16"/>
  <c r="P57" i="16"/>
  <c r="E52" i="17"/>
  <c r="AD26" i="19"/>
  <c r="AD30" i="19"/>
  <c r="G19" i="16"/>
  <c r="M23" i="16"/>
  <c r="M26" i="16"/>
  <c r="P33" i="16"/>
  <c r="R35" i="16"/>
  <c r="R32" i="16"/>
  <c r="R31" i="16"/>
  <c r="R51" i="16"/>
  <c r="R50" i="16"/>
  <c r="R49" i="16"/>
  <c r="R48" i="16"/>
  <c r="R47" i="16"/>
  <c r="H24" i="17"/>
  <c r="H39" i="17" s="1"/>
  <c r="H7" i="17" s="1"/>
  <c r="H9" i="17" s="1"/>
  <c r="H11" i="17" s="1"/>
  <c r="I24" i="17"/>
  <c r="I39" i="17" s="1"/>
  <c r="I7" i="17" s="1"/>
  <c r="I9" i="17" s="1"/>
  <c r="I11" i="17" s="1"/>
  <c r="F34" i="17"/>
  <c r="G34" i="17"/>
  <c r="L28" i="18"/>
  <c r="C30" i="19"/>
  <c r="C26" i="19"/>
  <c r="Z30" i="19"/>
  <c r="Z26" i="19"/>
  <c r="AS9" i="20"/>
  <c r="AS15" i="20" s="1"/>
  <c r="C20" i="21"/>
  <c r="C31" i="21"/>
  <c r="C33" i="21" s="1"/>
  <c r="C37" i="21" s="1"/>
  <c r="C42" i="21" s="1"/>
  <c r="K20" i="21"/>
  <c r="K31" i="21"/>
  <c r="K33" i="21" s="1"/>
  <c r="K37" i="21" s="1"/>
  <c r="K42" i="21" s="1"/>
  <c r="S20" i="21"/>
  <c r="S31" i="21"/>
  <c r="S33" i="21" s="1"/>
  <c r="S37" i="21" s="1"/>
  <c r="S42" i="21" s="1"/>
  <c r="AA20" i="21"/>
  <c r="AA31" i="21"/>
  <c r="AA33" i="21" s="1"/>
  <c r="AA37" i="21" s="1"/>
  <c r="AA42" i="21" s="1"/>
  <c r="X20" i="21"/>
  <c r="X31" i="21"/>
  <c r="X33" i="21" s="1"/>
  <c r="X37" i="21" s="1"/>
  <c r="X42" i="21" s="1"/>
  <c r="C20" i="25"/>
  <c r="C29" i="25"/>
  <c r="C31" i="25" s="1"/>
  <c r="C35" i="25" s="1"/>
  <c r="C40" i="25" s="1"/>
  <c r="M20" i="25"/>
  <c r="M29" i="25"/>
  <c r="M31" i="25" s="1"/>
  <c r="M35" i="25" s="1"/>
  <c r="M40" i="25" s="1"/>
  <c r="O9" i="16"/>
  <c r="P42" i="16"/>
  <c r="C14" i="17"/>
  <c r="D15" i="18"/>
  <c r="L15" i="18"/>
  <c r="AF26" i="19"/>
  <c r="AF30" i="19"/>
  <c r="G21" i="20"/>
  <c r="G29" i="20"/>
  <c r="G31" i="20" s="1"/>
  <c r="G35" i="20" s="1"/>
  <c r="G40" i="20" s="1"/>
  <c r="AP31" i="21"/>
  <c r="AP33" i="21" s="1"/>
  <c r="AP37" i="21" s="1"/>
  <c r="AP42" i="21" s="1"/>
  <c r="AP20" i="21"/>
  <c r="F35" i="16"/>
  <c r="O33" i="16" s="1"/>
  <c r="R34" i="16"/>
  <c r="P40" i="16"/>
  <c r="M43" i="16"/>
  <c r="M42" i="16"/>
  <c r="M41" i="16"/>
  <c r="M40" i="16"/>
  <c r="M39" i="16"/>
  <c r="P56" i="16"/>
  <c r="O58" i="16"/>
  <c r="C24" i="17"/>
  <c r="H42" i="17"/>
  <c r="H67" i="17" s="1"/>
  <c r="H8" i="17" s="1"/>
  <c r="I42" i="17"/>
  <c r="I67" i="17" s="1"/>
  <c r="I8" i="17" s="1"/>
  <c r="F52" i="17"/>
  <c r="G52" i="17"/>
  <c r="I29" i="20"/>
  <c r="I31" i="20" s="1"/>
  <c r="I35" i="20" s="1"/>
  <c r="I40" i="20" s="1"/>
  <c r="I21" i="20"/>
  <c r="Y29" i="20"/>
  <c r="Y31" i="20" s="1"/>
  <c r="Y35" i="20" s="1"/>
  <c r="Y40" i="20" s="1"/>
  <c r="Y21" i="20"/>
  <c r="AG29" i="20"/>
  <c r="AG31" i="20" s="1"/>
  <c r="AG35" i="20" s="1"/>
  <c r="AG40" i="20" s="1"/>
  <c r="AG21" i="20"/>
  <c r="AO29" i="20"/>
  <c r="AO31" i="20" s="1"/>
  <c r="AO35" i="20" s="1"/>
  <c r="AO40" i="20" s="1"/>
  <c r="AO21" i="20"/>
  <c r="P8" i="16"/>
  <c r="O18" i="16"/>
  <c r="N19" i="16"/>
  <c r="N16" i="16"/>
  <c r="N15" i="16"/>
  <c r="P24" i="16"/>
  <c r="M25" i="16"/>
  <c r="G35" i="16"/>
  <c r="N43" i="16"/>
  <c r="N42" i="16"/>
  <c r="N41" i="16"/>
  <c r="N40" i="16"/>
  <c r="N39" i="16"/>
  <c r="F51" i="16"/>
  <c r="P58" i="16"/>
  <c r="D24" i="17"/>
  <c r="E24" i="17"/>
  <c r="C34" i="17"/>
  <c r="AE13" i="19"/>
  <c r="AE11" i="19"/>
  <c r="AE17" i="19" s="1"/>
  <c r="AC26" i="19"/>
  <c r="AE30" i="19"/>
  <c r="R29" i="20"/>
  <c r="R31" i="20" s="1"/>
  <c r="R35" i="20" s="1"/>
  <c r="R40" i="20" s="1"/>
  <c r="R21" i="20"/>
  <c r="G20" i="21"/>
  <c r="G31" i="21"/>
  <c r="G33" i="21" s="1"/>
  <c r="G37" i="21" s="1"/>
  <c r="G42" i="21" s="1"/>
  <c r="O20" i="21"/>
  <c r="O31" i="21"/>
  <c r="O33" i="21" s="1"/>
  <c r="O37" i="21" s="1"/>
  <c r="O42" i="21" s="1"/>
  <c r="W20" i="21"/>
  <c r="W31" i="21"/>
  <c r="W33" i="21" s="1"/>
  <c r="W37" i="21" s="1"/>
  <c r="W42" i="21" s="1"/>
  <c r="P17" i="16"/>
  <c r="P18" i="16"/>
  <c r="M24" i="16"/>
  <c r="O26" i="16"/>
  <c r="M27" i="16"/>
  <c r="R33" i="16"/>
  <c r="Q42" i="16"/>
  <c r="Q41" i="16"/>
  <c r="Q40" i="16"/>
  <c r="Q39" i="16"/>
  <c r="Q43" i="16"/>
  <c r="M50" i="16"/>
  <c r="M49" i="16"/>
  <c r="M48" i="16"/>
  <c r="M47" i="16"/>
  <c r="M51" i="16"/>
  <c r="N55" i="16"/>
  <c r="N57" i="16"/>
  <c r="M59" i="16"/>
  <c r="F14" i="17"/>
  <c r="F39" i="17" s="1"/>
  <c r="F7" i="17" s="1"/>
  <c r="G14" i="17"/>
  <c r="G39" i="17" s="1"/>
  <c r="G7" i="17" s="1"/>
  <c r="F61" i="17"/>
  <c r="AC17" i="19"/>
  <c r="K26" i="19"/>
  <c r="K30" i="19"/>
  <c r="C29" i="20"/>
  <c r="C31" i="20" s="1"/>
  <c r="C35" i="20" s="1"/>
  <c r="C40" i="20" s="1"/>
  <c r="C21" i="20"/>
  <c r="S29" i="20"/>
  <c r="S31" i="20" s="1"/>
  <c r="S35" i="20" s="1"/>
  <c r="S40" i="20" s="1"/>
  <c r="S21" i="20"/>
  <c r="Q21" i="20"/>
  <c r="P20" i="21"/>
  <c r="P31" i="21"/>
  <c r="P33" i="21" s="1"/>
  <c r="P37" i="21" s="1"/>
  <c r="P42" i="21" s="1"/>
  <c r="O26" i="19"/>
  <c r="F30" i="19"/>
  <c r="F29" i="20"/>
  <c r="F31" i="20" s="1"/>
  <c r="F35" i="20" s="1"/>
  <c r="F40" i="20" s="1"/>
  <c r="AL29" i="20"/>
  <c r="AL31" i="20" s="1"/>
  <c r="AL35" i="20" s="1"/>
  <c r="AL40" i="20" s="1"/>
  <c r="I20" i="21"/>
  <c r="I31" i="21"/>
  <c r="I33" i="21" s="1"/>
  <c r="I37" i="21" s="1"/>
  <c r="I42" i="21" s="1"/>
  <c r="Q20" i="21"/>
  <c r="Q31" i="21"/>
  <c r="Q33" i="21" s="1"/>
  <c r="Q37" i="21" s="1"/>
  <c r="Q42" i="21" s="1"/>
  <c r="Y20" i="21"/>
  <c r="Y31" i="21"/>
  <c r="Y33" i="21" s="1"/>
  <c r="Y37" i="21" s="1"/>
  <c r="Y42" i="21" s="1"/>
  <c r="AO31" i="21"/>
  <c r="AO33" i="21" s="1"/>
  <c r="AO37" i="21" s="1"/>
  <c r="AO42" i="21" s="1"/>
  <c r="AO20" i="21"/>
  <c r="AQ31" i="21"/>
  <c r="AQ33" i="21" s="1"/>
  <c r="AQ37" i="21" s="1"/>
  <c r="AQ42" i="21" s="1"/>
  <c r="AQ20" i="21"/>
  <c r="O31" i="16"/>
  <c r="R43" i="16"/>
  <c r="N51" i="16"/>
  <c r="U30" i="19"/>
  <c r="AS22" i="20"/>
  <c r="M29" i="20"/>
  <c r="M31" i="20" s="1"/>
  <c r="M35" i="20" s="1"/>
  <c r="M40" i="20" s="1"/>
  <c r="J20" i="21"/>
  <c r="J31" i="21"/>
  <c r="J33" i="21" s="1"/>
  <c r="J37" i="21" s="1"/>
  <c r="J42" i="21" s="1"/>
  <c r="R20" i="21"/>
  <c r="R31" i="21"/>
  <c r="R33" i="21" s="1"/>
  <c r="R37" i="21" s="1"/>
  <c r="R42" i="21" s="1"/>
  <c r="Z20" i="21"/>
  <c r="Z31" i="21"/>
  <c r="Z33" i="21" s="1"/>
  <c r="Z37" i="21" s="1"/>
  <c r="Z42" i="21" s="1"/>
  <c r="AB20" i="21"/>
  <c r="E31" i="21"/>
  <c r="E33" i="21" s="1"/>
  <c r="E37" i="21" s="1"/>
  <c r="E42" i="21" s="1"/>
  <c r="W34" i="23"/>
  <c r="W39" i="23" s="1"/>
  <c r="R27" i="16"/>
  <c r="AA29" i="20"/>
  <c r="AA31" i="20" s="1"/>
  <c r="AA35" i="20" s="1"/>
  <c r="AA40" i="20" s="1"/>
  <c r="AA21" i="20"/>
  <c r="U29" i="20"/>
  <c r="U31" i="20" s="1"/>
  <c r="U35" i="20" s="1"/>
  <c r="U40" i="20" s="1"/>
  <c r="AR31" i="21"/>
  <c r="AR33" i="21" s="1"/>
  <c r="AR37" i="21" s="1"/>
  <c r="AR42" i="21" s="1"/>
  <c r="AR20" i="21"/>
  <c r="D20" i="21"/>
  <c r="V28" i="23"/>
  <c r="V30" i="23" s="1"/>
  <c r="V34" i="23" s="1"/>
  <c r="V39" i="23" s="1"/>
  <c r="V20" i="23"/>
  <c r="U20" i="23"/>
  <c r="U28" i="23"/>
  <c r="U30" i="23" s="1"/>
  <c r="U34" i="23" s="1"/>
  <c r="U39" i="23" s="1"/>
  <c r="AH21" i="20"/>
  <c r="V29" i="20"/>
  <c r="V31" i="20" s="1"/>
  <c r="V35" i="20" s="1"/>
  <c r="V40" i="20" s="1"/>
  <c r="AS9" i="21"/>
  <c r="AS15" i="21" s="1"/>
  <c r="N31" i="21"/>
  <c r="N33" i="21" s="1"/>
  <c r="N37" i="21" s="1"/>
  <c r="N42" i="21" s="1"/>
  <c r="Y41" i="30"/>
  <c r="R40" i="16"/>
  <c r="R41" i="16"/>
  <c r="N48" i="16"/>
  <c r="N49" i="16"/>
  <c r="O21" i="20"/>
  <c r="O29" i="20"/>
  <c r="O31" i="20" s="1"/>
  <c r="O35" i="20" s="1"/>
  <c r="O40" i="20" s="1"/>
  <c r="W21" i="20"/>
  <c r="W29" i="20"/>
  <c r="W31" i="20" s="1"/>
  <c r="W35" i="20" s="1"/>
  <c r="W40" i="20" s="1"/>
  <c r="AE21" i="20"/>
  <c r="AE29" i="20"/>
  <c r="AE31" i="20" s="1"/>
  <c r="AE35" i="20" s="1"/>
  <c r="AE40" i="20" s="1"/>
  <c r="AM21" i="20"/>
  <c r="AM29" i="20"/>
  <c r="AM31" i="20" s="1"/>
  <c r="AM35" i="20" s="1"/>
  <c r="AM40" i="20" s="1"/>
  <c r="AI29" i="20"/>
  <c r="AI31" i="20" s="1"/>
  <c r="AI35" i="20" s="1"/>
  <c r="AI40" i="20" s="1"/>
  <c r="AI21" i="20"/>
  <c r="AC29" i="20"/>
  <c r="AC31" i="20" s="1"/>
  <c r="AC35" i="20" s="1"/>
  <c r="AC40" i="20" s="1"/>
  <c r="Q21" i="22"/>
  <c r="Q29" i="22" s="1"/>
  <c r="Q31" i="22" s="1"/>
  <c r="Q35" i="22" s="1"/>
  <c r="Q40" i="22" s="1"/>
  <c r="X28" i="23"/>
  <c r="X30" i="23" s="1"/>
  <c r="X34" i="23" s="1"/>
  <c r="X39" i="23" s="1"/>
  <c r="X20" i="23"/>
  <c r="L20" i="25"/>
  <c r="L29" i="25"/>
  <c r="L31" i="25" s="1"/>
  <c r="L35" i="25" s="1"/>
  <c r="L40" i="25" s="1"/>
  <c r="K29" i="25"/>
  <c r="K31" i="25" s="1"/>
  <c r="K35" i="25" s="1"/>
  <c r="K40" i="25" s="1"/>
  <c r="K20" i="25"/>
  <c r="N97" i="28"/>
  <c r="Q88" i="29"/>
  <c r="J89" i="30"/>
  <c r="R89" i="30"/>
  <c r="J28" i="24"/>
  <c r="J30" i="24" s="1"/>
  <c r="J34" i="24" s="1"/>
  <c r="J39" i="24" s="1"/>
  <c r="I15" i="26"/>
  <c r="I20" i="26" s="1"/>
  <c r="I28" i="26" s="1"/>
  <c r="I30" i="26" s="1"/>
  <c r="I34" i="26" s="1"/>
  <c r="I39" i="26" s="1"/>
  <c r="H42" i="27"/>
  <c r="H87" i="27" s="1"/>
  <c r="P42" i="27"/>
  <c r="P87" i="27" s="1"/>
  <c r="E87" i="27"/>
  <c r="M87" i="27"/>
  <c r="C86" i="27"/>
  <c r="C87" i="27" s="1"/>
  <c r="K86" i="27"/>
  <c r="K87" i="27" s="1"/>
  <c r="E97" i="28"/>
  <c r="J88" i="29"/>
  <c r="J89" i="29" s="1"/>
  <c r="H22" i="30"/>
  <c r="H41" i="30" s="1"/>
  <c r="P22" i="30"/>
  <c r="P41" i="30" s="1"/>
  <c r="P89" i="30" s="1"/>
  <c r="X22" i="30"/>
  <c r="X41" i="30" s="1"/>
  <c r="X89" i="30" s="1"/>
  <c r="Y44" i="30"/>
  <c r="Y88" i="30" s="1"/>
  <c r="K89" i="30"/>
  <c r="D42" i="31"/>
  <c r="E91" i="31"/>
  <c r="H21" i="32"/>
  <c r="H34" i="32" s="1"/>
  <c r="E71" i="32"/>
  <c r="D22" i="33"/>
  <c r="D43" i="33" s="1"/>
  <c r="D95" i="33" s="1"/>
  <c r="Y9" i="23"/>
  <c r="Y15" i="23" s="1"/>
  <c r="D87" i="27"/>
  <c r="L87" i="27"/>
  <c r="M97" i="28"/>
  <c r="C88" i="29"/>
  <c r="C89" i="29" s="1"/>
  <c r="L88" i="30"/>
  <c r="L89" i="30" s="1"/>
  <c r="T88" i="30"/>
  <c r="F91" i="31"/>
  <c r="J91" i="31"/>
  <c r="H29" i="25"/>
  <c r="H31" i="25" s="1"/>
  <c r="H35" i="25" s="1"/>
  <c r="H40" i="25" s="1"/>
  <c r="H20" i="25"/>
  <c r="Q47" i="28"/>
  <c r="K97" i="28"/>
  <c r="D89" i="29"/>
  <c r="L89" i="29"/>
  <c r="U89" i="30"/>
  <c r="I89" i="30"/>
  <c r="C90" i="31"/>
  <c r="K90" i="31"/>
  <c r="D20" i="26"/>
  <c r="D28" i="26" s="1"/>
  <c r="D30" i="26" s="1"/>
  <c r="D34" i="26" s="1"/>
  <c r="D39" i="26" s="1"/>
  <c r="F87" i="27"/>
  <c r="N87" i="27"/>
  <c r="Q96" i="28"/>
  <c r="Q97" i="28" s="1"/>
  <c r="F88" i="30"/>
  <c r="N88" i="30"/>
  <c r="N89" i="30" s="1"/>
  <c r="V88" i="30"/>
  <c r="V89" i="30" s="1"/>
  <c r="Q89" i="30"/>
  <c r="G42" i="31"/>
  <c r="G91" i="31" s="1"/>
  <c r="D90" i="31"/>
  <c r="D91" i="31" s="1"/>
  <c r="E34" i="32"/>
  <c r="H71" i="32"/>
  <c r="C21" i="22"/>
  <c r="C29" i="22" s="1"/>
  <c r="K21" i="22"/>
  <c r="K29" i="22" s="1"/>
  <c r="Q16" i="22"/>
  <c r="I20" i="25"/>
  <c r="G87" i="27"/>
  <c r="O87" i="27"/>
  <c r="Q8" i="29"/>
  <c r="Q45" i="29" s="1"/>
  <c r="F89" i="29"/>
  <c r="O41" i="30"/>
  <c r="O89" i="30" s="1"/>
  <c r="W41" i="30"/>
  <c r="W89" i="30" s="1"/>
  <c r="F72" i="32"/>
  <c r="H20" i="26"/>
  <c r="H28" i="26" s="1"/>
  <c r="H30" i="26" s="1"/>
  <c r="H34" i="26" s="1"/>
  <c r="H39" i="26" s="1"/>
  <c r="N89" i="29"/>
  <c r="K36" i="31"/>
  <c r="K22" i="31" s="1"/>
  <c r="K42" i="31" s="1"/>
  <c r="G34" i="32"/>
  <c r="G72" i="32" s="1"/>
  <c r="F43" i="33"/>
  <c r="C95" i="33"/>
  <c r="J20" i="25"/>
  <c r="Q35" i="7"/>
  <c r="Q37" i="7" s="1"/>
  <c r="F29" i="8"/>
  <c r="F31" i="8" s="1"/>
  <c r="F37" i="8" s="1"/>
  <c r="F42" i="8" s="1"/>
  <c r="F21" i="8"/>
  <c r="N29" i="8"/>
  <c r="N31" i="8" s="1"/>
  <c r="N37" i="8" s="1"/>
  <c r="N42" i="8" s="1"/>
  <c r="N21" i="8"/>
  <c r="V29" i="8"/>
  <c r="V31" i="8" s="1"/>
  <c r="V37" i="8" s="1"/>
  <c r="V42" i="8" s="1"/>
  <c r="V21" i="8"/>
  <c r="G29" i="8"/>
  <c r="G31" i="8" s="1"/>
  <c r="G37" i="8" s="1"/>
  <c r="G42" i="8" s="1"/>
  <c r="G21" i="8"/>
  <c r="P21" i="8"/>
  <c r="P29" i="8"/>
  <c r="P31" i="8" s="1"/>
  <c r="P37" i="8" s="1"/>
  <c r="P42" i="8" s="1"/>
  <c r="S29" i="8"/>
  <c r="S31" i="8" s="1"/>
  <c r="S37" i="8" s="1"/>
  <c r="S42" i="8" s="1"/>
  <c r="S21" i="8"/>
  <c r="M21" i="8"/>
  <c r="I35" i="7"/>
  <c r="I37" i="7" s="1"/>
  <c r="I43" i="7" s="1"/>
  <c r="I48" i="7" s="1"/>
  <c r="I50" i="7" s="1"/>
  <c r="J35" i="7"/>
  <c r="J37" i="7" s="1"/>
  <c r="J43" i="7" s="1"/>
  <c r="J48" i="7" s="1"/>
  <c r="J50" i="7" s="1"/>
  <c r="Q40" i="7"/>
  <c r="L21" i="8"/>
  <c r="L29" i="8"/>
  <c r="L31" i="8" s="1"/>
  <c r="L37" i="8" s="1"/>
  <c r="L42" i="8" s="1"/>
  <c r="C29" i="8"/>
  <c r="C31" i="8" s="1"/>
  <c r="C37" i="8" s="1"/>
  <c r="C42" i="8" s="1"/>
  <c r="C21" i="8"/>
  <c r="W29" i="8"/>
  <c r="W31" i="8" s="1"/>
  <c r="W37" i="8" s="1"/>
  <c r="W42" i="8" s="1"/>
  <c r="W21" i="8"/>
  <c r="H37" i="8"/>
  <c r="H42" i="8" s="1"/>
  <c r="X37" i="8"/>
  <c r="X42" i="8" s="1"/>
  <c r="AJ37" i="8"/>
  <c r="AJ42" i="8" s="1"/>
  <c r="D29" i="8"/>
  <c r="D31" i="8" s="1"/>
  <c r="D37" i="8" s="1"/>
  <c r="D42" i="8" s="1"/>
  <c r="AI93" i="11"/>
  <c r="AS22" i="8"/>
  <c r="AS29" i="8" s="1"/>
  <c r="AS31" i="8" s="1"/>
  <c r="AS37" i="8" s="1"/>
  <c r="AS42" i="8" s="1"/>
  <c r="E29" i="8"/>
  <c r="E31" i="8" s="1"/>
  <c r="E37" i="8" s="1"/>
  <c r="E42" i="8" s="1"/>
  <c r="AP105" i="10"/>
  <c r="AR93" i="11"/>
  <c r="AM105" i="10"/>
  <c r="AG105" i="10"/>
  <c r="K29" i="8"/>
  <c r="K31" i="8" s="1"/>
  <c r="K37" i="8" s="1"/>
  <c r="K42" i="8" s="1"/>
  <c r="K21" i="8"/>
  <c r="AS8" i="10"/>
  <c r="AS48" i="10" s="1"/>
  <c r="AC25" i="10"/>
  <c r="AC48" i="10" s="1"/>
  <c r="Z25" i="10"/>
  <c r="Z48" i="10" s="1"/>
  <c r="AF105" i="10"/>
  <c r="AS27" i="11"/>
  <c r="AS49" i="11" s="1"/>
  <c r="AO49" i="11"/>
  <c r="AS52" i="11"/>
  <c r="AM92" i="11"/>
  <c r="J29" i="8"/>
  <c r="J31" i="8" s="1"/>
  <c r="J37" i="8" s="1"/>
  <c r="J42" i="8" s="1"/>
  <c r="R29" i="8"/>
  <c r="R31" i="8" s="1"/>
  <c r="R37" i="8" s="1"/>
  <c r="R42" i="8" s="1"/>
  <c r="Z29" i="8"/>
  <c r="Z31" i="8" s="1"/>
  <c r="Z37" i="8" s="1"/>
  <c r="Z42" i="8" s="1"/>
  <c r="O29" i="8"/>
  <c r="O31" i="8" s="1"/>
  <c r="O37" i="8" s="1"/>
  <c r="O42" i="8" s="1"/>
  <c r="O21" i="8"/>
  <c r="L48" i="10"/>
  <c r="U25" i="10"/>
  <c r="U48" i="10" s="1"/>
  <c r="AN27" i="11"/>
  <c r="AN49" i="11" s="1"/>
  <c r="AG93" i="11"/>
  <c r="AD92" i="11"/>
  <c r="AA29" i="8"/>
  <c r="AA31" i="8" s="1"/>
  <c r="AA37" i="8" s="1"/>
  <c r="AA42" i="8" s="1"/>
  <c r="AA21" i="8"/>
  <c r="AK25" i="10"/>
  <c r="AK48" i="10" s="1"/>
  <c r="J25" i="10"/>
  <c r="J48" i="10" s="1"/>
  <c r="AS75" i="10"/>
  <c r="AS83" i="11"/>
  <c r="AS51" i="10"/>
  <c r="Q20" i="7"/>
  <c r="M25" i="10"/>
  <c r="M48" i="10" s="1"/>
  <c r="V25" i="10"/>
  <c r="V48" i="10" s="1"/>
  <c r="AS68" i="11"/>
  <c r="F92" i="11"/>
  <c r="N92" i="11"/>
  <c r="V92" i="11"/>
  <c r="AH92" i="11"/>
  <c r="AH93" i="11" s="1"/>
  <c r="AP92" i="11"/>
  <c r="AC78" i="3"/>
  <c r="K102" i="4"/>
  <c r="M100" i="4"/>
  <c r="M21" i="4"/>
  <c r="M94" i="4"/>
  <c r="E20" i="5"/>
  <c r="T20" i="5" s="1"/>
  <c r="T18" i="5"/>
  <c r="AB78" i="3"/>
  <c r="AD78" i="3"/>
  <c r="Y78" i="3"/>
  <c r="M86" i="4"/>
  <c r="H102" i="4"/>
  <c r="I102" i="4"/>
  <c r="M42" i="4"/>
  <c r="F28" i="4"/>
  <c r="M46" i="4"/>
  <c r="M47" i="4" s="1"/>
  <c r="M65" i="4"/>
  <c r="G94" i="4"/>
  <c r="T8" i="5"/>
  <c r="M8" i="4"/>
  <c r="M14" i="4" s="1"/>
  <c r="L21" i="4"/>
  <c r="L102" i="4" s="1"/>
  <c r="F67" i="4"/>
  <c r="M70" i="4"/>
  <c r="M72" i="4" s="1"/>
  <c r="F42" i="4"/>
  <c r="G28" i="4"/>
  <c r="G42" i="4"/>
  <c r="M66" i="4"/>
  <c r="M35" i="4"/>
  <c r="M36" i="4" s="1"/>
  <c r="M53" i="4"/>
  <c r="M54" i="4" s="1"/>
  <c r="M71" i="4"/>
  <c r="F86" i="4"/>
  <c r="G77" i="4"/>
  <c r="G14" i="4"/>
  <c r="M57" i="4"/>
  <c r="M60" i="4" s="1"/>
  <c r="M75" i="4"/>
  <c r="M77" i="4" s="1"/>
  <c r="F94" i="4"/>
  <c r="J78" i="2"/>
  <c r="J77" i="2" s="1"/>
  <c r="I77" i="2"/>
  <c r="F8" i="2"/>
  <c r="M77" i="2"/>
  <c r="K45" i="2"/>
  <c r="K8" i="2" l="1"/>
  <c r="O108" i="2"/>
  <c r="G9" i="2" s="1"/>
  <c r="G8" i="2"/>
  <c r="M67" i="4"/>
  <c r="M102" i="4" s="1"/>
  <c r="F102" i="4"/>
  <c r="AS92" i="11"/>
  <c r="AS93" i="11" s="1"/>
  <c r="AS104" i="10"/>
  <c r="O90" i="39"/>
  <c r="L90" i="39"/>
  <c r="N75" i="43"/>
  <c r="F75" i="43"/>
  <c r="C72" i="32"/>
  <c r="C91" i="31"/>
  <c r="T89" i="30"/>
  <c r="Q90" i="39"/>
  <c r="AC90" i="39"/>
  <c r="E72" i="32"/>
  <c r="O51" i="16"/>
  <c r="O47" i="16"/>
  <c r="O49" i="16"/>
  <c r="O50" i="16"/>
  <c r="O11" i="16"/>
  <c r="O10" i="16"/>
  <c r="P59" i="16"/>
  <c r="G9" i="17"/>
  <c r="G11" i="17" s="1"/>
  <c r="F95" i="33"/>
  <c r="U114" i="12"/>
  <c r="I114" i="12"/>
  <c r="E9" i="17"/>
  <c r="E11" i="17" s="1"/>
  <c r="F9" i="17"/>
  <c r="F11" i="17" s="1"/>
  <c r="O32" i="16"/>
  <c r="O35" i="16"/>
  <c r="P11" i="16"/>
  <c r="P9" i="16"/>
  <c r="P27" i="16"/>
  <c r="P25" i="16"/>
  <c r="O8" i="16"/>
  <c r="P15" i="16"/>
  <c r="P19" i="16"/>
  <c r="P16" i="16"/>
  <c r="P7" i="16"/>
  <c r="O56" i="16"/>
  <c r="O59" i="16" s="1"/>
  <c r="O43" i="16"/>
  <c r="O41" i="16"/>
  <c r="O42" i="16"/>
  <c r="M114" i="12"/>
  <c r="P26" i="16"/>
  <c r="K91" i="31"/>
  <c r="AS20" i="21"/>
  <c r="AS31" i="21"/>
  <c r="AS33" i="21" s="1"/>
  <c r="AS37" i="21" s="1"/>
  <c r="AS42" i="21" s="1"/>
  <c r="Y28" i="23"/>
  <c r="Y30" i="23" s="1"/>
  <c r="Y34" i="23" s="1"/>
  <c r="Y39" i="23" s="1"/>
  <c r="Y20" i="23"/>
  <c r="P35" i="16"/>
  <c r="P31" i="16"/>
  <c r="C39" i="17"/>
  <c r="C7" i="17" s="1"/>
  <c r="C9" i="17" s="1"/>
  <c r="C11" i="17" s="1"/>
  <c r="O48" i="16"/>
  <c r="E67" i="17"/>
  <c r="E8" i="17" s="1"/>
  <c r="AS21" i="20"/>
  <c r="AS29" i="20"/>
  <c r="AS31" i="20" s="1"/>
  <c r="AS35" i="20" s="1"/>
  <c r="AS40" i="20" s="1"/>
  <c r="H72" i="32"/>
  <c r="Q89" i="29"/>
  <c r="Y89" i="30"/>
  <c r="N59" i="16"/>
  <c r="P32" i="16"/>
  <c r="P39" i="16"/>
  <c r="E114" i="12"/>
  <c r="Q114" i="12"/>
  <c r="AS105" i="10"/>
  <c r="Q43" i="7"/>
  <c r="Q48" i="7" s="1"/>
  <c r="Q50" i="7" s="1"/>
  <c r="G102" i="4"/>
  <c r="K44" i="2"/>
  <c r="L45" i="2"/>
  <c r="L44" i="2" s="1"/>
</calcChain>
</file>

<file path=xl/sharedStrings.xml><?xml version="1.0" encoding="utf-8"?>
<sst xmlns="http://schemas.openxmlformats.org/spreadsheetml/2006/main" count="8866" uniqueCount="1169">
  <si>
    <t>Planilha de Dados Operacionais e Financeiros</t>
  </si>
  <si>
    <t>Maranhão</t>
  </si>
  <si>
    <t>Pará</t>
  </si>
  <si>
    <t>Piauí</t>
  </si>
  <si>
    <t>Alagoas</t>
  </si>
  <si>
    <t>CEEE-D</t>
  </si>
  <si>
    <t>CEA</t>
  </si>
  <si>
    <t>Goiás</t>
  </si>
  <si>
    <t>BRR Líquida (Última RTP) - R$ Milhões</t>
  </si>
  <si>
    <t>Parcela B Vigente - R$ Milhões</t>
  </si>
  <si>
    <t>Tarifa fio B Vigente - R$</t>
  </si>
  <si>
    <t>Último processo Tarifário</t>
  </si>
  <si>
    <t>RTA 2023</t>
  </si>
  <si>
    <t>RTP 2023</t>
  </si>
  <si>
    <t>RTA 2022</t>
  </si>
  <si>
    <t>Contrato Antigo</t>
  </si>
  <si>
    <t>Processo</t>
  </si>
  <si>
    <t>RTP</t>
  </si>
  <si>
    <t>RTA</t>
  </si>
  <si>
    <t>BRR Líquida</t>
  </si>
  <si>
    <t>Próxima RTP - 2025 (4 anos)</t>
  </si>
  <si>
    <t>Vencimento da Concessão - ago/30</t>
  </si>
  <si>
    <t>Custo de Administração, Operação e Manutenção (CAOM)</t>
  </si>
  <si>
    <t>Custos Operacionais (CO)</t>
  </si>
  <si>
    <t>Receitas Irrecuperáveis - Encargos Setoriais (Vi)</t>
  </si>
  <si>
    <t>Demais Receitas Irrecuperáveis (Vse)</t>
  </si>
  <si>
    <t>Custo Anual dos Ativos (CAA)</t>
  </si>
  <si>
    <t>Remuneração do Capital (RC)</t>
  </si>
  <si>
    <t>Quota de Reintegração Regulatória (QRR)</t>
  </si>
  <si>
    <t>Custo anual das instalações móveis e imóveis (CAIMI)</t>
  </si>
  <si>
    <t>CAOM + CAA</t>
  </si>
  <si>
    <t>VPB com ajustes de Mercado e Qualidade</t>
  </si>
  <si>
    <t>Ajuste de PB associado ao SCEE</t>
  </si>
  <si>
    <t>(-) UDEROR</t>
  </si>
  <si>
    <t>Parcela B (VPB) - R$ Milhões</t>
  </si>
  <si>
    <t>Mercado (GWh)</t>
  </si>
  <si>
    <t>Tarifa Fio B - R$</t>
  </si>
  <si>
    <t>Fator X</t>
  </si>
  <si>
    <t>Pd</t>
  </si>
  <si>
    <t>T</t>
  </si>
  <si>
    <t>Q</t>
  </si>
  <si>
    <t>Próxima RTP - 2027 (4 anos)</t>
  </si>
  <si>
    <t>Vencimento da Concessão - jul/28</t>
  </si>
  <si>
    <t>Contrato Novo</t>
  </si>
  <si>
    <t>RTE</t>
  </si>
  <si>
    <t>Próxima RTP - 2023 (5 anos)</t>
  </si>
  <si>
    <t>Vencimento da Concessão - out/48</t>
  </si>
  <si>
    <t>Próxima RTP - 2024 (5 anos)</t>
  </si>
  <si>
    <t>Vencimento da Concessão - mar/49</t>
  </si>
  <si>
    <t>Próxima RTP - 2026 (5 anos)</t>
  </si>
  <si>
    <t>Vencimento da Concessão - jul/45</t>
  </si>
  <si>
    <t>Próxima RTP - 2027 (5 anos)</t>
  </si>
  <si>
    <t>Vencimento da Concessão - nov/51</t>
  </si>
  <si>
    <t>Informações Financeiras</t>
  </si>
  <si>
    <t>Informações Operacionais</t>
  </si>
  <si>
    <t>Informações Regulatórias</t>
  </si>
  <si>
    <t>Investimentos (R$MM)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</si>
  <si>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</si>
  <si>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</si>
  <si>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</si>
  <si>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</si>
  <si>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</si>
  <si>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</si>
  <si>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</si>
  <si>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</si>
  <si>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</si>
  <si>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</si>
  <si>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</si>
  <si>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</si>
  <si>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</si>
  <si>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</si>
  <si>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</si>
  <si>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</si>
  <si>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</si>
  <si>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</si>
  <si>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</si>
  <si>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</si>
  <si>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</si>
  <si>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</si>
  <si>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3T22</t>
  </si>
  <si>
    <t>4T22</t>
  </si>
  <si>
    <t>1T23</t>
  </si>
  <si>
    <t>2T23</t>
  </si>
  <si>
    <t>3T23</t>
  </si>
  <si>
    <t>Ativos elétricos</t>
  </si>
  <si>
    <t>Obrigações especiais</t>
  </si>
  <si>
    <t>Ativos não elétricos</t>
  </si>
  <si>
    <t>Total</t>
  </si>
  <si>
    <t>Geramar</t>
  </si>
  <si>
    <t>Geração</t>
  </si>
  <si>
    <t>Transmissão</t>
  </si>
  <si>
    <t>SPEs</t>
  </si>
  <si>
    <t>Intesa</t>
  </si>
  <si>
    <t>Serviços</t>
  </si>
  <si>
    <t>Telecom</t>
  </si>
  <si>
    <t>Enova</t>
  </si>
  <si>
    <t>Echoenergia</t>
  </si>
  <si>
    <t>Projetos em Construção</t>
  </si>
  <si>
    <t>Manutenção, Renovação e Melhorias</t>
  </si>
  <si>
    <t>Outros Investimentos</t>
  </si>
  <si>
    <t>Saneamento</t>
  </si>
  <si>
    <t>CSA</t>
  </si>
  <si>
    <t>Indexador</t>
  </si>
  <si>
    <t>Spread</t>
  </si>
  <si>
    <t>2027 a 2034</t>
  </si>
  <si>
    <t>2035 a 2044</t>
  </si>
  <si>
    <t>2044 a 2049</t>
  </si>
  <si>
    <t>Moeda Nacional</t>
  </si>
  <si>
    <t>% do CDI</t>
  </si>
  <si>
    <t>CDI+</t>
  </si>
  <si>
    <t>IPCA</t>
  </si>
  <si>
    <t>IGP-M</t>
  </si>
  <si>
    <t>Pré-fixado (R$)</t>
  </si>
  <si>
    <t>AVP/Custo de Captação</t>
  </si>
  <si>
    <t>Equatorial Pará (Total)</t>
  </si>
  <si>
    <t>CDI +</t>
  </si>
  <si>
    <t>Equatorial Maranhão (Total)</t>
  </si>
  <si>
    <t>Equatorial Piauí (Total)</t>
  </si>
  <si>
    <t>SELIC</t>
  </si>
  <si>
    <t>Equatorial Alagoas (Total)</t>
  </si>
  <si>
    <t>Rio Grande do Sul</t>
  </si>
  <si>
    <t>Equatorial Rio Grande do Sul (Total)</t>
  </si>
  <si>
    <t>AMAPÁ</t>
  </si>
  <si>
    <t>Equatorial Energia (Total)</t>
  </si>
  <si>
    <t>IPCA+</t>
  </si>
  <si>
    <t>Equatorial Transmissão</t>
  </si>
  <si>
    <t>Equatorial Transmissão (Total)</t>
  </si>
  <si>
    <t>Intesa (Total)</t>
  </si>
  <si>
    <t>ENOVA</t>
  </si>
  <si>
    <t>Enova (Total)</t>
  </si>
  <si>
    <t>Telecom (Total)</t>
  </si>
  <si>
    <t>TJLP+</t>
  </si>
  <si>
    <t>Echoenergia (Total)</t>
  </si>
  <si>
    <t>Equatorial Goiás</t>
  </si>
  <si>
    <t>Equatorial Goias (Total)</t>
  </si>
  <si>
    <t>Equatorial 
Energia</t>
  </si>
  <si>
    <t>Equatorial Consolidado</t>
  </si>
  <si>
    <t>Equatorial Energia</t>
  </si>
  <si>
    <t>EQTL Transmissão</t>
  </si>
  <si>
    <t>EQTL Serviços</t>
  </si>
  <si>
    <t>CELG</t>
  </si>
  <si>
    <t>Equatorial</t>
  </si>
  <si>
    <t>EQTL Part</t>
  </si>
  <si>
    <t>Consolidado</t>
  </si>
  <si>
    <t>Distribuição</t>
  </si>
  <si>
    <t>Dívida bruta</t>
  </si>
  <si>
    <t>Disponibilidades</t>
  </si>
  <si>
    <t>Ativo reg. líquido</t>
  </si>
  <si>
    <t>Sub rogação CCC</t>
  </si>
  <si>
    <t>Ativos financeiros sobras fisicas</t>
  </si>
  <si>
    <t>Mútuo</t>
  </si>
  <si>
    <t>Baixa Renda a Receber</t>
  </si>
  <si>
    <t>Dep. Judicial de bancos</t>
  </si>
  <si>
    <t>Swap</t>
  </si>
  <si>
    <t>Dívida líquida</t>
  </si>
  <si>
    <t>Part. EQTL</t>
  </si>
  <si>
    <t>Dívida Líquida (Proporcional)</t>
  </si>
  <si>
    <t>Dívida Curto prazo</t>
  </si>
  <si>
    <t>Custo Médio: 12,66% a.a.</t>
  </si>
  <si>
    <t>Prazo Médio: 4,4 anos</t>
  </si>
  <si>
    <t>Data base: 30/09/2023</t>
  </si>
  <si>
    <t>Empresa</t>
  </si>
  <si>
    <t>Grupo</t>
  </si>
  <si>
    <t>Instituição</t>
  </si>
  <si>
    <t>Moeda</t>
  </si>
  <si>
    <t>Início</t>
  </si>
  <si>
    <t>Vencto</t>
  </si>
  <si>
    <t>Encargos Financeiros</t>
  </si>
  <si>
    <t>Prazo Médio (anos)</t>
  </si>
  <si>
    <t>Frequencia Amortização</t>
  </si>
  <si>
    <t>Total Contabilizado</t>
  </si>
  <si>
    <t>Equatorial Pará</t>
  </si>
  <si>
    <t>Empréstimos e Financiamentos RJ - Moeda Nacional</t>
  </si>
  <si>
    <t>DAYCOVAL</t>
  </si>
  <si>
    <t>PRÉ-FIXADO</t>
  </si>
  <si>
    <t>R$</t>
  </si>
  <si>
    <t>Bullet</t>
  </si>
  <si>
    <t>BANPARÁ</t>
  </si>
  <si>
    <t>Semestral</t>
  </si>
  <si>
    <t>BNB</t>
  </si>
  <si>
    <t>Banco do Brasil</t>
  </si>
  <si>
    <t>BASA</t>
  </si>
  <si>
    <t>Mensal</t>
  </si>
  <si>
    <t>Empréstimos e Financiamentos - Moeda Estrangeira</t>
  </si>
  <si>
    <t>Scotiabank</t>
  </si>
  <si>
    <t>U$ SWAP</t>
  </si>
  <si>
    <t>US$</t>
  </si>
  <si>
    <t>Empréstimos e Financiamentos - Moeda Nacional</t>
  </si>
  <si>
    <t>CEF</t>
  </si>
  <si>
    <t>BNDES</t>
  </si>
  <si>
    <t xml:space="preserve">Debêntures </t>
  </si>
  <si>
    <t>Debêntures</t>
  </si>
  <si>
    <t>Anual</t>
  </si>
  <si>
    <t>CDI</t>
  </si>
  <si>
    <t>(-) Custo de captação</t>
  </si>
  <si>
    <t>CCAP/AVP</t>
  </si>
  <si>
    <t>(-) Custo de Captação Debentures</t>
  </si>
  <si>
    <t>AVP</t>
  </si>
  <si>
    <t>Equatorial Maranhão</t>
  </si>
  <si>
    <t>IBM</t>
  </si>
  <si>
    <t>Mensal após carência</t>
  </si>
  <si>
    <t>Equatorial Piauí</t>
  </si>
  <si>
    <t>CCEE</t>
  </si>
  <si>
    <t>SANTANDER</t>
  </si>
  <si>
    <t>China Construction Bank</t>
  </si>
  <si>
    <t>Equatorial Alagoas</t>
  </si>
  <si>
    <t>BOFA</t>
  </si>
  <si>
    <t>INTESA</t>
  </si>
  <si>
    <t>EQTT</t>
  </si>
  <si>
    <t>BOCOM</t>
  </si>
  <si>
    <t>SPE01</t>
  </si>
  <si>
    <t>SPE02</t>
  </si>
  <si>
    <t>SPE03</t>
  </si>
  <si>
    <t xml:space="preserve"> Mensal </t>
  </si>
  <si>
    <t xml:space="preserve"> Semestral </t>
  </si>
  <si>
    <t>SPE04</t>
  </si>
  <si>
    <t>SPE05</t>
  </si>
  <si>
    <t>SPE06</t>
  </si>
  <si>
    <t>SPE07</t>
  </si>
  <si>
    <t>SPE08</t>
  </si>
  <si>
    <t>SMBC</t>
  </si>
  <si>
    <t>CITIBANK</t>
  </si>
  <si>
    <t>Semestral após carência</t>
  </si>
  <si>
    <t>NP</t>
  </si>
  <si>
    <t>Nota Comercial</t>
  </si>
  <si>
    <t>Anual após carência</t>
  </si>
  <si>
    <t>Equatorial Telecom</t>
  </si>
  <si>
    <t>15/06/2033</t>
  </si>
  <si>
    <t>TJLP</t>
  </si>
  <si>
    <t>15/05/2033</t>
  </si>
  <si>
    <t>27/05/2032</t>
  </si>
  <si>
    <t>27/05/2033</t>
  </si>
  <si>
    <t>15/10/2029</t>
  </si>
  <si>
    <t>15/10/2032</t>
  </si>
  <si>
    <t>15/12/2038</t>
  </si>
  <si>
    <t>15/04/2037</t>
  </si>
  <si>
    <t>15/10/2037</t>
  </si>
  <si>
    <t>15/11/2037</t>
  </si>
  <si>
    <t>15/03/2038</t>
  </si>
  <si>
    <t>15/12/2035</t>
  </si>
  <si>
    <t>SAFRA</t>
  </si>
  <si>
    <t>CELGPAR</t>
  </si>
  <si>
    <t>ENEL BR</t>
  </si>
  <si>
    <t>-</t>
  </si>
  <si>
    <t>Equatorial Energia - Consolidado</t>
  </si>
  <si>
    <t>Demonstração do resultado (R$ mil) - IFRS</t>
  </si>
  <si>
    <t>Receita operacional</t>
  </si>
  <si>
    <t>Fornecimento de energia elétrica</t>
  </si>
  <si>
    <t>Suprimento de energia elétrica</t>
  </si>
  <si>
    <t>Receita de construção</t>
  </si>
  <si>
    <t>Operações com Transmissão de Energia Elétrica</t>
  </si>
  <si>
    <t>Receita de Operação e Manutenção</t>
  </si>
  <si>
    <t>Geração de energia elétrica</t>
  </si>
  <si>
    <t>Abastecimento de água e serviços de esgoto</t>
  </si>
  <si>
    <t>Outras receitas</t>
  </si>
  <si>
    <t>Deduções à receita operacional</t>
  </si>
  <si>
    <t>Receita operacional líquida</t>
  </si>
  <si>
    <t>Custo do serviço de energia elétrica</t>
  </si>
  <si>
    <t>Energia elétrica comprada para revenda</t>
  </si>
  <si>
    <t>Ativo de contrato - Perda de realização</t>
  </si>
  <si>
    <t>Encargo uso do sistema de transmissão e distribuição</t>
  </si>
  <si>
    <t>Custos de construção</t>
  </si>
  <si>
    <t>Outras despesas não-gerenciáveis</t>
  </si>
  <si>
    <t>Margem Bruta Operacional</t>
  </si>
  <si>
    <t>Custo/despesa operacional</t>
  </si>
  <si>
    <t>Pessoal</t>
  </si>
  <si>
    <t>Material</t>
  </si>
  <si>
    <t>Serviço de terceiros</t>
  </si>
  <si>
    <t>Provisões</t>
  </si>
  <si>
    <t>Subvenção CCC</t>
  </si>
  <si>
    <t>Outros</t>
  </si>
  <si>
    <t>Outras receitas/despesas operacionais</t>
  </si>
  <si>
    <t>EBITDA</t>
  </si>
  <si>
    <t>Depreciação e amortização</t>
  </si>
  <si>
    <t>Resultado do serviço</t>
  </si>
  <si>
    <t>Equivalencia patrimonial</t>
  </si>
  <si>
    <t>Amortização de ágio</t>
  </si>
  <si>
    <t>Resultado financeiro</t>
  </si>
  <si>
    <t>Receitas financeiras</t>
  </si>
  <si>
    <t>Despesas financeiras</t>
  </si>
  <si>
    <t xml:space="preserve">Resultado operacional </t>
  </si>
  <si>
    <t>Contribuição social</t>
  </si>
  <si>
    <t>Imposto de renda</t>
  </si>
  <si>
    <t>Impostos diferidos</t>
  </si>
  <si>
    <t>Incentivos fiscais</t>
  </si>
  <si>
    <t>Resultado do exercício</t>
  </si>
  <si>
    <t>Participações minoritárias</t>
  </si>
  <si>
    <t>Lucro do exercício atribuído aos acionistas da controladora</t>
  </si>
  <si>
    <t>Equatorial Energia - Controladora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</si>
  <si>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</si>
  <si>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</si>
  <si>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</si>
  <si>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</si>
  <si>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</si>
  <si>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</si>
  <si>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</si>
  <si>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</si>
  <si>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</si>
  <si>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</si>
  <si>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</si>
  <si>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</si>
  <si>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</si>
  <si>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</si>
  <si>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</si>
  <si>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</si>
  <si>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Deduções da receita operacional</t>
  </si>
  <si>
    <t>Resultados 3T23</t>
  </si>
  <si>
    <t>Demonstração do resultado por empresa (R$ mil)</t>
  </si>
  <si>
    <t>Holding</t>
  </si>
  <si>
    <t>Demais Veículos</t>
  </si>
  <si>
    <t>Eliminações</t>
  </si>
  <si>
    <t xml:space="preserve">Receita Operacional </t>
  </si>
  <si>
    <t>Variações das margens do ativo de contrato</t>
  </si>
  <si>
    <t>Sistemas Isolados e Subv. CCC</t>
  </si>
  <si>
    <t>Resultado antes do imposto de renda</t>
  </si>
  <si>
    <t>Ativo (R$ MM)</t>
  </si>
  <si>
    <t>Circulante</t>
  </si>
  <si>
    <t>Caixa e equivalentes de caixa</t>
  </si>
  <si>
    <t>Aplicações financeiras</t>
  </si>
  <si>
    <t>Contas a receber de clientes</t>
  </si>
  <si>
    <t>Contas a receber - bandeiras tarifárias</t>
  </si>
  <si>
    <t>Aquisição de combustível - conta CCC</t>
  </si>
  <si>
    <t>Serviços Pedidos</t>
  </si>
  <si>
    <t>Valores a receber da parcela A e outros itens financeiros</t>
  </si>
  <si>
    <t>Depósitos Judiciais</t>
  </si>
  <si>
    <t>Instrumentos financeiros derivativos</t>
  </si>
  <si>
    <t>Almoxarifado</t>
  </si>
  <si>
    <t>Impostos e contribuições a recuperar</t>
  </si>
  <si>
    <t>Impostos e contribuições sobre o lucro a recuperar</t>
  </si>
  <si>
    <t>Recuperação de custo de energia e encargos</t>
  </si>
  <si>
    <t>Outras contas a receber</t>
  </si>
  <si>
    <t>Ativo de contrato</t>
  </si>
  <si>
    <t>Dividendos a receber</t>
  </si>
  <si>
    <t>Não circulante</t>
  </si>
  <si>
    <t>Realizável a longo prazo</t>
  </si>
  <si>
    <t>Sub-rogação da CCC - valores aplicados</t>
  </si>
  <si>
    <t>Depósitos judiciais</t>
  </si>
  <si>
    <t>Imposto de renda e contribuição social diferidos</t>
  </si>
  <si>
    <t xml:space="preserve">Benefício pós-emprego </t>
  </si>
  <si>
    <t>Ativo financeiro da concessão</t>
  </si>
  <si>
    <t>Permanente</t>
  </si>
  <si>
    <t>Investimentos</t>
  </si>
  <si>
    <t>Adiantamento a fornecedor</t>
  </si>
  <si>
    <t>Imobilizado</t>
  </si>
  <si>
    <t>Intangível</t>
  </si>
  <si>
    <t>Direito de Uso</t>
  </si>
  <si>
    <t>Total do ativo</t>
  </si>
  <si>
    <t>Passivo e patrimônio líquido   (R$ MM)</t>
  </si>
  <si>
    <t>Fornecedores</t>
  </si>
  <si>
    <t>Fornecedores - Risco Sacado</t>
  </si>
  <si>
    <t>Obrigações e encargos sobre folha de pagamento</t>
  </si>
  <si>
    <t>Empréstimos e Financiamentos</t>
  </si>
  <si>
    <t>Valores a devolver da parcela A e outros itens financeiros</t>
  </si>
  <si>
    <t>Impostos e contribuições a recolher</t>
  </si>
  <si>
    <t>Impostos e contribuições sobre o lucro a recolher</t>
  </si>
  <si>
    <t>Dividendos a pagar</t>
  </si>
  <si>
    <t>Devolução de capital social a liquidar</t>
  </si>
  <si>
    <t>Contribuição de iluminação pública</t>
  </si>
  <si>
    <t>Encargos setoriais</t>
  </si>
  <si>
    <t>Participação nos lucros</t>
  </si>
  <si>
    <t>PIS e COFINS diferidos</t>
  </si>
  <si>
    <t>Valores a pagar de acordo com o plano de recuperação judicial</t>
  </si>
  <si>
    <t>Provisões para riscos cíveis, fiscais, trabalhistas, regulatórios e ambientais</t>
  </si>
  <si>
    <t>PIS/COFINS a serem restituídos a consumidores</t>
  </si>
  <si>
    <t>Passivo de arrendamento</t>
  </si>
  <si>
    <t>Compromissos Futuros</t>
  </si>
  <si>
    <t>Outras contas a pagar</t>
  </si>
  <si>
    <t>Empréstimos e financiamentos</t>
  </si>
  <si>
    <t>Encargos setorial CCC</t>
  </si>
  <si>
    <t>Provisão para perda em investimento</t>
  </si>
  <si>
    <t>Participação minoritária</t>
  </si>
  <si>
    <t>Patrimônio líquido</t>
  </si>
  <si>
    <t>Capital Social</t>
  </si>
  <si>
    <t>Ajuste de avaliação patrimonial</t>
  </si>
  <si>
    <t>Reservas de capital</t>
  </si>
  <si>
    <t>Outros resultados abrangentes</t>
  </si>
  <si>
    <t>Reservas de lucros</t>
  </si>
  <si>
    <t>Resultado do período</t>
  </si>
  <si>
    <t>Ações em tesouraria</t>
  </si>
  <si>
    <t>AFAC</t>
  </si>
  <si>
    <t xml:space="preserve">Total do passivo e patrimônio líquido </t>
  </si>
  <si>
    <t>Equatorial Energia - Holding</t>
  </si>
  <si>
    <t>Investimentos de curto prazo</t>
  </si>
  <si>
    <t>Valores a receber de parcela A e outros itens financeiros</t>
  </si>
  <si>
    <t>Partes relacionadas</t>
  </si>
  <si>
    <t>Estoques</t>
  </si>
  <si>
    <t xml:space="preserve">Dividendos a Receber </t>
  </si>
  <si>
    <t>Mútuos</t>
  </si>
  <si>
    <t>Ativos Contratuais</t>
  </si>
  <si>
    <t>Títulos e Valores Mobiliários</t>
  </si>
  <si>
    <t>Valores a receber da parcela A 
e outros itens financeiros</t>
  </si>
  <si>
    <t>Imposto de renda e contribuições social diferidos</t>
  </si>
  <si>
    <t>Outros créditos a receber</t>
  </si>
  <si>
    <t xml:space="preserve">Adiantamento para Futuro Aumento de Capital </t>
  </si>
  <si>
    <t>Impostos e contribuições sobre lucro a recolher</t>
  </si>
  <si>
    <t xml:space="preserve">Dividendos </t>
  </si>
  <si>
    <t>Provisão para processos cíveis, fiscais e trabalhistas</t>
  </si>
  <si>
    <t xml:space="preserve">Imposto de Renda e Contribuição Social Diferidos </t>
  </si>
  <si>
    <t>Provisão para perdas em investimentos</t>
  </si>
  <si>
    <t>Valores a pagar da recuperação judicial</t>
  </si>
  <si>
    <t>Valores a devolver da parcela A</t>
  </si>
  <si>
    <t>Plano de aposentadoria e pensão</t>
  </si>
  <si>
    <t>Capital social</t>
  </si>
  <si>
    <t>Lucros acumulados</t>
  </si>
  <si>
    <t>Classes de consumo (MWh)</t>
  </si>
  <si>
    <t>Residencial</t>
  </si>
  <si>
    <t>Industrial</t>
  </si>
  <si>
    <t>Comercial</t>
  </si>
  <si>
    <t>Total (cativo)</t>
  </si>
  <si>
    <t>Consumidores livres</t>
  </si>
  <si>
    <t xml:space="preserve">Energia de Conexão - outras Distribuidoras </t>
  </si>
  <si>
    <t>(-) Energia de Compensação GD (A)</t>
  </si>
  <si>
    <t>Total Distribuida - Maranhão* (B)</t>
  </si>
  <si>
    <t>Total Faturada (B) - (A)</t>
  </si>
  <si>
    <t xml:space="preserve">(*) Inclui mercados cativo, livre, uso distribuidora e consumo próprio </t>
  </si>
  <si>
    <t>Total Distribuida - Pará (B)</t>
  </si>
  <si>
    <t>Total Distribuida - Piauí (B)</t>
  </si>
  <si>
    <t>Total Distribuida - Alagoas (B)</t>
  </si>
  <si>
    <t>Total Distribuida - CEEE (B)</t>
  </si>
  <si>
    <t>Total Distribuida - CEA (B)</t>
  </si>
  <si>
    <t>Total Faturada - Equatorial</t>
  </si>
  <si>
    <t xml:space="preserve">Número de consumidores </t>
  </si>
  <si>
    <t>Residencial - convencional</t>
  </si>
  <si>
    <t>Residencial - baixa renda</t>
  </si>
  <si>
    <t>Total Maranhão</t>
  </si>
  <si>
    <t>Total Pará</t>
  </si>
  <si>
    <t>Total Piauí</t>
  </si>
  <si>
    <t>Total Alagoas</t>
  </si>
  <si>
    <t>Total CEEE-D</t>
  </si>
  <si>
    <t>Total CEA</t>
  </si>
  <si>
    <t>Total Goiás</t>
  </si>
  <si>
    <t>Consumidores Consolidado</t>
  </si>
  <si>
    <t>Bal. energético (MWh) - Maranhão</t>
  </si>
  <si>
    <t>Sistema interligado</t>
  </si>
  <si>
    <t>Energia injetada pela Geração Distribuída</t>
  </si>
  <si>
    <t>Energia injetada</t>
  </si>
  <si>
    <t>Energia distribuída*</t>
  </si>
  <si>
    <t>Energia de conexão com outras distribuidoras</t>
  </si>
  <si>
    <t xml:space="preserve">Perdas totais </t>
  </si>
  <si>
    <t xml:space="preserve">Perdas sem Geração Distribuída </t>
  </si>
  <si>
    <t xml:space="preserve">(*) Inclui mercados cativo e livre e consumo próprio </t>
  </si>
  <si>
    <t>Bal. energético (MWh) - Pará</t>
  </si>
  <si>
    <t>Sistema isolado</t>
  </si>
  <si>
    <t>(*) Inclui mercados cativo e livre, consumo próprio.</t>
  </si>
  <si>
    <t>Bal. energético (MWh) - Piauí</t>
  </si>
  <si>
    <t>Bal. energético (MWh) - Alagoas</t>
  </si>
  <si>
    <t>Bal. energético (MWh) - CEEE-D</t>
  </si>
  <si>
    <t>Bal. energético (MWh) - CEA</t>
  </si>
  <si>
    <t>Bal. energético (MWh) - Goiás</t>
  </si>
  <si>
    <t>Bal. energético Consolidado (MWh) - Total</t>
  </si>
  <si>
    <t>Maranhão - últ. 12 meses (%)</t>
  </si>
  <si>
    <t>PT / Inj</t>
  </si>
  <si>
    <t>PT / Inj - Regulatória</t>
  </si>
  <si>
    <t>PNT / BT</t>
  </si>
  <si>
    <t>PNT / BT - Regulatória</t>
  </si>
  <si>
    <t>Pará (%) - últ. 12 meses (%)</t>
  </si>
  <si>
    <t>Piauí (%) - últ. 12 meses (%)</t>
  </si>
  <si>
    <t>Alagoas (%) - últ. 12 meses (%)</t>
  </si>
  <si>
    <t>CEEE-D (%) - últ. 12 meses (%)</t>
  </si>
  <si>
    <t>CEA (%) - últ. 12 meses (%)</t>
  </si>
  <si>
    <t>Goiás (%) - últ. 12 meses (%)</t>
  </si>
  <si>
    <t>Em relação à cobertura tarifária para compra de energia da CEA, cumpre destacar que além do valor usual implícito no nível de perdas  regulatórias, na REH 3.006, de 16 de dezembro DE 2021, a ANEEL homologou o valor de adicional R$ 89.372.044,46, a ser recebido em 12 parcelas no período Dez/21 a Nov/22, referente ao Parágrafo único do Art. 4º B da Lei 12.111, de 9 de dezembro de 2009. Este mecanismo complementar, previsto em Lei, se extingue no processo tarifário de 2025, e o montante de energia associado será reduzido gradativamente 25% a cada ano, partindo do processo de 2021</t>
  </si>
  <si>
    <t>Maranhão - últ. 12 meses</t>
  </si>
  <si>
    <t>DEC (12 meses)</t>
  </si>
  <si>
    <t>DEC - Regulatório</t>
  </si>
  <si>
    <t>FEC (12 meses)</t>
  </si>
  <si>
    <t>FEC - Regulatório</t>
  </si>
  <si>
    <t>Pará - últ. 12 meses</t>
  </si>
  <si>
    <t> 36,43</t>
  </si>
  <si>
    <t> 31,54</t>
  </si>
  <si>
    <t>36,56 </t>
  </si>
  <si>
    <t>33,72 </t>
  </si>
  <si>
    <t>31,22 </t>
  </si>
  <si>
    <t>Piauí - últ. 12 meses</t>
  </si>
  <si>
    <t>Alagoas - últ. 12 meses</t>
  </si>
  <si>
    <t>CEEE-D - últ. 12 meses</t>
  </si>
  <si>
    <t>CEA - últ. 12 meses</t>
  </si>
  <si>
    <t>Goiás - últ. 12 meses</t>
  </si>
  <si>
    <t>Contratos  (MWh)</t>
  </si>
  <si>
    <t>Fonte hídrica</t>
  </si>
  <si>
    <t>Fonte térmica</t>
  </si>
  <si>
    <t>Cotas de garantia física</t>
  </si>
  <si>
    <t>Outras fontes</t>
  </si>
  <si>
    <t>Total - MWh</t>
  </si>
  <si>
    <t>Em 30.09.2023</t>
  </si>
  <si>
    <t>Ativos/Passivos Regulatórios Líquidos</t>
  </si>
  <si>
    <t>Ativos regulatórios</t>
  </si>
  <si>
    <t>Passivos regulatórios</t>
  </si>
  <si>
    <t>Ativo Regulatório Líquido (p/ Dívida Líquida)</t>
  </si>
  <si>
    <t>Rec. ult. demanda / energia reativa</t>
  </si>
  <si>
    <t>Ativo regulatório líquido</t>
  </si>
  <si>
    <t>Ativos Regulatórios</t>
  </si>
  <si>
    <t>Constituição CVAs</t>
  </si>
  <si>
    <t>CDE</t>
  </si>
  <si>
    <t>Proinfa</t>
  </si>
  <si>
    <t>ESS</t>
  </si>
  <si>
    <t>Itaipu</t>
  </si>
  <si>
    <t>Rede básica</t>
  </si>
  <si>
    <t>Compra de energia</t>
  </si>
  <si>
    <t>Neutralidade</t>
  </si>
  <si>
    <t>Sobrecontratação</t>
  </si>
  <si>
    <t>Amortização CVAs</t>
  </si>
  <si>
    <t>Energia RTE</t>
  </si>
  <si>
    <t>Neutralidade parc. A</t>
  </si>
  <si>
    <t>Outros ativos regulatórios</t>
  </si>
  <si>
    <t>PIS/COFINS</t>
  </si>
  <si>
    <t>Garantia CCEAR</t>
  </si>
  <si>
    <t>Saldo final</t>
  </si>
  <si>
    <t>Passivos Regulatórios</t>
  </si>
  <si>
    <t>CEPISA violação do limite de continuidade</t>
  </si>
  <si>
    <t>Exposição financeira</t>
  </si>
  <si>
    <t>Devolução PIS/COFINS</t>
  </si>
  <si>
    <t>Em 30/09/2023</t>
  </si>
  <si>
    <t>Sistemas Isolados (Pará)</t>
  </si>
  <si>
    <t>Receitas / Reembolsos</t>
  </si>
  <si>
    <t>Receita de ACR</t>
  </si>
  <si>
    <t>(-) Pis/Cofins</t>
  </si>
  <si>
    <t>Custos / Despesas</t>
  </si>
  <si>
    <t>Contratação de energia e potência - SI</t>
  </si>
  <si>
    <t>Superávit (Défict) do SI</t>
  </si>
  <si>
    <t>Energia Injetada (GWh)</t>
  </si>
  <si>
    <t>Sistemas Isolados (Amapá)</t>
  </si>
  <si>
    <t>Em 31.12.2022</t>
  </si>
  <si>
    <t>Em 31.03.2023</t>
  </si>
  <si>
    <t>Em 30.06.2023</t>
  </si>
  <si>
    <t>IRPJ / CSLL 4T22 (R$ milhões)</t>
  </si>
  <si>
    <t>IRPJ / CSLL 1T23 (R$ milhões)</t>
  </si>
  <si>
    <t>IRPJ / CSLL 2T23 (R$ milhões)</t>
  </si>
  <si>
    <t>IRPJ / CSLL 3T23 (R$ milhões)</t>
  </si>
  <si>
    <t>LAIR (a)</t>
  </si>
  <si>
    <t>Despesas IRPJ / CSLL</t>
  </si>
  <si>
    <t>(+) Ativo Fiscal Diferido</t>
  </si>
  <si>
    <t>(=) Imposto Calculado</t>
  </si>
  <si>
    <t>(=) Imposto Caixa (b)</t>
  </si>
  <si>
    <t>(b/a) Taxa Efetiva</t>
  </si>
  <si>
    <t>Lucro Real</t>
  </si>
  <si>
    <t>Taxa Efetiva sobre Lucro Real</t>
  </si>
  <si>
    <t>OK</t>
  </si>
  <si>
    <t>IRPJ / CSLL 4T21 (R$ milhões)</t>
  </si>
  <si>
    <t>IRPJ / CSLL 1T22 (R$ milhões)</t>
  </si>
  <si>
    <t>IRPJ / CSLL 2T22 (R$ milhões)</t>
  </si>
  <si>
    <t>IRPJ / CSLL 3T22 (R$ milhões)</t>
  </si>
  <si>
    <t>Maranhão (100%)</t>
  </si>
  <si>
    <t>Pará (100%)</t>
  </si>
  <si>
    <t>Matéria prima p/ produção de energia eletrica</t>
  </si>
  <si>
    <t>Piauí (100%)</t>
  </si>
  <si>
    <t>Alagoas (100%)</t>
  </si>
  <si>
    <t>CEEE-D (100%)</t>
  </si>
  <si>
    <t>CEA (100%)</t>
  </si>
  <si>
    <t>Goiás (100%)</t>
  </si>
  <si>
    <t>Baixa renda</t>
  </si>
  <si>
    <t>Serviços pedidos</t>
  </si>
  <si>
    <t>Partes Relacionadas</t>
  </si>
  <si>
    <t>Ativos de contrato</t>
  </si>
  <si>
    <t>Valores a devolver de parcela A e outros itens financeiros </t>
  </si>
  <si>
    <t>Pesquisa e desenvolvimento de eficiência energética</t>
  </si>
  <si>
    <t>Provisão para riscos cíveis, fiscais, trabalhistas e regulatórios</t>
  </si>
  <si>
    <t>Reserva de capital</t>
  </si>
  <si>
    <t>Reservas de Lucros</t>
  </si>
  <si>
    <t>Aplicações Financeiras</t>
  </si>
  <si>
    <t>(-) Provisão para créditos de liquidação duvidosa</t>
  </si>
  <si>
    <t>Partes relacionadas - mútuos</t>
  </si>
  <si>
    <t>Outros Créditos a receber</t>
  </si>
  <si>
    <t>Benefício pós-emprego</t>
  </si>
  <si>
    <t>Direito de uso</t>
  </si>
  <si>
    <t>Passivo e patrimônio líquido</t>
  </si>
  <si>
    <t>Impostos sobre lucro a recolher</t>
  </si>
  <si>
    <t>Pesquisa e desenvolvimento e eficiência energética</t>
  </si>
  <si>
    <t xml:space="preserve">Participação nos lucros </t>
  </si>
  <si>
    <t>Provisões para riscos cíveis, fiscais, trabalhistas e regulatórios</t>
  </si>
  <si>
    <t>Reservas de reavaliação</t>
  </si>
  <si>
    <t>Imposto de renda e contribuição social diferido</t>
  </si>
  <si>
    <t>Encargos do consumidor</t>
  </si>
  <si>
    <t>Provisões para processos cíveis, fiscais e trabalhistas</t>
  </si>
  <si>
    <t>Passivo de Arrendamento</t>
  </si>
  <si>
    <t>Ajustes de avaliação patrimonial</t>
  </si>
  <si>
    <t>Resultado do Exercício</t>
  </si>
  <si>
    <t>Direito de Ressarcimento</t>
  </si>
  <si>
    <t>Impostos e contribuições a recolher Diferidos</t>
  </si>
  <si>
    <t>Outros Resultados Abrangentes</t>
  </si>
  <si>
    <t>Baixa renda e viva luz</t>
  </si>
  <si>
    <t>Adiantamento para futuro aumento de capital</t>
  </si>
  <si>
    <t>Valores a devolver da parcela A 
e outros itens financeiros</t>
  </si>
  <si>
    <t>CELG-D</t>
  </si>
  <si>
    <t>Forncedores - Risco Sacado</t>
  </si>
  <si>
    <t>Informação</t>
  </si>
  <si>
    <t>SPE 1</t>
  </si>
  <si>
    <t>SPE 2</t>
  </si>
  <si>
    <t>SPE 3</t>
  </si>
  <si>
    <t>SPE 4</t>
  </si>
  <si>
    <t>SPE 5</t>
  </si>
  <si>
    <t>SPE 6</t>
  </si>
  <si>
    <t>SPE 7</t>
  </si>
  <si>
    <t>SPE 8</t>
  </si>
  <si>
    <t>Contrato de Concessão nº</t>
  </si>
  <si>
    <t>02/2006</t>
  </si>
  <si>
    <t>07/2017</t>
  </si>
  <si>
    <t>08/2017</t>
  </si>
  <si>
    <t>10/2017</t>
  </si>
  <si>
    <t>12/2017</t>
  </si>
  <si>
    <t>13/2017</t>
  </si>
  <si>
    <t>14/2017</t>
  </si>
  <si>
    <t>20/2017</t>
  </si>
  <si>
    <t>48/2017</t>
  </si>
  <si>
    <t>Localização</t>
  </si>
  <si>
    <t>TO/GO</t>
  </si>
  <si>
    <t>BA</t>
  </si>
  <si>
    <t>BA/PI</t>
  </si>
  <si>
    <t>BA/MG</t>
  </si>
  <si>
    <t>MG</t>
  </si>
  <si>
    <t>PA</t>
  </si>
  <si>
    <t>Extensão da Linha (Km)</t>
  </si>
  <si>
    <t>Tensão da Linha (kV)</t>
  </si>
  <si>
    <t>230/500</t>
  </si>
  <si>
    <t>Fim da Concessão</t>
  </si>
  <si>
    <t>Início da Operação</t>
  </si>
  <si>
    <t>RAP Original</t>
  </si>
  <si>
    <t>Reforços (R$ Mil)</t>
  </si>
  <si>
    <t>RAP (R$ Mil)</t>
  </si>
  <si>
    <t>Índice de Reajuste RAP</t>
  </si>
  <si>
    <t>Redução da RAP em 50%</t>
  </si>
  <si>
    <t>Sim*</t>
  </si>
  <si>
    <t>Não</t>
  </si>
  <si>
    <t>Percentual Benefício Sudam/Sudene</t>
  </si>
  <si>
    <t>Impostos Indiretos</t>
  </si>
  <si>
    <t>Próxima Revisão Tarifária</t>
  </si>
  <si>
    <t>INTESA Societário</t>
  </si>
  <si>
    <t>Transmissão de energia</t>
  </si>
  <si>
    <t>Receita Financeira - Atualização TIR</t>
  </si>
  <si>
    <t>Receita Ativo de Contrato</t>
  </si>
  <si>
    <t>Ativo de contrato - Ganho/Perda de realização</t>
  </si>
  <si>
    <t>Atualização ativo de contrato em serviço</t>
  </si>
  <si>
    <t>Variação da margem do ativo de contrato</t>
  </si>
  <si>
    <t>Custo de construção</t>
  </si>
  <si>
    <t>Outras Receitas/Despesas Operacionais</t>
  </si>
  <si>
    <t>Imposto de renda e contribuição social</t>
  </si>
  <si>
    <t>Subvenção do imposto de renda</t>
  </si>
  <si>
    <t xml:space="preserve"> </t>
  </si>
  <si>
    <t>INTESA Regulatório</t>
  </si>
  <si>
    <t>Demonstração do resultado (R$ mil) - Contabilidade Regulatória</t>
  </si>
  <si>
    <t>Ativo de contrato - Ganho de realização</t>
  </si>
  <si>
    <t>Equatorial Transmissão Societário Consolidado</t>
  </si>
  <si>
    <t xml:space="preserve">Atualização ativo de contrato em serviço </t>
  </si>
  <si>
    <t>Receita ativo de contrato</t>
  </si>
  <si>
    <t>Equatorial Transmissão Regulatório Consolidado</t>
  </si>
  <si>
    <t>Demonstração do resultado (R$ mil) - Regulatório</t>
  </si>
  <si>
    <t>Ativo (R$ mil)</t>
  </si>
  <si>
    <t>Contas a Receber de Clientes</t>
  </si>
  <si>
    <t>Ativo Financeiro</t>
  </si>
  <si>
    <t>Tributos e contribuições compensáveis</t>
  </si>
  <si>
    <t>Despesas antecipadas</t>
  </si>
  <si>
    <t>Compromisso futuros</t>
  </si>
  <si>
    <t>Adiantamento a fornecedores</t>
  </si>
  <si>
    <t>Outros contas a receber</t>
  </si>
  <si>
    <t>Ativo Financeiro da concessão</t>
  </si>
  <si>
    <t xml:space="preserve">Títulos e valores mobiliários </t>
  </si>
  <si>
    <t>Cauções e depósitos vinculados</t>
  </si>
  <si>
    <t>Passivo e patrimônio líquido   (R$ mil)</t>
  </si>
  <si>
    <t>Encargos de dívidas</t>
  </si>
  <si>
    <t>Provisões de encargos societários</t>
  </si>
  <si>
    <t>Impostos e contribuições sociais sobre o lucro</t>
  </si>
  <si>
    <t>Pis e Cofins Diferidos</t>
  </si>
  <si>
    <t>Provisões de ressarcimento</t>
  </si>
  <si>
    <t>Compromissos futuros</t>
  </si>
  <si>
    <t xml:space="preserve">Incentivos fiscais </t>
  </si>
  <si>
    <t>Impostos e contribuição social diferido</t>
  </si>
  <si>
    <t>Impostos e contribuição a recolher</t>
  </si>
  <si>
    <t>Provisão de ressarcimento</t>
  </si>
  <si>
    <t>Provisão para desmobilização</t>
  </si>
  <si>
    <t>Participação dos acionistas controladores</t>
  </si>
  <si>
    <t>Prejuízos acumulados</t>
  </si>
  <si>
    <t>Dividendos Antecipados</t>
  </si>
  <si>
    <t>INTESA Societário Consolidado</t>
  </si>
  <si>
    <t>Investimentos de Curto Prazo</t>
  </si>
  <si>
    <t>Contas a Receber</t>
  </si>
  <si>
    <t>Outros créditos</t>
  </si>
  <si>
    <t>Ativo de Contrato Transmissão</t>
  </si>
  <si>
    <t>Tributos a compensar</t>
  </si>
  <si>
    <t>Provisões de encargos setoriais</t>
  </si>
  <si>
    <t>Impostos e contribuições sociais</t>
  </si>
  <si>
    <t>Pis e Cofins diferidos</t>
  </si>
  <si>
    <t>Reserva de incentivos fiscais</t>
  </si>
  <si>
    <t>Reserva de retenção de lucros</t>
  </si>
  <si>
    <t>Echoenergia (100%)</t>
  </si>
  <si>
    <t>Geração Parque (GWh)</t>
  </si>
  <si>
    <t>4T23</t>
  </si>
  <si>
    <t>1T24</t>
  </si>
  <si>
    <t>2T24</t>
  </si>
  <si>
    <t>3T24</t>
  </si>
  <si>
    <t>4T24</t>
  </si>
  <si>
    <t>São Clemente</t>
  </si>
  <si>
    <t>Tianguá</t>
  </si>
  <si>
    <t>Echo 1</t>
  </si>
  <si>
    <t>Echo 2</t>
  </si>
  <si>
    <t>Echo 4</t>
  </si>
  <si>
    <t>Echo 5</t>
  </si>
  <si>
    <t>Echo 3</t>
  </si>
  <si>
    <t>Echo 6</t>
  </si>
  <si>
    <t>Echo 7</t>
  </si>
  <si>
    <t>Echo 8</t>
  </si>
  <si>
    <t>Echo 9</t>
  </si>
  <si>
    <t>Echo 10</t>
  </si>
  <si>
    <t>Ventos (m/s)</t>
  </si>
  <si>
    <t/>
  </si>
  <si>
    <t>Disponibilidade (%)</t>
  </si>
  <si>
    <t>Curva de sazonalização (MWm)</t>
  </si>
  <si>
    <t>Média LTM</t>
  </si>
  <si>
    <t>Realizado</t>
  </si>
  <si>
    <t>P90</t>
  </si>
  <si>
    <t>P50</t>
  </si>
  <si>
    <t>P10</t>
  </si>
  <si>
    <t>GF Outorgada Sazonalizada (MWm)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</si>
  <si>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</si>
  <si>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</si>
  <si>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</si>
  <si>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</si>
  <si>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</si>
  <si>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</si>
  <si>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</si>
  <si>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</si>
  <si>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</si>
  <si>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</si>
  <si>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</si>
  <si>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</si>
  <si>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</si>
  <si>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Portfolio de Ativos</t>
  </si>
  <si>
    <t>Complexo</t>
  </si>
  <si>
    <t>Local</t>
  </si>
  <si>
    <t>Entrada em Operação</t>
  </si>
  <si>
    <t>Fim da Autorização</t>
  </si>
  <si>
    <t>Capac. Instalada (MW)</t>
  </si>
  <si>
    <t>Garantia Física (MWm)</t>
  </si>
  <si>
    <t>Fonte Eólica</t>
  </si>
  <si>
    <t>Em Operação</t>
  </si>
  <si>
    <t>EOL Ventos de São Clemente 1</t>
  </si>
  <si>
    <t>Caetés - PE</t>
  </si>
  <si>
    <t>EOL Ventos de São Clemente 2</t>
  </si>
  <si>
    <t>EOL Ventos de São Clemente 3</t>
  </si>
  <si>
    <t>EOL Ventos de São Clemente 4</t>
  </si>
  <si>
    <t>EOL Ventos de São Clemente 5</t>
  </si>
  <si>
    <t>Venturosa - PE</t>
  </si>
  <si>
    <t>EOL Ventos de São Clemente 6</t>
  </si>
  <si>
    <t>EOL Ventos de São Clemente 7</t>
  </si>
  <si>
    <t>Pedra e Caetés - PE</t>
  </si>
  <si>
    <t>EOL Ventos de São Clemente 8</t>
  </si>
  <si>
    <t>EOL Ventos do Morro do Chapéu</t>
  </si>
  <si>
    <t>Tianguá-CE</t>
  </si>
  <si>
    <t>EOL Ventos do Parazinho</t>
  </si>
  <si>
    <t>Ubajara -CE</t>
  </si>
  <si>
    <t>EOL Vento Formoso</t>
  </si>
  <si>
    <t>EOL Ventos de Tianguá Norte</t>
  </si>
  <si>
    <t>EOL Ventos de Tianguá</t>
  </si>
  <si>
    <t>EOL Pedra do Reino</t>
  </si>
  <si>
    <t>Sobradinho - BA</t>
  </si>
  <si>
    <t>EOL Pedra do Reino III</t>
  </si>
  <si>
    <t>EOL Cabeço Preto</t>
  </si>
  <si>
    <t>João Câmara - RN</t>
  </si>
  <si>
    <t>EOL Cabeço Preto IV</t>
  </si>
  <si>
    <t>EOL Serra de Santana I</t>
  </si>
  <si>
    <t>Lagoa Nova - RN</t>
  </si>
  <si>
    <t>EOL Serra de Santana II</t>
  </si>
  <si>
    <t>EOL Serra de Santana III</t>
  </si>
  <si>
    <t>Bodó - RN</t>
  </si>
  <si>
    <t>EOL Lanchinha</t>
  </si>
  <si>
    <t>Tenente Laurentino Cruz - RN</t>
  </si>
  <si>
    <t>EOL Pelado</t>
  </si>
  <si>
    <t>EOL Pedra Rajada</t>
  </si>
  <si>
    <t>Cerro Corá - RN</t>
  </si>
  <si>
    <t>EOL Pedra Rajada II</t>
  </si>
  <si>
    <t>EOL Cabeço Vermelho</t>
  </si>
  <si>
    <t>Jardim de Angicos - RN</t>
  </si>
  <si>
    <t>EOL Cabeço Vermelho II</t>
  </si>
  <si>
    <t>EOL Pedra do Reino IV</t>
  </si>
  <si>
    <t>EOL Boa Esperança I</t>
  </si>
  <si>
    <t>EOL Vila Sergipe I</t>
  </si>
  <si>
    <t>Serra do Mel - RN</t>
  </si>
  <si>
    <t>EOL Vila Rio Grande do Norte I</t>
  </si>
  <si>
    <t>EOL Vila Rio Grande do Norte II</t>
  </si>
  <si>
    <t>EOL Vila Piauí III</t>
  </si>
  <si>
    <t>EOL Vila Sergipe II</t>
  </si>
  <si>
    <t>EOL Vila Sergipe III</t>
  </si>
  <si>
    <t>EOL Vila Piauí I</t>
  </si>
  <si>
    <t>EOL Vila Piauí II</t>
  </si>
  <si>
    <t>EOL Vila Alagoas II</t>
  </si>
  <si>
    <t>EOL Vila Espírito Santo I (antiga EOL Potiguar B 21)</t>
  </si>
  <si>
    <t>EOL Vila Espírito Santo II (antiga EOL Potiguar B 22)</t>
  </si>
  <si>
    <t>EOL Vila Espírito Santo III (antiga EOL Potiguar B 23)</t>
  </si>
  <si>
    <t>EOL Vila Espírito Santo IV (antiga EOL Potiguar B 24)</t>
  </si>
  <si>
    <t>EOL Vila Espírito Santo V (antiga EOL Potiguar B 25)</t>
  </si>
  <si>
    <t>Fonte Solar</t>
  </si>
  <si>
    <t>Pipeline</t>
  </si>
  <si>
    <t>UFV Sertão Solar Barreiras XV</t>
  </si>
  <si>
    <t>Barreiras - BA</t>
  </si>
  <si>
    <t>UFV Sertão Solar Barreiras XVI</t>
  </si>
  <si>
    <t>UFV Sertão Solar Barreiras XVII</t>
  </si>
  <si>
    <t>UFV Sertão Solar Barreiras XVIII</t>
  </si>
  <si>
    <t>UFV Sertão Solar Barreiras XIX</t>
  </si>
  <si>
    <t>UFV Sertão Solar Barreiras XX</t>
  </si>
  <si>
    <t>UFV Sertão Solar Barreiras XXI</t>
  </si>
  <si>
    <t>UFV Ribeiro Gonçalves I</t>
  </si>
  <si>
    <t>Ribeiro Gonçalves - PI</t>
  </si>
  <si>
    <t>UFV Ribeiro Gonçalves II</t>
  </si>
  <si>
    <t>UFV Ribeiro Gonçalves III</t>
  </si>
  <si>
    <t>UFV Ribeiro Gonçalves IV</t>
  </si>
  <si>
    <t>UFV Ribeiro Gonçalves V</t>
  </si>
  <si>
    <t>UFV Ribeiro Gonçalves VI</t>
  </si>
  <si>
    <t>UFV Ribeiro Gonçalves VII</t>
  </si>
  <si>
    <t>UFV Ribeiro Gonçalves VIII</t>
  </si>
  <si>
    <t>UFV Solar Serra do Mel III</t>
  </si>
  <si>
    <t>UFV Solar Serra do Mel IV</t>
  </si>
  <si>
    <t>UFV Solar Serra do Mel V</t>
  </si>
  <si>
    <t>Balanço de Energia</t>
  </si>
  <si>
    <t>Garantia Física</t>
  </si>
  <si>
    <t>São Clemente I</t>
  </si>
  <si>
    <t>São Clemente II</t>
  </si>
  <si>
    <t>São Clemente III</t>
  </si>
  <si>
    <t>São Clemente IV</t>
  </si>
  <si>
    <t>São Clemente V</t>
  </si>
  <si>
    <t>São Clemente VI</t>
  </si>
  <si>
    <t>São Clemente VII</t>
  </si>
  <si>
    <t>São Clemente VIII</t>
  </si>
  <si>
    <t>Morro do Chapéu</t>
  </si>
  <si>
    <t>Parazinho</t>
  </si>
  <si>
    <t>Formoso</t>
  </si>
  <si>
    <t>Tianguá Norte</t>
  </si>
  <si>
    <t>Cabeço Preto</t>
  </si>
  <si>
    <t>Cabeço Preto IV</t>
  </si>
  <si>
    <t>Pedra do Reino</t>
  </si>
  <si>
    <t>Pedra do Reino III</t>
  </si>
  <si>
    <t>Serra de Santana I</t>
  </si>
  <si>
    <t>Serra de Santana II</t>
  </si>
  <si>
    <t>Serra de Santana III</t>
  </si>
  <si>
    <t>Pelado</t>
  </si>
  <si>
    <t>Lanchinha</t>
  </si>
  <si>
    <t>Vila Sergipe I</t>
  </si>
  <si>
    <t>Vila Rio Grande do Norte I</t>
  </si>
  <si>
    <t>Vila Rio Grande do Norte II</t>
  </si>
  <si>
    <t>Cabeço Vermelho</t>
  </si>
  <si>
    <t>Cabeço Vermelho II</t>
  </si>
  <si>
    <t>Pedra Rajada</t>
  </si>
  <si>
    <t>Pedra Rajada II</t>
  </si>
  <si>
    <t>Pedra do Reino IV</t>
  </si>
  <si>
    <t>Boa Esperança I</t>
  </si>
  <si>
    <t>Vila Piauí III</t>
  </si>
  <si>
    <t>Vila Sergipe II</t>
  </si>
  <si>
    <t>Vila Sergipe III</t>
  </si>
  <si>
    <t>Vila Piauí I</t>
  </si>
  <si>
    <t>Vila Piauí II</t>
  </si>
  <si>
    <t>Vila Alagoas II</t>
  </si>
  <si>
    <t>Vila Espiríto Santo I</t>
  </si>
  <si>
    <t>Vila Espiríto Santo II</t>
  </si>
  <si>
    <t>Vila Espiríto Santo III</t>
  </si>
  <si>
    <t>Vila Espiríto Santo IV</t>
  </si>
  <si>
    <t>Vila Espiríto Santo V</t>
  </si>
  <si>
    <t>(Em MW médios)</t>
  </si>
  <si>
    <t>Data de Referência</t>
  </si>
  <si>
    <t>Preço Bruto Corrigido (R$/MWh)</t>
  </si>
  <si>
    <t>Preço Líquido de PIS/COFINS/P&amp;D (R$/Mwh)</t>
  </si>
  <si>
    <t>Venda Leilões Governo*</t>
  </si>
  <si>
    <t>2010 - 02º LFA - 2013-20</t>
  </si>
  <si>
    <t>2013 - 18º LEN - 2018-20</t>
  </si>
  <si>
    <t>2014 - 19º LEN - 2017-20</t>
  </si>
  <si>
    <t>2014 - 20º LEN - 2019-20</t>
  </si>
  <si>
    <t>2009 - 02º LER - 2012-20</t>
  </si>
  <si>
    <t>2010 - 03º LER - 2013-20</t>
  </si>
  <si>
    <t>2011 - 04º LER - 2014-20</t>
  </si>
  <si>
    <t>2014 - 06º LER - 2017-20</t>
  </si>
  <si>
    <t>2015 - 08º LER - 2018-20</t>
  </si>
  <si>
    <t>Vendas Bilaterais</t>
  </si>
  <si>
    <t>Vendas Totais</t>
  </si>
  <si>
    <t>Saldo de Energia</t>
  </si>
  <si>
    <t>Preço médio de venda (R$/MWh)</t>
  </si>
  <si>
    <t>Volume Contratado (%)</t>
  </si>
  <si>
    <t>*AAA = tipo do leilão (LFA -&gt; Fontes Alternativas; LEN -&gt; Energia Nova; LER -&gt; Energia de Reserva)</t>
  </si>
  <si>
    <t>Identificação Parques ONS (SINtegre)</t>
  </si>
  <si>
    <t>Nome do Complexo</t>
  </si>
  <si>
    <t>EOL BAIXA VERDE</t>
  </si>
  <si>
    <t>EOL MOXOTÓ</t>
  </si>
  <si>
    <t>CABEÇO VERMELHO</t>
  </si>
  <si>
    <t>Cabeço Preto II</t>
  </si>
  <si>
    <t>CABEÇO VERMELHO II</t>
  </si>
  <si>
    <t>EOL BOA ESPERANÇA I</t>
  </si>
  <si>
    <t>EOL PEDRA DO REINO</t>
  </si>
  <si>
    <t>EOL PEDRA REINO IV</t>
  </si>
  <si>
    <t>EOL SOBRADINHO</t>
  </si>
  <si>
    <t>EOL MORRO DO CHAPÉU</t>
  </si>
  <si>
    <t>Santa Rosália</t>
  </si>
  <si>
    <t>EOL VENTO FORMOSO</t>
  </si>
  <si>
    <t>N V DE TIANGUÁ NORTE</t>
  </si>
  <si>
    <t>N VENTOS PARAZINHO</t>
  </si>
  <si>
    <t>VENTOS DE TIANGUÁ</t>
  </si>
  <si>
    <t>VENTOS S CLEMENTE 1</t>
  </si>
  <si>
    <t>VENTOS S CLEMENTE 2</t>
  </si>
  <si>
    <t>VENTOS S CLEMENTE 3</t>
  </si>
  <si>
    <t>VENTOS S CLEMENTE 4</t>
  </si>
  <si>
    <t>VENTOS S CLEMENTE 5</t>
  </si>
  <si>
    <t>VENTOS S CLEMENTE 6</t>
  </si>
  <si>
    <t>VENTOS S CLEMENTE 7</t>
  </si>
  <si>
    <t>VENTOS S CLEMENTE 8</t>
  </si>
  <si>
    <t>GESTAMP LAGOA NOVA</t>
  </si>
  <si>
    <t>Serra de Santana I&amp;II</t>
  </si>
  <si>
    <t>GESTAMP SANTANA</t>
  </si>
  <si>
    <t>LANCHINHA</t>
  </si>
  <si>
    <t>EÓLICA SERIDO</t>
  </si>
  <si>
    <t>GESTAMP P RAJADA</t>
  </si>
  <si>
    <t>GESTAMP P RAJADA II</t>
  </si>
  <si>
    <t>PARAÍSO</t>
  </si>
  <si>
    <t>VILA PIAUÍ 1</t>
  </si>
  <si>
    <t>Serra do Mel IB</t>
  </si>
  <si>
    <t>VILA PIAUÍ 2</t>
  </si>
  <si>
    <t>VILA PIAUÍ 3</t>
  </si>
  <si>
    <t>VILA RGNORTE 1</t>
  </si>
  <si>
    <t>VILA RGNORTE 2</t>
  </si>
  <si>
    <t>VILA SERGIPE 1</t>
  </si>
  <si>
    <t>VILA SERGIPE 2</t>
  </si>
  <si>
    <t>VILA SERGIPE 3</t>
  </si>
  <si>
    <t>ESPÍRITO SANTO I</t>
  </si>
  <si>
    <t>Serra do Mel IIB</t>
  </si>
  <si>
    <t>ESPÍRITO SANTO II</t>
  </si>
  <si>
    <t>ESPÍRITO SANTO III</t>
  </si>
  <si>
    <t>ESPÍRITO SANTO IV</t>
  </si>
  <si>
    <t>ESPÍRITO SANTO V</t>
  </si>
  <si>
    <t>VILA ALAGOAS II</t>
  </si>
  <si>
    <t>Consolidação dos dados a partir de Março/2022</t>
  </si>
  <si>
    <t>Receita Operacional</t>
  </si>
  <si>
    <t>Deduções da receita</t>
  </si>
  <si>
    <t>PIS</t>
  </si>
  <si>
    <t>COFINS</t>
  </si>
  <si>
    <t>ICMS</t>
  </si>
  <si>
    <t>Custos operacionais</t>
  </si>
  <si>
    <t>Engenharia e gestão de processos O&amp;M</t>
  </si>
  <si>
    <t>Encargos de conexão e transmissão</t>
  </si>
  <si>
    <t xml:space="preserve">Compra de energia </t>
  </si>
  <si>
    <t>Gastos com pessoal</t>
  </si>
  <si>
    <t>Materiais</t>
  </si>
  <si>
    <t>Serviços de terceiros</t>
  </si>
  <si>
    <t>Despesas gerais e administrativas</t>
  </si>
  <si>
    <t>Remuneração baseada em ações</t>
  </si>
  <si>
    <t>Outras receitas (despesas) operacionais</t>
  </si>
  <si>
    <t>Equivalência Patrimonial</t>
  </si>
  <si>
    <t>Depreciação e Amortização</t>
  </si>
  <si>
    <t>IR/CS diferido</t>
  </si>
  <si>
    <t>IR/CS corrente</t>
  </si>
  <si>
    <t>Lucro (prejuízo) líquido</t>
  </si>
  <si>
    <t>Ativo Circulante</t>
  </si>
  <si>
    <t>Caixa e equivalente de caixa</t>
  </si>
  <si>
    <t>Fundos vinculados</t>
  </si>
  <si>
    <t>Contas a receber</t>
  </si>
  <si>
    <t>Adiantanemento a fornecedores</t>
  </si>
  <si>
    <t>IR/CS a recuperar</t>
  </si>
  <si>
    <t>Outros tributos a recuperar</t>
  </si>
  <si>
    <t>Despesas pagas antecipademente</t>
  </si>
  <si>
    <t>Contas a receber partes relacionadas</t>
  </si>
  <si>
    <t>Instrumento financeiro derivativo</t>
  </si>
  <si>
    <t>Ativo Não Circulante</t>
  </si>
  <si>
    <t>Total Ativo</t>
  </si>
  <si>
    <t>Passivo Circulantes</t>
  </si>
  <si>
    <t>Adiantamento de clientes</t>
  </si>
  <si>
    <t>Outras obrigações tributárias</t>
  </si>
  <si>
    <t>IR/CS a recolher</t>
  </si>
  <si>
    <t>Outras obrigações sociais e trabalhistas</t>
  </si>
  <si>
    <t>Arrendamentos</t>
  </si>
  <si>
    <t>Derivativos a pagar</t>
  </si>
  <si>
    <t>Passivo Não Circulante</t>
  </si>
  <si>
    <t>Financiamentos</t>
  </si>
  <si>
    <t>Tributos diferidos</t>
  </si>
  <si>
    <t>Compensação de infraestrutura</t>
  </si>
  <si>
    <t>Contas a pagar sobre aquisição</t>
  </si>
  <si>
    <t>Total Passivo</t>
  </si>
  <si>
    <t>Total Patrimônio Líquido</t>
  </si>
  <si>
    <t>PL Acionistas controladores</t>
  </si>
  <si>
    <t>PL acionistas não controladores</t>
  </si>
  <si>
    <t>Total Passivo e Patrimônio Líquido</t>
  </si>
  <si>
    <t>CSA (100%)</t>
  </si>
  <si>
    <t>Indicadores Operacionais - Água</t>
  </si>
  <si>
    <t>Ligações ativas (mil)</t>
  </si>
  <si>
    <t>Economias ativas (mil)</t>
  </si>
  <si>
    <t>Relação Ecnomias/Ligações</t>
  </si>
  <si>
    <r>
      <t>Volume Faturado (mil m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)</t>
    </r>
  </si>
  <si>
    <t>Índice de Cobertura (%)</t>
  </si>
  <si>
    <t>Índice de Perda da Distribuição (%)</t>
  </si>
  <si>
    <t>Extensão de rede (km)</t>
  </si>
  <si>
    <t>Indicadores Operacionais - Esgoto</t>
  </si>
  <si>
    <t>Índice de cobertura (%)</t>
  </si>
  <si>
    <t>Indicadores Operacionais - Consolidado CSA</t>
  </si>
  <si>
    <t>Hidrômetros instalados (mil)</t>
  </si>
  <si>
    <t>Receita abastecimento de água e serviço de esgoto</t>
  </si>
  <si>
    <t>PECLD</t>
  </si>
  <si>
    <t>Provisões judiciais</t>
  </si>
  <si>
    <t>EQUATORIAL SERVIÇOS CONSOLIDADO</t>
  </si>
  <si>
    <t>Resultado Financeiro</t>
  </si>
  <si>
    <t>DRE Resumida</t>
  </si>
  <si>
    <t>Renováveis</t>
  </si>
  <si>
    <t>Serviços e Outros</t>
  </si>
  <si>
    <t>DRE ITR</t>
  </si>
  <si>
    <t>Operacional</t>
  </si>
  <si>
    <t>Fornecimento De Energia Elétrica</t>
  </si>
  <si>
    <t>Valores  Parcela A e Outros Itens Financeiros</t>
  </si>
  <si>
    <t>Receita de operação e manutenção</t>
  </si>
  <si>
    <t>Receita Pela Disponibilidade - Uso Da Rede</t>
  </si>
  <si>
    <t>Atualização Ativo Financeiro</t>
  </si>
  <si>
    <t>Atualização Ativo de Contratos</t>
  </si>
  <si>
    <t>Atualização Ativo de Contrato em serviço</t>
  </si>
  <si>
    <t>(-) Pis e Cofins - diferido s/ ativo de contrato</t>
  </si>
  <si>
    <t>Receita de ajuste de realização futura de contratos de energia elétrica</t>
  </si>
  <si>
    <t>(-) Deduções da receita</t>
  </si>
  <si>
    <t>(-) ICMS</t>
  </si>
  <si>
    <t>(-) Pis e Cofins - corrente</t>
  </si>
  <si>
    <t>(-) Pis e Cofins - diferido</t>
  </si>
  <si>
    <t>(-) Encargos Do Consumidor - RGR</t>
  </si>
  <si>
    <t>(-) Encargos Do Consumidor - P&amp;D e PEE</t>
  </si>
  <si>
    <t>(-) Encargos Do Consumidor - Taxa de fiscalização e outros</t>
  </si>
  <si>
    <t>(-) Encargos Do Consumidor - CDE</t>
  </si>
  <si>
    <t>(-) ISS</t>
  </si>
  <si>
    <t>Custos de energia elétrica, construção e operação</t>
  </si>
  <si>
    <t>Energia elétrica comprada para revenda e custos de transmissão</t>
  </si>
  <si>
    <t xml:space="preserve">Custo de Construção </t>
  </si>
  <si>
    <t>PIS/COFINS diferidos s/ variações da margem</t>
  </si>
  <si>
    <t>Custo de operação</t>
  </si>
  <si>
    <t>Custo De Operação - Pessoal</t>
  </si>
  <si>
    <t>Custo De Operação - Material</t>
  </si>
  <si>
    <t>Custo De Operação - Serv. Terceiros</t>
  </si>
  <si>
    <t>Custo De Operação - Deprec. Amortização</t>
  </si>
  <si>
    <t>Custo De Operação - Subvenção CCC</t>
  </si>
  <si>
    <t>Custo De Operação - Arrendamentos E Alugúeis</t>
  </si>
  <si>
    <t>Custo De Operação - Outros</t>
  </si>
  <si>
    <t>Lucro bruto</t>
  </si>
  <si>
    <t>Despesas operacionais</t>
  </si>
  <si>
    <t>Despesas com vendas</t>
  </si>
  <si>
    <t>Despesas Com Vendas - Pessoal</t>
  </si>
  <si>
    <t>Despesas Com Vendas - Material</t>
  </si>
  <si>
    <t>Despesas Com Vendas - Serviços De Terceiros</t>
  </si>
  <si>
    <t>Despesas Com Vendas - Arrendamentos E Aluguéis</t>
  </si>
  <si>
    <t>Despesas Com Vendas - Outros</t>
  </si>
  <si>
    <t xml:space="preserve">Perdas esperada por redução ao valor recuperável </t>
  </si>
  <si>
    <t>Despesas gerais, administrativas e amortização</t>
  </si>
  <si>
    <t>Despesas Administrativas - Pessoal</t>
  </si>
  <si>
    <t>Despesas Administrativas - Material</t>
  </si>
  <si>
    <t>Despesas Administrativas - Serviço De Terceiro</t>
  </si>
  <si>
    <t>Despesas Administrativas - Arrendamento E Aluguéis</t>
  </si>
  <si>
    <t>Despesas Administrativas - Outros</t>
  </si>
  <si>
    <t>Despesas Administrativas - Prov/Rev De Contingência</t>
  </si>
  <si>
    <t>Despesas Administrativas - Deprec. Amortização</t>
  </si>
  <si>
    <t>Amortização do direito de concessão</t>
  </si>
  <si>
    <t>Resultado da equivalência patrimonial</t>
  </si>
  <si>
    <t>Outras despesas operacionais, líquidas</t>
  </si>
  <si>
    <t>Outras despesas operacionais</t>
  </si>
  <si>
    <t>Outras despesas não recorrentes</t>
  </si>
  <si>
    <t>Resultado antes do RF líquido, IR e CS</t>
  </si>
  <si>
    <t>RF - Rendas Financeiras</t>
  </si>
  <si>
    <t>(-) RF - Pis e Cofins</t>
  </si>
  <si>
    <t>RF - Receita Financeiras Ativo de Contrato</t>
  </si>
  <si>
    <t>RF - Acréscimo Moratório Sobre Energia</t>
  </si>
  <si>
    <t>RF - Atualização VNR - Receita</t>
  </si>
  <si>
    <t>RF - P&amp;D e PEE</t>
  </si>
  <si>
    <t>RF - Outras receitas financeiras</t>
  </si>
  <si>
    <t>RF - Variação Monetária E Cambial Ativa</t>
  </si>
  <si>
    <t>RF - Encargos De Dívidas</t>
  </si>
  <si>
    <t>RF - Encargos De RJ</t>
  </si>
  <si>
    <t>RF - Variação Monetária E Cambial Passiva</t>
  </si>
  <si>
    <t>RF - Partes relacionadas</t>
  </si>
  <si>
    <t>RF - Valores a receber/devolver parcela A</t>
  </si>
  <si>
    <t>RF - Juros, multas s/ operação de energia</t>
  </si>
  <si>
    <t>RF - Atualização VNR - Despesa</t>
  </si>
  <si>
    <t xml:space="preserve">RF - Despesa P&amp;D e PEE </t>
  </si>
  <si>
    <t>RF - Outras despesas financeiras</t>
  </si>
  <si>
    <t>Resultado antes do imposto de renda e da contribuição social</t>
  </si>
  <si>
    <t>Impostos sobre o lucro</t>
  </si>
  <si>
    <t>IRPJ e CSLL diferidos</t>
  </si>
  <si>
    <t>Lucro líquido do exercício</t>
  </si>
  <si>
    <t>Resultado atribuível aos:</t>
  </si>
  <si>
    <t>Atribuível aos acionistas da controladora</t>
  </si>
  <si>
    <t>Atribuível aos acionistas não controladores</t>
  </si>
  <si>
    <t>DRE ITR - Equatorial Maranhão</t>
  </si>
  <si>
    <t>9M23</t>
  </si>
  <si>
    <t>6M23</t>
  </si>
  <si>
    <t>3M23</t>
  </si>
  <si>
    <t>9M22</t>
  </si>
  <si>
    <t>6M22</t>
  </si>
  <si>
    <t>3M22</t>
  </si>
  <si>
    <t>9M25</t>
  </si>
  <si>
    <t>6M25</t>
  </si>
  <si>
    <t>3M25</t>
  </si>
  <si>
    <t>9M24</t>
  </si>
  <si>
    <t>6M24</t>
  </si>
  <si>
    <t>3M24</t>
  </si>
  <si>
    <t>Controlador</t>
  </si>
  <si>
    <t>Minoritários</t>
  </si>
  <si>
    <t>DRE ITR - Equatorial Pará</t>
  </si>
  <si>
    <t>DRE ITR - Equatorial Piauí</t>
  </si>
  <si>
    <t>DRE ITR - Equatorial Alagoas</t>
  </si>
  <si>
    <t>DRE ITR - CEEE-D</t>
  </si>
  <si>
    <t>DRE ITR - CEA</t>
  </si>
  <si>
    <t>DRE ITR - Equatorial Goiás</t>
  </si>
  <si>
    <t>DRE ITR - SPEs</t>
  </si>
  <si>
    <t>DRE ITR - Echoenergia</t>
  </si>
  <si>
    <t>DRE ITR - Echo Crescimento</t>
  </si>
  <si>
    <t>DRE ITR - EQTT</t>
  </si>
  <si>
    <t>DRE ITR - INTESA</t>
  </si>
  <si>
    <t>DRE ITR - Equatorial Serviços</t>
  </si>
  <si>
    <t>DRE ITR - CSA</t>
  </si>
  <si>
    <t>DRE ITR - Equatorial Energia - Holding</t>
  </si>
  <si>
    <t>DRE ITR - Equatorial Energia - Consolidado</t>
  </si>
  <si>
    <t>Empresa não existia no período</t>
  </si>
  <si>
    <t>BPs</t>
  </si>
  <si>
    <t>Dívida e CAPEX</t>
  </si>
  <si>
    <t>Dívida</t>
  </si>
  <si>
    <t>CAPEX</t>
  </si>
  <si>
    <t>Dados Regulatórios</t>
  </si>
  <si>
    <t>Empresa não consolidada no período</t>
  </si>
  <si>
    <t>3M22*</t>
  </si>
  <si>
    <t>Considera apenas o mês de Março de 22</t>
  </si>
  <si>
    <t>+ 1,4% aa</t>
  </si>
  <si>
    <t>+ 2,4% a + 6,9% aa</t>
  </si>
  <si>
    <t>+ 1,0% aa</t>
  </si>
  <si>
    <t>1% a 10%  aa</t>
  </si>
  <si>
    <t>+ 0,17% + 1,65%aa</t>
  </si>
  <si>
    <t>+ 3,0% a + 5,96% aa</t>
  </si>
  <si>
    <t>+0,97% +1,77% aa</t>
  </si>
  <si>
    <t xml:space="preserve"> +3,9% a 4,4% aa</t>
  </si>
  <si>
    <t>+5,0% aa</t>
  </si>
  <si>
    <t>124,9% aa</t>
  </si>
  <si>
    <t>0,74% à 1,63% aa</t>
  </si>
  <si>
    <t>+3,92% à +4,4% aa</t>
  </si>
  <si>
    <t>+ 0,5% aa</t>
  </si>
  <si>
    <t>+ 1,4% a 1,5% aa</t>
  </si>
  <si>
    <t>+5,4% aa</t>
  </si>
  <si>
    <t>+ 1,38%  + 1,85% aa</t>
  </si>
  <si>
    <t>+6,5% aa</t>
  </si>
  <si>
    <t>+1,6% aa</t>
  </si>
  <si>
    <t>+ 1,1% a + 2,3%</t>
  </si>
  <si>
    <t xml:space="preserve"> 0%</t>
  </si>
  <si>
    <t>+1,6% a 5,3%</t>
  </si>
  <si>
    <t>109% aa</t>
  </si>
  <si>
    <t>+ 1,1% aa</t>
  </si>
  <si>
    <t>+ 5,4%</t>
  </si>
  <si>
    <t>+ 0,78%</t>
  </si>
  <si>
    <t>1,7%  aa</t>
  </si>
  <si>
    <t>+ 1,5% a + 2,2%</t>
  </si>
  <si>
    <t>+ 1,0% a + 9,0% aa</t>
  </si>
  <si>
    <t>+ 2,0% a 2,9% aa</t>
  </si>
  <si>
    <t>+ 2,5% aa</t>
  </si>
  <si>
    <t>+ 1,0% aa + 9,0% aa</t>
  </si>
  <si>
    <t>+ 2,2% aa + 2,5% aa</t>
  </si>
  <si>
    <t>+1,3% a 1,6%</t>
  </si>
  <si>
    <t>Próxima RTP - 2028 (5 anos)</t>
  </si>
  <si>
    <t>PMSO Ajustado</t>
  </si>
  <si>
    <t>Ebitda Ajustado</t>
  </si>
  <si>
    <t>Resultado Financeiro Ajustado</t>
  </si>
  <si>
    <t>Lucro Ajustado</t>
  </si>
  <si>
    <t>Soma Distribuidoras</t>
  </si>
  <si>
    <t>Consolidado Grupo</t>
  </si>
  <si>
    <t>PMSO</t>
  </si>
  <si>
    <t>Ebitda</t>
  </si>
  <si>
    <t>Lucro</t>
  </si>
  <si>
    <t>DRE Individual</t>
  </si>
  <si>
    <r>
      <t>Área de concessão (km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)</t>
    </r>
  </si>
  <si>
    <t>Municípios atendidos</t>
  </si>
  <si>
    <t>População Atendida (milhões de pessoas)</t>
  </si>
  <si>
    <t>Número de subestações</t>
  </si>
  <si>
    <t>Capacida Instalada (MVA)</t>
  </si>
  <si>
    <t>ND</t>
  </si>
  <si>
    <t>Linhas de Transmissão (em km)</t>
  </si>
  <si>
    <t>Linhas de Distribuição (em km)</t>
  </si>
  <si>
    <t>Transformadores de Distribuição</t>
  </si>
  <si>
    <t>(-) Outras Receitas</t>
  </si>
  <si>
    <t>(-) Ultrapassagem de Demanda</t>
  </si>
  <si>
    <t>(-) Excedente de Reativo</t>
  </si>
  <si>
    <t>Receitas Irrecuperáveis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</si>
</sst>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0.0%"/>
    <numFmt numFmtId="167" formatCode="[$-416]mmm\-yy;@"/>
    <numFmt numFmtId="168" formatCode="_(* #,##0.00_);_(* \(#,##0.00\);_(* &quot;-&quot;??_);_(@_)"/>
    <numFmt numFmtId="169" formatCode="_-* #,##0_-;\-* #,##0_-;_-* &quot;-&quot;??_-;_-@_-"/>
    <numFmt numFmtId="170" formatCode="#,##0_ ;\-#,##0\ "/>
    <numFmt numFmtId="171" formatCode="_(* #,##0_);_(* \(#,##0\);_(* &quot;-&quot;??_);_(@_)"/>
    <numFmt numFmtId="172" formatCode="&quot;CDI&quot;\ \+\ 0.0%\ &quot;aa&quot;\ "/>
    <numFmt numFmtId="173" formatCode="0.0%\ &quot;aa&quot;\ "/>
    <numFmt numFmtId="174" formatCode="&quot;IPCA&quot;\ \+\ 0.00%\ &quot;aa&quot;\ "/>
    <numFmt numFmtId="175" formatCode="&quot;IGP-M&quot;\ \+\ \1\%\ &quot;aa&quot;\ "/>
    <numFmt numFmtId="176" formatCode="&quot;TJLP&quot;\ \+\ 0.00%\ &quot;aa&quot;\ "/>
    <numFmt numFmtId="177" formatCode="&quot;SELIC&quot;\ \+\ 0.00%\ &quot;aa&quot;\ "/>
    <numFmt numFmtId="178" formatCode="0.0%\ &quot;CDI&quot;\ "/>
    <numFmt numFmtId="179" formatCode="&quot;IPCA +&quot;0.0%\ "/>
    <numFmt numFmtId="180" formatCode="_(* #,##0,_);_(* \(#,##0,\);_(\ * &quot;  -&quot;_);@"/>
    <numFmt numFmtId="181" formatCode="dd/mm/yy;@"/>
    <numFmt numFmtId="182" formatCode="#,##0.0"/>
    <numFmt numFmtId="183" formatCode="&quot;CDI&quot;\ \+\ 0.00%\ &quot;aa&quot;\ "/>
    <numFmt numFmtId="184" formatCode="&quot;IPCA +&quot;0.00%\ "/>
    <numFmt numFmtId="185" formatCode="&quot;CDI +&quot;0.00%\ "/>
    <numFmt numFmtId="186" formatCode="&quot;CDI +&quot;0.000%\ "/>
    <numFmt numFmtId="187" formatCode="&quot;CDI +&quot;0.0%\ "/>
    <numFmt numFmtId="188" formatCode="&quot;IPCA +&quot;0.0000%\ "/>
    <numFmt numFmtId="189" formatCode="&quot;TJLP +&quot;0.00%\ "/>
    <numFmt numFmtId="190" formatCode="0.00%\ "/>
    <numFmt numFmtId="191" formatCode="\ _(* #,##0_);_(* \(#,##0\);_(* &quot;-&quot;_);_(@_)"/>
    <numFmt numFmtId="192" formatCode="_(* #,##0.000_);_(* \(#,##0.000\);_(* &quot;-&quot;??_);_(@_)"/>
    <numFmt numFmtId="193" formatCode="0.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</font>
    <font>
      <b/>
      <sz val="9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name val="Arial Narrow"/>
      <family val="2"/>
    </font>
    <font>
      <b/>
      <sz val="9"/>
      <name val="Calibri"/>
      <family val="2"/>
    </font>
    <font>
      <sz val="10"/>
      <name val="Times New Roman"/>
      <family val="1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sz val="9"/>
      <color rgb="FFFFFFFF"/>
      <name val="Calibri"/>
      <family val="2"/>
    </font>
    <font>
      <b/>
      <sz val="9"/>
      <color theme="0"/>
      <name val="Calibri"/>
      <family val="2"/>
    </font>
    <font>
      <i/>
      <sz val="9"/>
      <color rgb="FFA6A6A6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8"/>
      <name val="Times New Roman"/>
      <family val="1"/>
    </font>
    <font>
      <b/>
      <sz val="9"/>
      <color rgb="FF0000FF"/>
      <name val="Wingdings 2"/>
      <family val="1"/>
      <charset val="2"/>
    </font>
    <font>
      <i/>
      <sz val="9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theme="3" tint="-0.499984740745262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b/>
      <sz val="11"/>
      <color rgb="FF003A6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0"/>
      <color rgb="FFFFFFFF"/>
      <name val="Calibri"/>
      <family val="2"/>
      <scheme val="minor"/>
    </font>
    <font>
      <b/>
      <sz val="10"/>
      <color rgb="FF1F497D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7"/>
      <color rgb="FF000000"/>
      <name val="Montserrat"/>
    </font>
    <font>
      <b/>
      <sz val="9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indexed="62"/>
      </top>
      <bottom style="medium">
        <color rgb="FF003A63"/>
      </bottom>
      <diagonal/>
    </border>
    <border>
      <left/>
      <right/>
      <top/>
      <bottom style="medium">
        <color rgb="FF003A63"/>
      </bottom>
      <diagonal/>
    </border>
    <border>
      <left/>
      <right/>
      <top style="medium">
        <color rgb="FF003A63"/>
      </top>
      <bottom style="medium">
        <color rgb="FF003A63"/>
      </bottom>
      <diagonal/>
    </border>
    <border>
      <left/>
      <right/>
      <top style="medium">
        <color rgb="FF003A6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double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23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" fillId="0" borderId="0"/>
    <xf numFmtId="168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/>
    <xf numFmtId="168" fontId="36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0" borderId="0" applyProtection="0">
      <alignment vertical="center"/>
    </xf>
    <xf numFmtId="0" fontId="11" fillId="0" borderId="0"/>
    <xf numFmtId="0" fontId="33" fillId="0" borderId="0"/>
  </cellStyleXfs>
  <cellXfs count="66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5" fillId="0" borderId="0" xfId="0" applyFont="1"/>
    <xf numFmtId="164" fontId="5" fillId="0" borderId="0" xfId="1" applyNumberFormat="1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164" fontId="7" fillId="0" borderId="0" xfId="1" applyNumberFormat="1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Alignment="1">
      <alignment horizontal="center"/>
    </xf>
    <xf numFmtId="166" fontId="7" fillId="0" borderId="0" xfId="3" applyNumberFormat="1" applyFont="1" applyAlignment="1">
      <alignment horizontal="right"/>
    </xf>
    <xf numFmtId="167" fontId="5" fillId="0" borderId="0" xfId="1" applyNumberFormat="1" applyFont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9" fillId="0" borderId="0" xfId="1" applyNumberFormat="1" applyFont="1" applyAlignment="1">
      <alignment horizontal="center"/>
    </xf>
    <xf numFmtId="43" fontId="5" fillId="0" borderId="0" xfId="1" applyFont="1" applyAlignment="1">
      <alignment horizontal="center"/>
    </xf>
    <xf numFmtId="0" fontId="9" fillId="0" borderId="0" xfId="0" applyFont="1"/>
    <xf numFmtId="0" fontId="9" fillId="3" borderId="0" xfId="0" applyFont="1" applyFill="1"/>
    <xf numFmtId="164" fontId="9" fillId="3" borderId="0" xfId="1" applyNumberFormat="1" applyFont="1" applyFill="1"/>
    <xf numFmtId="0" fontId="9" fillId="4" borderId="0" xfId="0" applyFont="1" applyFill="1"/>
    <xf numFmtId="164" fontId="9" fillId="4" borderId="0" xfId="1" applyNumberFormat="1" applyFont="1" applyFill="1"/>
    <xf numFmtId="10" fontId="9" fillId="3" borderId="0" xfId="3" applyNumberFormat="1" applyFont="1" applyFill="1"/>
    <xf numFmtId="10" fontId="5" fillId="0" borderId="0" xfId="3" applyNumberFormat="1" applyFont="1"/>
    <xf numFmtId="0" fontId="5" fillId="0" borderId="1" xfId="0" applyFont="1" applyBorder="1"/>
    <xf numFmtId="10" fontId="5" fillId="0" borderId="1" xfId="3" applyNumberFormat="1" applyFont="1" applyBorder="1"/>
    <xf numFmtId="0" fontId="7" fillId="5" borderId="0" xfId="0" applyFont="1" applyFill="1" applyAlignment="1">
      <alignment horizontal="center"/>
    </xf>
    <xf numFmtId="164" fontId="9" fillId="4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0" fontId="10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/>
    </xf>
    <xf numFmtId="0" fontId="0" fillId="6" borderId="0" xfId="0" applyFill="1"/>
    <xf numFmtId="0" fontId="0" fillId="6" borderId="0" xfId="0" applyFill="1" applyAlignment="1">
      <alignment horizontal="center"/>
    </xf>
    <xf numFmtId="169" fontId="0" fillId="6" borderId="0" xfId="4" applyNumberFormat="1" applyFont="1" applyFill="1" applyAlignment="1">
      <alignment horizontal="center"/>
    </xf>
    <xf numFmtId="3" fontId="0" fillId="6" borderId="0" xfId="0" applyNumberFormat="1" applyFill="1"/>
    <xf numFmtId="0" fontId="15" fillId="7" borderId="0" xfId="0" applyFont="1" applyFill="1" applyAlignment="1">
      <alignment horizontal="left" vertical="center" wrapText="1" indent="1"/>
    </xf>
    <xf numFmtId="0" fontId="0" fillId="7" borderId="0" xfId="0" applyFill="1" applyAlignment="1">
      <alignment horizontal="center"/>
    </xf>
    <xf numFmtId="169" fontId="0" fillId="7" borderId="0" xfId="4" applyNumberFormat="1" applyFont="1" applyFill="1" applyAlignment="1">
      <alignment horizontal="center"/>
    </xf>
    <xf numFmtId="0" fontId="16" fillId="7" borderId="0" xfId="0" applyFont="1" applyFill="1"/>
    <xf numFmtId="0" fontId="17" fillId="6" borderId="0" xfId="5" applyFont="1" applyFill="1" applyAlignment="1">
      <alignment horizontal="left" indent="2"/>
    </xf>
    <xf numFmtId="3" fontId="16" fillId="6" borderId="0" xfId="0" applyNumberFormat="1" applyFont="1" applyFill="1" applyAlignment="1">
      <alignment horizontal="right"/>
    </xf>
    <xf numFmtId="3" fontId="16" fillId="6" borderId="0" xfId="4" applyNumberFormat="1" applyFont="1" applyFill="1" applyAlignment="1">
      <alignment horizontal="right"/>
    </xf>
    <xf numFmtId="0" fontId="17" fillId="6" borderId="1" xfId="5" applyFont="1" applyFill="1" applyBorder="1" applyAlignment="1">
      <alignment horizontal="left" indent="2"/>
    </xf>
    <xf numFmtId="3" fontId="16" fillId="6" borderId="1" xfId="0" applyNumberFormat="1" applyFont="1" applyFill="1" applyBorder="1" applyAlignment="1">
      <alignment horizontal="right"/>
    </xf>
    <xf numFmtId="3" fontId="16" fillId="6" borderId="1" xfId="4" applyNumberFormat="1" applyFont="1" applyFill="1" applyBorder="1" applyAlignment="1">
      <alignment horizontal="right"/>
    </xf>
    <xf numFmtId="0" fontId="18" fillId="6" borderId="0" xfId="5" applyFont="1" applyFill="1" applyAlignment="1">
      <alignment horizontal="left" indent="1"/>
    </xf>
    <xf numFmtId="3" fontId="19" fillId="6" borderId="0" xfId="0" applyNumberFormat="1" applyFont="1" applyFill="1" applyAlignment="1">
      <alignment horizontal="right"/>
    </xf>
    <xf numFmtId="3" fontId="16" fillId="7" borderId="0" xfId="0" applyNumberFormat="1" applyFont="1" applyFill="1" applyAlignment="1">
      <alignment horizontal="right"/>
    </xf>
    <xf numFmtId="3" fontId="16" fillId="7" borderId="0" xfId="4" applyNumberFormat="1" applyFont="1" applyFill="1" applyAlignment="1">
      <alignment horizontal="right"/>
    </xf>
    <xf numFmtId="0" fontId="15" fillId="8" borderId="0" xfId="0" applyFont="1" applyFill="1" applyAlignment="1">
      <alignment horizontal="left" vertical="center" wrapText="1" indent="1"/>
    </xf>
    <xf numFmtId="3" fontId="16" fillId="8" borderId="0" xfId="0" applyNumberFormat="1" applyFont="1" applyFill="1" applyAlignment="1">
      <alignment horizontal="right"/>
    </xf>
    <xf numFmtId="3" fontId="16" fillId="8" borderId="0" xfId="4" applyNumberFormat="1" applyFont="1" applyFill="1" applyAlignment="1">
      <alignment horizontal="right"/>
    </xf>
    <xf numFmtId="3" fontId="16" fillId="6" borderId="0" xfId="4" applyNumberFormat="1" applyFont="1" applyFill="1" applyBorder="1" applyAlignment="1">
      <alignment horizontal="right"/>
    </xf>
    <xf numFmtId="0" fontId="16" fillId="6" borderId="0" xfId="0" applyFont="1" applyFill="1" applyAlignment="1">
      <alignment horizontal="right"/>
    </xf>
    <xf numFmtId="169" fontId="16" fillId="6" borderId="0" xfId="4" applyNumberFormat="1" applyFont="1" applyFill="1" applyAlignment="1">
      <alignment horizontal="right"/>
    </xf>
    <xf numFmtId="0" fontId="16" fillId="6" borderId="0" xfId="0" applyFont="1" applyFill="1"/>
    <xf numFmtId="0" fontId="17" fillId="0" borderId="0" xfId="6" applyFont="1" applyAlignment="1">
      <alignment vertical="center"/>
    </xf>
    <xf numFmtId="1" fontId="12" fillId="0" borderId="0" xfId="7" applyNumberFormat="1" applyFont="1" applyAlignment="1">
      <alignment horizontal="left" vertical="center"/>
    </xf>
    <xf numFmtId="0" fontId="21" fillId="0" borderId="0" xfId="8" applyFont="1" applyAlignment="1">
      <alignment horizontal="center" vertical="center"/>
    </xf>
    <xf numFmtId="0" fontId="22" fillId="0" borderId="3" xfId="6" applyFont="1" applyBorder="1" applyAlignment="1">
      <alignment horizontal="left"/>
    </xf>
    <xf numFmtId="166" fontId="22" fillId="0" borderId="3" xfId="9" applyNumberFormat="1" applyFont="1" applyFill="1" applyBorder="1" applyAlignment="1">
      <alignment horizontal="center"/>
    </xf>
    <xf numFmtId="171" fontId="22" fillId="0" borderId="3" xfId="10" applyNumberFormat="1" applyFont="1" applyFill="1" applyBorder="1"/>
    <xf numFmtId="169" fontId="22" fillId="0" borderId="3" xfId="6" applyNumberFormat="1" applyFont="1" applyBorder="1"/>
    <xf numFmtId="0" fontId="24" fillId="0" borderId="0" xfId="6" applyFont="1" applyAlignment="1">
      <alignment horizontal="left" indent="1"/>
    </xf>
    <xf numFmtId="172" fontId="25" fillId="9" borderId="0" xfId="6" applyNumberFormat="1" applyFont="1" applyFill="1" applyAlignment="1">
      <alignment horizontal="center" vertical="center"/>
    </xf>
    <xf numFmtId="171" fontId="24" fillId="0" borderId="0" xfId="10" applyNumberFormat="1" applyFont="1" applyFill="1" applyBorder="1"/>
    <xf numFmtId="169" fontId="26" fillId="9" borderId="0" xfId="6" applyNumberFormat="1" applyFont="1" applyFill="1"/>
    <xf numFmtId="172" fontId="25" fillId="9" borderId="0" xfId="6" quotePrefix="1" applyNumberFormat="1" applyFont="1" applyFill="1" applyAlignment="1">
      <alignment horizontal="center" vertical="center"/>
    </xf>
    <xf numFmtId="173" fontId="25" fillId="9" borderId="0" xfId="6" quotePrefix="1" applyNumberFormat="1" applyFont="1" applyFill="1" applyAlignment="1">
      <alignment horizontal="center" vertical="center"/>
    </xf>
    <xf numFmtId="174" fontId="25" fillId="9" borderId="0" xfId="6" quotePrefix="1" applyNumberFormat="1" applyFont="1" applyFill="1" applyAlignment="1">
      <alignment horizontal="center" vertical="center"/>
    </xf>
    <xf numFmtId="175" fontId="25" fillId="9" borderId="0" xfId="6" quotePrefix="1" applyNumberFormat="1" applyFont="1" applyFill="1" applyAlignment="1">
      <alignment horizontal="center" vertical="center"/>
    </xf>
    <xf numFmtId="0" fontId="21" fillId="0" borderId="0" xfId="8" applyFont="1"/>
    <xf numFmtId="0" fontId="29" fillId="0" borderId="0" xfId="6" applyFont="1" applyAlignment="1">
      <alignment horizontal="left" indent="1"/>
    </xf>
    <xf numFmtId="171" fontId="29" fillId="0" borderId="0" xfId="10" applyNumberFormat="1" applyFont="1" applyFill="1" applyBorder="1"/>
    <xf numFmtId="176" fontId="25" fillId="9" borderId="0" xfId="6" quotePrefix="1" applyNumberFormat="1" applyFont="1" applyFill="1" applyAlignment="1">
      <alignment horizontal="center" vertical="center"/>
    </xf>
    <xf numFmtId="173" fontId="25" fillId="9" borderId="0" xfId="6" applyNumberFormat="1" applyFont="1" applyFill="1" applyAlignment="1">
      <alignment horizontal="center" vertical="center"/>
    </xf>
    <xf numFmtId="177" fontId="25" fillId="9" borderId="0" xfId="6" quotePrefix="1" applyNumberFormat="1" applyFont="1" applyFill="1" applyAlignment="1">
      <alignment horizontal="center" vertical="center"/>
    </xf>
    <xf numFmtId="0" fontId="17" fillId="4" borderId="0" xfId="6" applyFont="1" applyFill="1" applyAlignment="1">
      <alignment vertical="center" textRotation="90"/>
    </xf>
    <xf numFmtId="0" fontId="17" fillId="0" borderId="0" xfId="6" applyFont="1" applyAlignment="1">
      <alignment vertical="center" textRotation="90"/>
    </xf>
    <xf numFmtId="0" fontId="20" fillId="0" borderId="0" xfId="11" applyFont="1" applyAlignment="1">
      <alignment horizontal="left" vertical="center"/>
    </xf>
    <xf numFmtId="0" fontId="27" fillId="0" borderId="0" xfId="11" applyFont="1" applyAlignment="1">
      <alignment horizontal="center" vertical="center"/>
    </xf>
    <xf numFmtId="171" fontId="28" fillId="0" borderId="0" xfId="10" applyNumberFormat="1" applyFont="1" applyFill="1" applyBorder="1"/>
    <xf numFmtId="178" fontId="17" fillId="4" borderId="0" xfId="6" quotePrefix="1" applyNumberFormat="1" applyFont="1" applyFill="1" applyAlignment="1">
      <alignment horizontal="center" vertical="center"/>
    </xf>
    <xf numFmtId="175" fontId="17" fillId="4" borderId="0" xfId="6" quotePrefix="1" applyNumberFormat="1" applyFont="1" applyFill="1" applyAlignment="1">
      <alignment horizontal="center" vertical="center"/>
    </xf>
    <xf numFmtId="173" fontId="17" fillId="4" borderId="0" xfId="6" applyNumberFormat="1" applyFont="1" applyFill="1" applyAlignment="1">
      <alignment horizontal="center" vertical="center"/>
    </xf>
    <xf numFmtId="0" fontId="17" fillId="4" borderId="0" xfId="6" applyFont="1" applyFill="1" applyAlignment="1">
      <alignment vertical="center" textRotation="90" wrapText="1"/>
    </xf>
    <xf numFmtId="0" fontId="17" fillId="0" borderId="0" xfId="6" applyFont="1" applyAlignment="1">
      <alignment vertical="center" textRotation="90" wrapText="1"/>
    </xf>
    <xf numFmtId="0" fontId="17" fillId="0" borderId="0" xfId="6" applyFont="1" applyAlignment="1">
      <alignment horizontal="center" vertical="center" textRotation="90"/>
    </xf>
    <xf numFmtId="178" fontId="25" fillId="9" borderId="0" xfId="6" quotePrefix="1" applyNumberFormat="1" applyFont="1" applyFill="1" applyAlignment="1">
      <alignment horizontal="center" vertical="center"/>
    </xf>
    <xf numFmtId="179" fontId="25" fillId="9" borderId="0" xfId="6" quotePrefix="1" applyNumberFormat="1" applyFont="1" applyFill="1" applyAlignment="1">
      <alignment horizontal="center" vertical="center"/>
    </xf>
    <xf numFmtId="0" fontId="30" fillId="0" borderId="0" xfId="6" applyFont="1" applyAlignment="1">
      <alignment vertical="center" textRotation="90" wrapText="1"/>
    </xf>
    <xf numFmtId="0" fontId="24" fillId="6" borderId="0" xfId="6" applyFont="1" applyFill="1" applyAlignment="1">
      <alignment horizontal="left" indent="1"/>
    </xf>
    <xf numFmtId="166" fontId="17" fillId="4" borderId="4" xfId="9" quotePrefix="1" applyNumberFormat="1" applyFont="1" applyFill="1" applyBorder="1" applyAlignment="1">
      <alignment horizontal="center"/>
    </xf>
    <xf numFmtId="173" fontId="17" fillId="4" borderId="0" xfId="6" quotePrefix="1" applyNumberFormat="1" applyFont="1" applyFill="1" applyAlignment="1">
      <alignment horizontal="center" vertical="center"/>
    </xf>
    <xf numFmtId="2" fontId="25" fillId="9" borderId="0" xfId="6" quotePrefix="1" applyNumberFormat="1" applyFont="1" applyFill="1" applyAlignment="1">
      <alignment horizontal="center" vertical="center"/>
    </xf>
    <xf numFmtId="0" fontId="31" fillId="0" borderId="0" xfId="6" applyFont="1"/>
    <xf numFmtId="166" fontId="25" fillId="9" borderId="0" xfId="3" quotePrefix="1" applyNumberFormat="1" applyFont="1" applyFill="1" applyAlignment="1">
      <alignment horizontal="center" vertical="center"/>
    </xf>
    <xf numFmtId="171" fontId="31" fillId="0" borderId="0" xfId="6" applyNumberFormat="1" applyFont="1"/>
    <xf numFmtId="169" fontId="31" fillId="0" borderId="0" xfId="1" applyNumberFormat="1" applyFont="1" applyFill="1" applyBorder="1"/>
    <xf numFmtId="0" fontId="17" fillId="0" borderId="0" xfId="5" applyFont="1" applyAlignment="1">
      <alignment vertical="center"/>
    </xf>
    <xf numFmtId="43" fontId="18" fillId="0" borderId="0" xfId="1" applyFont="1" applyFill="1" applyBorder="1" applyAlignment="1">
      <alignment horizontal="right" vertical="center"/>
    </xf>
    <xf numFmtId="169" fontId="17" fillId="0" borderId="0" xfId="1" applyNumberFormat="1" applyFont="1" applyFill="1" applyAlignment="1">
      <alignment vertical="center"/>
    </xf>
    <xf numFmtId="0" fontId="17" fillId="0" borderId="0" xfId="6" applyFont="1" applyAlignment="1">
      <alignment horizontal="justify" vertical="center"/>
    </xf>
    <xf numFmtId="0" fontId="17" fillId="0" borderId="0" xfId="5" applyFont="1" applyAlignment="1">
      <alignment vertical="center" textRotation="90"/>
    </xf>
    <xf numFmtId="0" fontId="32" fillId="0" borderId="0" xfId="12" applyFont="1" applyAlignment="1">
      <alignment vertical="center"/>
    </xf>
    <xf numFmtId="169" fontId="32" fillId="0" borderId="0" xfId="10" applyNumberFormat="1" applyFont="1" applyFill="1" applyBorder="1" applyAlignment="1">
      <alignment horizontal="right" vertical="center"/>
    </xf>
    <xf numFmtId="180" fontId="34" fillId="0" borderId="0" xfId="13" applyNumberFormat="1" applyFont="1" applyFill="1" applyBorder="1" applyAlignment="1" applyProtection="1">
      <alignment horizontal="center"/>
    </xf>
    <xf numFmtId="0" fontId="18" fillId="0" borderId="0" xfId="6" applyFont="1" applyAlignment="1">
      <alignment horizontal="center" vertical="center" textRotation="90"/>
    </xf>
    <xf numFmtId="171" fontId="0" fillId="6" borderId="0" xfId="0" applyNumberFormat="1" applyFill="1"/>
    <xf numFmtId="171" fontId="17" fillId="0" borderId="0" xfId="10" applyNumberFormat="1" applyFont="1" applyFill="1" applyBorder="1" applyAlignment="1">
      <alignment vertical="center" wrapText="1"/>
    </xf>
    <xf numFmtId="171" fontId="17" fillId="0" borderId="1" xfId="10" applyNumberFormat="1" applyFont="1" applyFill="1" applyBorder="1" applyAlignment="1">
      <alignment vertical="center" wrapText="1"/>
    </xf>
    <xf numFmtId="171" fontId="17" fillId="0" borderId="6" xfId="10" applyNumberFormat="1" applyFont="1" applyBorder="1" applyAlignment="1">
      <alignment horizontal="left" vertical="center"/>
    </xf>
    <xf numFmtId="171" fontId="17" fillId="0" borderId="0" xfId="10" applyNumberFormat="1" applyFont="1" applyFill="1" applyAlignment="1">
      <alignment vertical="center"/>
    </xf>
    <xf numFmtId="171" fontId="18" fillId="4" borderId="6" xfId="10" applyNumberFormat="1" applyFont="1" applyFill="1" applyBorder="1" applyAlignment="1">
      <alignment horizontal="right" vertical="center"/>
    </xf>
    <xf numFmtId="171" fontId="17" fillId="0" borderId="0" xfId="10" applyNumberFormat="1" applyFont="1" applyFill="1" applyBorder="1" applyAlignment="1">
      <alignment horizontal="left" vertical="center"/>
    </xf>
    <xf numFmtId="171" fontId="18" fillId="4" borderId="0" xfId="10" applyNumberFormat="1" applyFont="1" applyFill="1" applyBorder="1" applyAlignment="1">
      <alignment horizontal="right" vertical="center"/>
    </xf>
    <xf numFmtId="171" fontId="35" fillId="0" borderId="0" xfId="10" applyNumberFormat="1" applyFont="1" applyFill="1" applyBorder="1" applyAlignment="1">
      <alignment horizontal="left" vertical="center"/>
    </xf>
    <xf numFmtId="166" fontId="17" fillId="6" borderId="0" xfId="14" applyNumberFormat="1" applyFont="1" applyFill="1" applyBorder="1" applyAlignment="1">
      <alignment vertical="center"/>
    </xf>
    <xf numFmtId="168" fontId="17" fillId="0" borderId="0" xfId="6" applyNumberFormat="1" applyFont="1" applyAlignment="1">
      <alignment vertical="center"/>
    </xf>
    <xf numFmtId="168" fontId="17" fillId="0" borderId="0" xfId="10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1" fontId="0" fillId="0" borderId="0" xfId="0" applyNumberFormat="1"/>
    <xf numFmtId="0" fontId="2" fillId="0" borderId="0" xfId="0" applyFont="1"/>
    <xf numFmtId="0" fontId="16" fillId="0" borderId="0" xfId="0" applyFont="1"/>
    <xf numFmtId="181" fontId="16" fillId="0" borderId="0" xfId="0" applyNumberFormat="1" applyFont="1"/>
    <xf numFmtId="173" fontId="36" fillId="0" borderId="0" xfId="0" applyNumberFormat="1" applyFont="1" applyAlignment="1">
      <alignment horizontal="center" vertical="center"/>
    </xf>
    <xf numFmtId="18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1" fontId="36" fillId="0" borderId="0" xfId="1" applyNumberFormat="1" applyFont="1" applyFill="1" applyAlignment="1">
      <alignment horizontal="center"/>
    </xf>
    <xf numFmtId="175" fontId="36" fillId="0" borderId="0" xfId="0" applyNumberFormat="1" applyFont="1" applyAlignment="1">
      <alignment horizontal="center" vertical="center"/>
    </xf>
    <xf numFmtId="183" fontId="36" fillId="0" borderId="0" xfId="0" applyNumberFormat="1" applyFont="1" applyAlignment="1">
      <alignment horizontal="center" vertical="center"/>
    </xf>
    <xf numFmtId="179" fontId="36" fillId="0" borderId="0" xfId="0" applyNumberFormat="1" applyFont="1" applyAlignment="1">
      <alignment horizontal="center" vertical="center"/>
    </xf>
    <xf numFmtId="174" fontId="36" fillId="0" borderId="0" xfId="0" applyNumberFormat="1" applyFont="1" applyAlignment="1">
      <alignment horizontal="center" vertical="center"/>
    </xf>
    <xf numFmtId="172" fontId="36" fillId="0" borderId="0" xfId="0" applyNumberFormat="1" applyFont="1" applyAlignment="1">
      <alignment horizontal="center" vertical="center"/>
    </xf>
    <xf numFmtId="43" fontId="37" fillId="0" borderId="0" xfId="1" applyFont="1" applyFill="1" applyAlignment="1">
      <alignment horizontal="center"/>
    </xf>
    <xf numFmtId="184" fontId="36" fillId="0" borderId="0" xfId="0" applyNumberFormat="1" applyFont="1" applyAlignment="1">
      <alignment horizontal="center" vertical="center"/>
    </xf>
    <xf numFmtId="183" fontId="36" fillId="0" borderId="0" xfId="15" applyNumberFormat="1" applyFont="1" applyAlignment="1">
      <alignment horizontal="center" vertical="center"/>
    </xf>
    <xf numFmtId="173" fontId="36" fillId="0" borderId="0" xfId="15" applyNumberFormat="1" applyFont="1" applyAlignment="1">
      <alignment horizontal="center" vertical="center"/>
    </xf>
    <xf numFmtId="174" fontId="36" fillId="0" borderId="0" xfId="15" applyNumberFormat="1" applyFont="1" applyAlignment="1">
      <alignment horizontal="center" vertical="center"/>
    </xf>
    <xf numFmtId="185" fontId="36" fillId="0" borderId="0" xfId="0" applyNumberFormat="1" applyFont="1" applyAlignment="1">
      <alignment horizontal="center" vertical="center"/>
    </xf>
    <xf numFmtId="186" fontId="36" fillId="0" borderId="0" xfId="0" applyNumberFormat="1" applyFont="1" applyAlignment="1">
      <alignment horizontal="center" vertical="center"/>
    </xf>
    <xf numFmtId="178" fontId="36" fillId="0" borderId="0" xfId="0" applyNumberFormat="1" applyFont="1" applyAlignment="1">
      <alignment horizontal="center" vertical="center"/>
    </xf>
    <xf numFmtId="187" fontId="36" fillId="0" borderId="0" xfId="0" applyNumberFormat="1" applyFont="1" applyAlignment="1">
      <alignment horizontal="center" vertical="center"/>
    </xf>
    <xf numFmtId="188" fontId="36" fillId="0" borderId="0" xfId="0" applyNumberFormat="1" applyFont="1" applyAlignment="1">
      <alignment horizontal="center" vertical="center"/>
    </xf>
    <xf numFmtId="43" fontId="37" fillId="0" borderId="0" xfId="1" applyFont="1" applyFill="1" applyBorder="1" applyAlignment="1">
      <alignment horizontal="center"/>
    </xf>
    <xf numFmtId="43" fontId="38" fillId="0" borderId="0" xfId="1" applyFont="1" applyFill="1" applyAlignment="1">
      <alignment horizontal="center" vertical="center"/>
    </xf>
    <xf numFmtId="43" fontId="36" fillId="0" borderId="0" xfId="1" applyFont="1" applyFill="1" applyAlignment="1">
      <alignment horizontal="center"/>
    </xf>
    <xf numFmtId="189" fontId="36" fillId="0" borderId="0" xfId="0" applyNumberFormat="1" applyFont="1" applyAlignment="1">
      <alignment horizontal="center" vertical="center"/>
    </xf>
    <xf numFmtId="190" fontId="36" fillId="0" borderId="0" xfId="0" applyNumberFormat="1" applyFont="1" applyAlignment="1">
      <alignment horizontal="center" vertical="center"/>
    </xf>
    <xf numFmtId="9" fontId="37" fillId="0" borderId="0" xfId="0" applyNumberFormat="1" applyFont="1" applyAlignment="1">
      <alignment horizontal="center" vertical="center"/>
    </xf>
    <xf numFmtId="0" fontId="16" fillId="0" borderId="1" xfId="0" applyFont="1" applyBorder="1"/>
    <xf numFmtId="181" fontId="16" fillId="0" borderId="1" xfId="0" applyNumberFormat="1" applyFont="1" applyBorder="1"/>
    <xf numFmtId="9" fontId="36" fillId="0" borderId="1" xfId="0" applyNumberFormat="1" applyFont="1" applyBorder="1" applyAlignment="1">
      <alignment horizontal="center" vertical="center"/>
    </xf>
    <xf numFmtId="18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1" fontId="36" fillId="0" borderId="1" xfId="1" applyNumberFormat="1" applyFont="1" applyFill="1" applyBorder="1" applyAlignment="1">
      <alignment horizontal="center"/>
    </xf>
    <xf numFmtId="0" fontId="12" fillId="2" borderId="0" xfId="5" applyFont="1" applyFill="1" applyAlignment="1">
      <alignment vertical="center"/>
    </xf>
    <xf numFmtId="0" fontId="13" fillId="2" borderId="0" xfId="4" applyNumberFormat="1" applyFont="1" applyFill="1" applyBorder="1" applyAlignment="1">
      <alignment horizontal="center"/>
    </xf>
    <xf numFmtId="169" fontId="13" fillId="2" borderId="0" xfId="4" applyNumberFormat="1" applyFont="1" applyFill="1" applyBorder="1" applyAlignment="1">
      <alignment horizontal="center"/>
    </xf>
    <xf numFmtId="169" fontId="14" fillId="10" borderId="0" xfId="4" applyNumberFormat="1" applyFont="1" applyFill="1" applyBorder="1" applyAlignment="1">
      <alignment horizontal="center"/>
    </xf>
    <xf numFmtId="170" fontId="14" fillId="10" borderId="0" xfId="4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center" wrapText="1" indent="1"/>
    </xf>
    <xf numFmtId="0" fontId="17" fillId="0" borderId="0" xfId="18" applyFont="1"/>
    <xf numFmtId="0" fontId="18" fillId="6" borderId="10" xfId="18" applyFont="1" applyFill="1" applyBorder="1"/>
    <xf numFmtId="171" fontId="18" fillId="6" borderId="10" xfId="19" applyNumberFormat="1" applyFont="1" applyFill="1" applyBorder="1" applyAlignment="1">
      <alignment horizontal="right" vertical="center"/>
    </xf>
    <xf numFmtId="0" fontId="17" fillId="6" borderId="0" xfId="18" applyFont="1" applyFill="1"/>
    <xf numFmtId="171" fontId="17" fillId="6" borderId="0" xfId="18" applyNumberFormat="1" applyFont="1" applyFill="1"/>
    <xf numFmtId="0" fontId="17" fillId="6" borderId="11" xfId="18" applyFont="1" applyFill="1" applyBorder="1"/>
    <xf numFmtId="0" fontId="18" fillId="6" borderId="12" xfId="18" applyFont="1" applyFill="1" applyBorder="1"/>
    <xf numFmtId="171" fontId="18" fillId="6" borderId="12" xfId="19" applyNumberFormat="1" applyFont="1" applyFill="1" applyBorder="1" applyAlignment="1">
      <alignment horizontal="right" vertical="center"/>
    </xf>
    <xf numFmtId="171" fontId="17" fillId="0" borderId="0" xfId="18" applyNumberFormat="1" applyFont="1"/>
    <xf numFmtId="0" fontId="18" fillId="6" borderId="11" xfId="18" applyFont="1" applyFill="1" applyBorder="1"/>
    <xf numFmtId="171" fontId="18" fillId="0" borderId="0" xfId="18" applyNumberFormat="1" applyFont="1"/>
    <xf numFmtId="0" fontId="18" fillId="6" borderId="12" xfId="18" applyFont="1" applyFill="1" applyBorder="1" applyAlignment="1">
      <alignment horizontal="left"/>
    </xf>
    <xf numFmtId="0" fontId="17" fillId="6" borderId="12" xfId="18" applyFont="1" applyFill="1" applyBorder="1"/>
    <xf numFmtId="171" fontId="17" fillId="6" borderId="11" xfId="20" applyNumberFormat="1" applyFont="1" applyFill="1" applyBorder="1" applyAlignment="1">
      <alignment horizontal="right" vertical="center"/>
    </xf>
    <xf numFmtId="171" fontId="18" fillId="6" borderId="11" xfId="20" applyNumberFormat="1" applyFont="1" applyFill="1" applyBorder="1" applyAlignment="1">
      <alignment horizontal="right" vertical="center"/>
    </xf>
    <xf numFmtId="171" fontId="25" fillId="11" borderId="0" xfId="18" applyNumberFormat="1" applyFont="1" applyFill="1"/>
    <xf numFmtId="171" fontId="22" fillId="11" borderId="12" xfId="19" applyNumberFormat="1" applyFont="1" applyFill="1" applyBorder="1" applyAlignment="1">
      <alignment horizontal="right" vertical="center"/>
    </xf>
    <xf numFmtId="191" fontId="22" fillId="11" borderId="12" xfId="19" applyNumberFormat="1" applyFont="1" applyFill="1" applyBorder="1" applyAlignment="1">
      <alignment horizontal="right" vertical="center"/>
    </xf>
    <xf numFmtId="191" fontId="25" fillId="11" borderId="0" xfId="18" applyNumberFormat="1" applyFont="1" applyFill="1"/>
    <xf numFmtId="191" fontId="25" fillId="0" borderId="0" xfId="18" applyNumberFormat="1" applyFont="1"/>
    <xf numFmtId="171" fontId="18" fillId="0" borderId="12" xfId="19" applyNumberFormat="1" applyFont="1" applyFill="1" applyBorder="1" applyAlignment="1">
      <alignment horizontal="right" vertical="center"/>
    </xf>
    <xf numFmtId="171" fontId="25" fillId="0" borderId="0" xfId="18" applyNumberFormat="1" applyFont="1"/>
    <xf numFmtId="0" fontId="19" fillId="0" borderId="0" xfId="0" applyFont="1"/>
    <xf numFmtId="0" fontId="43" fillId="3" borderId="0" xfId="18" applyFont="1" applyFill="1"/>
    <xf numFmtId="3" fontId="19" fillId="3" borderId="0" xfId="0" applyNumberFormat="1" applyFont="1" applyFill="1"/>
    <xf numFmtId="0" fontId="44" fillId="0" borderId="0" xfId="18" applyFont="1" applyAlignment="1">
      <alignment horizontal="left" indent="1"/>
    </xf>
    <xf numFmtId="3" fontId="16" fillId="0" borderId="0" xfId="0" applyNumberFormat="1" applyFont="1"/>
    <xf numFmtId="0" fontId="43" fillId="0" borderId="0" xfId="18" applyFont="1"/>
    <xf numFmtId="3" fontId="19" fillId="0" borderId="0" xfId="0" applyNumberFormat="1" applyFont="1"/>
    <xf numFmtId="0" fontId="44" fillId="0" borderId="0" xfId="5" applyFont="1" applyAlignment="1">
      <alignment horizontal="left" vertical="center" indent="1"/>
    </xf>
    <xf numFmtId="0" fontId="44" fillId="0" borderId="0" xfId="18" applyFont="1" applyAlignment="1">
      <alignment horizontal="left"/>
    </xf>
    <xf numFmtId="171" fontId="44" fillId="0" borderId="0" xfId="19" applyNumberFormat="1" applyFont="1" applyFill="1" applyBorder="1" applyAlignment="1">
      <alignment horizontal="left" indent="1"/>
    </xf>
    <xf numFmtId="0" fontId="43" fillId="6" borderId="0" xfId="18" applyFont="1" applyFill="1"/>
    <xf numFmtId="0" fontId="41" fillId="0" borderId="0" xfId="0" applyFont="1"/>
    <xf numFmtId="0" fontId="41" fillId="7" borderId="0" xfId="0" applyFont="1" applyFill="1"/>
    <xf numFmtId="0" fontId="6" fillId="0" borderId="0" xfId="0" applyFont="1"/>
    <xf numFmtId="0" fontId="18" fillId="6" borderId="10" xfId="0" applyFont="1" applyFill="1" applyBorder="1"/>
    <xf numFmtId="0" fontId="18" fillId="0" borderId="0" xfId="0" applyFont="1"/>
    <xf numFmtId="171" fontId="18" fillId="6" borderId="10" xfId="21" applyNumberFormat="1" applyFont="1" applyFill="1" applyBorder="1" applyAlignment="1">
      <alignment horizontal="right"/>
    </xf>
    <xf numFmtId="171" fontId="9" fillId="6" borderId="10" xfId="21" applyNumberFormat="1" applyFont="1" applyFill="1" applyBorder="1" applyAlignment="1">
      <alignment horizontal="right"/>
    </xf>
    <xf numFmtId="0" fontId="17" fillId="6" borderId="0" xfId="0" applyFont="1" applyFill="1"/>
    <xf numFmtId="0" fontId="17" fillId="0" borderId="0" xfId="0" applyFont="1"/>
    <xf numFmtId="169" fontId="5" fillId="6" borderId="0" xfId="4" applyNumberFormat="1" applyFont="1" applyFill="1"/>
    <xf numFmtId="0" fontId="17" fillId="6" borderId="11" xfId="0" applyFont="1" applyFill="1" applyBorder="1"/>
    <xf numFmtId="0" fontId="18" fillId="6" borderId="12" xfId="0" applyFont="1" applyFill="1" applyBorder="1"/>
    <xf numFmtId="171" fontId="18" fillId="6" borderId="12" xfId="21" applyNumberFormat="1" applyFont="1" applyFill="1" applyBorder="1" applyAlignment="1">
      <alignment horizontal="right"/>
    </xf>
    <xf numFmtId="171" fontId="9" fillId="6" borderId="12" xfId="21" applyNumberFormat="1" applyFont="1" applyFill="1" applyBorder="1" applyAlignment="1">
      <alignment horizontal="right"/>
    </xf>
    <xf numFmtId="171" fontId="18" fillId="6" borderId="0" xfId="21" applyNumberFormat="1" applyFont="1" applyFill="1" applyBorder="1" applyAlignment="1">
      <alignment horizontal="right"/>
    </xf>
    <xf numFmtId="171" fontId="17" fillId="6" borderId="0" xfId="0" applyNumberFormat="1" applyFont="1" applyFill="1"/>
    <xf numFmtId="49" fontId="17" fillId="6" borderId="0" xfId="0" applyNumberFormat="1" applyFont="1" applyFill="1"/>
    <xf numFmtId="49" fontId="17" fillId="0" borderId="0" xfId="0" applyNumberFormat="1" applyFont="1"/>
    <xf numFmtId="169" fontId="5" fillId="0" borderId="0" xfId="4" applyNumberFormat="1" applyFont="1" applyFill="1"/>
    <xf numFmtId="0" fontId="17" fillId="0" borderId="0" xfId="6" applyFont="1"/>
    <xf numFmtId="0" fontId="18" fillId="6" borderId="13" xfId="0" applyFont="1" applyFill="1" applyBorder="1"/>
    <xf numFmtId="0" fontId="5" fillId="6" borderId="0" xfId="0" applyFont="1" applyFill="1"/>
    <xf numFmtId="171" fontId="5" fillId="6" borderId="0" xfId="0" applyNumberFormat="1" applyFont="1" applyFill="1"/>
    <xf numFmtId="171" fontId="17" fillId="6" borderId="0" xfId="4" applyNumberFormat="1" applyFont="1" applyFill="1" applyAlignment="1">
      <alignment horizontal="right"/>
    </xf>
    <xf numFmtId="171" fontId="25" fillId="11" borderId="0" xfId="4" applyNumberFormat="1" applyFont="1" applyFill="1" applyBorder="1" applyAlignment="1">
      <alignment horizontal="right"/>
    </xf>
    <xf numFmtId="171" fontId="25" fillId="6" borderId="0" xfId="4" applyNumberFormat="1" applyFont="1" applyFill="1" applyBorder="1" applyAlignment="1">
      <alignment horizontal="right"/>
    </xf>
    <xf numFmtId="171" fontId="25" fillId="6" borderId="0" xfId="4" applyNumberFormat="1" applyFont="1" applyFill="1" applyAlignment="1">
      <alignment horizontal="right"/>
    </xf>
    <xf numFmtId="171" fontId="5" fillId="6" borderId="0" xfId="4" applyNumberFormat="1" applyFont="1" applyFill="1" applyAlignment="1" applyProtection="1">
      <alignment horizontal="right"/>
      <protection locked="0"/>
    </xf>
    <xf numFmtId="171" fontId="24" fillId="11" borderId="0" xfId="4" applyNumberFormat="1" applyFont="1" applyFill="1" applyBorder="1" applyAlignment="1" applyProtection="1">
      <alignment horizontal="right"/>
      <protection locked="0"/>
    </xf>
    <xf numFmtId="171" fontId="24" fillId="6" borderId="0" xfId="4" applyNumberFormat="1" applyFont="1" applyFill="1" applyBorder="1" applyAlignment="1" applyProtection="1">
      <alignment horizontal="right"/>
      <protection locked="0"/>
    </xf>
    <xf numFmtId="171" fontId="24" fillId="6" borderId="0" xfId="4" applyNumberFormat="1" applyFont="1" applyFill="1" applyAlignment="1" applyProtection="1">
      <alignment horizontal="right"/>
      <protection locked="0"/>
    </xf>
    <xf numFmtId="171" fontId="22" fillId="11" borderId="12" xfId="21" applyNumberFormat="1" applyFont="1" applyFill="1" applyBorder="1" applyAlignment="1">
      <alignment horizontal="right"/>
    </xf>
    <xf numFmtId="171" fontId="25" fillId="11" borderId="0" xfId="0" applyNumberFormat="1" applyFont="1" applyFill="1"/>
    <xf numFmtId="171" fontId="17" fillId="6" borderId="0" xfId="21" applyNumberFormat="1" applyFont="1" applyFill="1" applyBorder="1" applyAlignment="1">
      <alignment horizontal="right"/>
    </xf>
    <xf numFmtId="171" fontId="17" fillId="6" borderId="0" xfId="21" applyNumberFormat="1" applyFont="1" applyFill="1" applyAlignment="1">
      <alignment horizontal="right"/>
    </xf>
    <xf numFmtId="171" fontId="5" fillId="6" borderId="0" xfId="4" applyNumberFormat="1" applyFont="1" applyFill="1" applyAlignment="1">
      <alignment horizontal="right"/>
    </xf>
    <xf numFmtId="171" fontId="24" fillId="11" borderId="0" xfId="4" applyNumberFormat="1" applyFont="1" applyFill="1" applyBorder="1" applyAlignment="1">
      <alignment horizontal="right"/>
    </xf>
    <xf numFmtId="171" fontId="24" fillId="6" borderId="0" xfId="4" applyNumberFormat="1" applyFont="1" applyFill="1" applyBorder="1" applyAlignment="1">
      <alignment horizontal="right"/>
    </xf>
    <xf numFmtId="171" fontId="24" fillId="6" borderId="0" xfId="4" applyNumberFormat="1" applyFont="1" applyFill="1" applyAlignment="1">
      <alignment horizontal="right"/>
    </xf>
    <xf numFmtId="171" fontId="32" fillId="6" borderId="0" xfId="4" applyNumberFormat="1" applyFont="1" applyFill="1" applyBorder="1" applyAlignment="1">
      <alignment horizontal="right"/>
    </xf>
    <xf numFmtId="171" fontId="32" fillId="6" borderId="0" xfId="4" applyNumberFormat="1" applyFont="1" applyFill="1" applyAlignment="1">
      <alignment horizontal="right"/>
    </xf>
    <xf numFmtId="171" fontId="18" fillId="6" borderId="13" xfId="21" applyNumberFormat="1" applyFont="1" applyFill="1" applyBorder="1" applyAlignment="1">
      <alignment horizontal="right"/>
    </xf>
    <xf numFmtId="171" fontId="22" fillId="11" borderId="13" xfId="21" applyNumberFormat="1" applyFont="1" applyFill="1" applyBorder="1" applyAlignment="1">
      <alignment horizontal="right"/>
    </xf>
    <xf numFmtId="171" fontId="22" fillId="6" borderId="13" xfId="21" applyNumberFormat="1" applyFont="1" applyFill="1" applyBorder="1" applyAlignment="1">
      <alignment horizontal="right"/>
    </xf>
    <xf numFmtId="171" fontId="16" fillId="6" borderId="0" xfId="0" applyNumberFormat="1" applyFont="1" applyFill="1"/>
    <xf numFmtId="0" fontId="13" fillId="6" borderId="0" xfId="0" applyFont="1" applyFill="1"/>
    <xf numFmtId="0" fontId="45" fillId="7" borderId="0" xfId="0" applyFont="1" applyFill="1" applyAlignment="1">
      <alignment horizontal="left" vertical="center" wrapText="1" indent="1"/>
    </xf>
    <xf numFmtId="0" fontId="46" fillId="7" borderId="0" xfId="0" applyFont="1" applyFill="1"/>
    <xf numFmtId="0" fontId="44" fillId="6" borderId="0" xfId="0" applyFont="1" applyFill="1" applyAlignment="1">
      <alignment horizontal="left" indent="1"/>
    </xf>
    <xf numFmtId="169" fontId="44" fillId="6" borderId="0" xfId="4" applyNumberFormat="1" applyFont="1" applyFill="1" applyAlignment="1">
      <alignment horizontal="left" indent="1"/>
    </xf>
    <xf numFmtId="0" fontId="43" fillId="6" borderId="12" xfId="0" applyFont="1" applyFill="1" applyBorder="1"/>
    <xf numFmtId="169" fontId="43" fillId="6" borderId="12" xfId="4" applyNumberFormat="1" applyFont="1" applyFill="1" applyBorder="1"/>
    <xf numFmtId="0" fontId="44" fillId="6" borderId="12" xfId="0" applyFont="1" applyFill="1" applyBorder="1"/>
    <xf numFmtId="169" fontId="44" fillId="6" borderId="12" xfId="4" applyNumberFormat="1" applyFont="1" applyFill="1" applyBorder="1"/>
    <xf numFmtId="171" fontId="44" fillId="6" borderId="13" xfId="4" applyNumberFormat="1" applyFont="1" applyFill="1" applyBorder="1" applyAlignment="1">
      <alignment horizontal="right" vertical="center"/>
    </xf>
    <xf numFmtId="0" fontId="43" fillId="0" borderId="12" xfId="0" applyFont="1" applyBorder="1"/>
    <xf numFmtId="3" fontId="43" fillId="6" borderId="12" xfId="0" applyNumberFormat="1" applyFont="1" applyFill="1" applyBorder="1"/>
    <xf numFmtId="0" fontId="44" fillId="6" borderId="0" xfId="0" applyFont="1" applyFill="1"/>
    <xf numFmtId="169" fontId="16" fillId="6" borderId="0" xfId="4" applyNumberFormat="1" applyFont="1" applyFill="1"/>
    <xf numFmtId="169" fontId="43" fillId="6" borderId="12" xfId="0" applyNumberFormat="1" applyFont="1" applyFill="1" applyBorder="1"/>
    <xf numFmtId="3" fontId="44" fillId="6" borderId="12" xfId="0" applyNumberFormat="1" applyFont="1" applyFill="1" applyBorder="1"/>
    <xf numFmtId="0" fontId="43" fillId="0" borderId="0" xfId="0" applyFont="1"/>
    <xf numFmtId="169" fontId="43" fillId="6" borderId="0" xfId="0" applyNumberFormat="1" applyFont="1" applyFill="1"/>
    <xf numFmtId="169" fontId="44" fillId="6" borderId="12" xfId="0" applyNumberFormat="1" applyFont="1" applyFill="1" applyBorder="1"/>
    <xf numFmtId="3" fontId="44" fillId="6" borderId="12" xfId="4" applyNumberFormat="1" applyFont="1" applyFill="1" applyBorder="1"/>
    <xf numFmtId="171" fontId="43" fillId="6" borderId="12" xfId="4" applyNumberFormat="1" applyFont="1" applyFill="1" applyBorder="1" applyAlignment="1">
      <alignment horizontal="right"/>
    </xf>
    <xf numFmtId="0" fontId="44" fillId="0" borderId="0" xfId="0" applyFont="1"/>
    <xf numFmtId="0" fontId="43" fillId="6" borderId="0" xfId="0" applyFont="1" applyFill="1"/>
    <xf numFmtId="171" fontId="43" fillId="6" borderId="0" xfId="4" applyNumberFormat="1" applyFont="1" applyFill="1" applyBorder="1" applyAlignment="1">
      <alignment horizontal="right"/>
    </xf>
    <xf numFmtId="0" fontId="44" fillId="6" borderId="0" xfId="22" applyFont="1" applyFill="1" applyAlignment="1">
      <alignment horizontal="left"/>
    </xf>
    <xf numFmtId="171" fontId="44" fillId="6" borderId="0" xfId="4" applyNumberFormat="1" applyFont="1" applyFill="1" applyAlignment="1">
      <alignment horizontal="right" vertical="center"/>
    </xf>
    <xf numFmtId="0" fontId="44" fillId="0" borderId="0" xfId="22" applyFont="1" applyAlignment="1">
      <alignment horizontal="left"/>
    </xf>
    <xf numFmtId="0" fontId="43" fillId="6" borderId="14" xfId="22" applyFont="1" applyFill="1" applyBorder="1" applyAlignment="1">
      <alignment horizontal="left"/>
    </xf>
    <xf numFmtId="171" fontId="43" fillId="6" borderId="14" xfId="4" applyNumberFormat="1" applyFont="1" applyFill="1" applyBorder="1" applyAlignment="1">
      <alignment horizontal="right" vertical="center"/>
    </xf>
    <xf numFmtId="171" fontId="44" fillId="6" borderId="0" xfId="4" applyNumberFormat="1" applyFont="1" applyFill="1" applyBorder="1" applyAlignment="1">
      <alignment horizontal="right"/>
    </xf>
    <xf numFmtId="169" fontId="44" fillId="6" borderId="0" xfId="4" applyNumberFormat="1" applyFont="1" applyFill="1" applyBorder="1" applyAlignment="1">
      <alignment horizontal="right"/>
    </xf>
    <xf numFmtId="0" fontId="44" fillId="0" borderId="1" xfId="6" applyFont="1" applyBorder="1"/>
    <xf numFmtId="171" fontId="44" fillId="6" borderId="1" xfId="4" applyNumberFormat="1" applyFont="1" applyFill="1" applyBorder="1" applyAlignment="1">
      <alignment horizontal="right"/>
    </xf>
    <xf numFmtId="169" fontId="44" fillId="6" borderId="1" xfId="4" applyNumberFormat="1" applyFont="1" applyFill="1" applyBorder="1" applyAlignment="1">
      <alignment horizontal="right"/>
    </xf>
    <xf numFmtId="166" fontId="44" fillId="6" borderId="0" xfId="3" applyNumberFormat="1" applyFont="1" applyFill="1"/>
    <xf numFmtId="169" fontId="44" fillId="6" borderId="0" xfId="4" applyNumberFormat="1" applyFont="1" applyFill="1" applyAlignment="1">
      <alignment horizontal="right" vertical="center"/>
    </xf>
    <xf numFmtId="0" fontId="44" fillId="6" borderId="1" xfId="0" applyFont="1" applyFill="1" applyBorder="1"/>
    <xf numFmtId="171" fontId="44" fillId="6" borderId="1" xfId="4" applyNumberFormat="1" applyFont="1" applyFill="1" applyBorder="1" applyAlignment="1">
      <alignment horizontal="right" vertical="center"/>
    </xf>
    <xf numFmtId="169" fontId="44" fillId="6" borderId="1" xfId="4" applyNumberFormat="1" applyFont="1" applyFill="1" applyBorder="1" applyAlignment="1">
      <alignment horizontal="right" vertical="center"/>
    </xf>
    <xf numFmtId="169" fontId="16" fillId="6" borderId="1" xfId="4" applyNumberFormat="1" applyFont="1" applyFill="1" applyBorder="1"/>
    <xf numFmtId="166" fontId="16" fillId="6" borderId="0" xfId="3" applyNumberFormat="1" applyFont="1" applyFill="1"/>
    <xf numFmtId="10" fontId="16" fillId="6" borderId="0" xfId="3" applyNumberFormat="1" applyFont="1" applyFill="1"/>
    <xf numFmtId="0" fontId="17" fillId="0" borderId="0" xfId="22" applyFont="1" applyAlignment="1">
      <alignment horizontal="left"/>
    </xf>
    <xf numFmtId="169" fontId="44" fillId="6" borderId="0" xfId="0" applyNumberFormat="1" applyFont="1" applyFill="1"/>
    <xf numFmtId="171" fontId="43" fillId="0" borderId="14" xfId="4" applyNumberFormat="1" applyFont="1" applyFill="1" applyBorder="1" applyAlignment="1">
      <alignment horizontal="right" vertical="center"/>
    </xf>
    <xf numFmtId="3" fontId="16" fillId="6" borderId="0" xfId="0" applyNumberFormat="1" applyFont="1" applyFill="1"/>
    <xf numFmtId="3" fontId="16" fillId="6" borderId="1" xfId="0" applyNumberFormat="1" applyFont="1" applyFill="1" applyBorder="1"/>
    <xf numFmtId="166" fontId="0" fillId="6" borderId="0" xfId="3" applyNumberFormat="1" applyFont="1" applyFill="1"/>
    <xf numFmtId="166" fontId="0" fillId="6" borderId="0" xfId="0" applyNumberFormat="1" applyFill="1"/>
    <xf numFmtId="166" fontId="0" fillId="6" borderId="0" xfId="3" applyNumberFormat="1" applyFont="1" applyFill="1" applyAlignment="1"/>
    <xf numFmtId="0" fontId="47" fillId="0" borderId="0" xfId="0" applyFont="1" applyAlignment="1">
      <alignment vertical="center"/>
    </xf>
    <xf numFmtId="166" fontId="0" fillId="6" borderId="0" xfId="3" applyNumberFormat="1" applyFont="1" applyFill="1" applyBorder="1"/>
    <xf numFmtId="164" fontId="0" fillId="6" borderId="0" xfId="4" applyNumberFormat="1" applyFont="1" applyFill="1"/>
    <xf numFmtId="165" fontId="0" fillId="6" borderId="0" xfId="0" applyNumberFormat="1" applyFill="1"/>
    <xf numFmtId="0" fontId="0" fillId="3" borderId="0" xfId="0" applyFill="1"/>
    <xf numFmtId="164" fontId="0" fillId="3" borderId="0" xfId="4" applyNumberFormat="1" applyFont="1" applyFill="1"/>
    <xf numFmtId="0" fontId="49" fillId="6" borderId="0" xfId="6" applyFont="1" applyFill="1" applyAlignment="1">
      <alignment horizontal="left" vertical="center"/>
    </xf>
    <xf numFmtId="0" fontId="50" fillId="6" borderId="0" xfId="0" applyFont="1" applyFill="1" applyAlignment="1">
      <alignment horizontal="center" vertical="center"/>
    </xf>
    <xf numFmtId="0" fontId="50" fillId="6" borderId="0" xfId="0" applyFont="1" applyFill="1" applyAlignment="1">
      <alignment vertical="center"/>
    </xf>
    <xf numFmtId="171" fontId="50" fillId="6" borderId="0" xfId="4" applyNumberFormat="1" applyFont="1" applyFill="1" applyAlignment="1">
      <alignment vertical="center"/>
    </xf>
    <xf numFmtId="171" fontId="53" fillId="11" borderId="0" xfId="1" applyNumberFormat="1" applyFont="1" applyFill="1" applyBorder="1" applyAlignment="1">
      <alignment vertical="center"/>
    </xf>
    <xf numFmtId="166" fontId="53" fillId="11" borderId="0" xfId="3" applyNumberFormat="1" applyFont="1" applyFill="1" applyBorder="1" applyAlignment="1">
      <alignment horizontal="right" vertical="center"/>
    </xf>
    <xf numFmtId="0" fontId="54" fillId="6" borderId="12" xfId="0" applyFont="1" applyFill="1" applyBorder="1" applyAlignment="1">
      <alignment vertical="center"/>
    </xf>
    <xf numFmtId="171" fontId="55" fillId="11" borderId="12" xfId="4" applyNumberFormat="1" applyFont="1" applyFill="1" applyBorder="1" applyAlignment="1">
      <alignment horizontal="center"/>
    </xf>
    <xf numFmtId="166" fontId="55" fillId="11" borderId="12" xfId="3" applyNumberFormat="1" applyFont="1" applyFill="1" applyBorder="1" applyAlignment="1">
      <alignment horizontal="right"/>
    </xf>
    <xf numFmtId="171" fontId="53" fillId="11" borderId="0" xfId="4" applyNumberFormat="1" applyFont="1" applyFill="1" applyBorder="1" applyAlignment="1">
      <alignment horizontal="center" vertical="center"/>
    </xf>
    <xf numFmtId="0" fontId="53" fillId="11" borderId="0" xfId="0" applyFont="1" applyFill="1" applyAlignment="1">
      <alignment horizontal="center" vertical="center"/>
    </xf>
    <xf numFmtId="0" fontId="53" fillId="11" borderId="0" xfId="0" applyFont="1" applyFill="1" applyAlignment="1">
      <alignment vertical="center"/>
    </xf>
    <xf numFmtId="166" fontId="53" fillId="11" borderId="0" xfId="3" applyNumberFormat="1" applyFont="1" applyFill="1" applyBorder="1" applyAlignment="1">
      <alignment vertical="center"/>
    </xf>
    <xf numFmtId="166" fontId="55" fillId="11" borderId="12" xfId="3" applyNumberFormat="1" applyFont="1" applyFill="1" applyBorder="1" applyAlignment="1"/>
    <xf numFmtId="0" fontId="56" fillId="11" borderId="0" xfId="0" applyFont="1" applyFill="1"/>
    <xf numFmtId="171" fontId="53" fillId="11" borderId="0" xfId="4" applyNumberFormat="1" applyFont="1" applyFill="1" applyBorder="1" applyAlignment="1">
      <alignment vertical="center"/>
    </xf>
    <xf numFmtId="9" fontId="53" fillId="11" borderId="0" xfId="3" applyFont="1" applyFill="1" applyBorder="1" applyAlignment="1">
      <alignment horizontal="right" vertical="center"/>
    </xf>
    <xf numFmtId="9" fontId="53" fillId="11" borderId="0" xfId="3" applyFont="1" applyFill="1" applyBorder="1" applyAlignment="1">
      <alignment vertical="center"/>
    </xf>
    <xf numFmtId="9" fontId="55" fillId="11" borderId="12" xfId="3" applyFont="1" applyFill="1" applyBorder="1" applyAlignment="1">
      <alignment horizontal="center"/>
    </xf>
    <xf numFmtId="10" fontId="53" fillId="11" borderId="0" xfId="3" applyNumberFormat="1" applyFont="1" applyFill="1" applyBorder="1" applyAlignment="1">
      <alignment horizontal="right" vertical="center"/>
    </xf>
    <xf numFmtId="166" fontId="53" fillId="11" borderId="0" xfId="3" applyNumberFormat="1" applyFont="1" applyFill="1" applyBorder="1" applyAlignment="1">
      <alignment horizontal="right" vertical="center" indent="1"/>
    </xf>
    <xf numFmtId="10" fontId="53" fillId="11" borderId="0" xfId="3" applyNumberFormat="1" applyFont="1" applyFill="1" applyBorder="1" applyAlignment="1">
      <alignment vertical="center"/>
    </xf>
    <xf numFmtId="10" fontId="55" fillId="11" borderId="12" xfId="3" applyNumberFormat="1" applyFont="1" applyFill="1" applyBorder="1" applyAlignment="1">
      <alignment horizontal="center"/>
    </xf>
    <xf numFmtId="166" fontId="55" fillId="11" borderId="12" xfId="3" applyNumberFormat="1" applyFont="1" applyFill="1" applyBorder="1" applyAlignment="1">
      <alignment horizontal="right" indent="1"/>
    </xf>
    <xf numFmtId="3" fontId="0" fillId="0" borderId="0" xfId="0" applyNumberFormat="1"/>
    <xf numFmtId="0" fontId="50" fillId="12" borderId="0" xfId="8" applyFont="1" applyFill="1"/>
    <xf numFmtId="3" fontId="50" fillId="12" borderId="0" xfId="8" applyNumberFormat="1" applyFont="1" applyFill="1"/>
    <xf numFmtId="0" fontId="54" fillId="3" borderId="0" xfId="8" applyFont="1" applyFill="1"/>
    <xf numFmtId="3" fontId="54" fillId="3" borderId="0" xfId="8" applyNumberFormat="1" applyFont="1" applyFill="1" applyAlignment="1">
      <alignment horizontal="right"/>
    </xf>
    <xf numFmtId="0" fontId="50" fillId="12" borderId="0" xfId="8" applyFont="1" applyFill="1" applyAlignment="1">
      <alignment horizontal="left" indent="1"/>
    </xf>
    <xf numFmtId="3" fontId="50" fillId="12" borderId="0" xfId="8" applyNumberFormat="1" applyFont="1" applyFill="1" applyAlignment="1">
      <alignment horizontal="right"/>
    </xf>
    <xf numFmtId="0" fontId="54" fillId="0" borderId="0" xfId="8" applyFont="1"/>
    <xf numFmtId="3" fontId="2" fillId="0" borderId="0" xfId="0" applyNumberFormat="1" applyFont="1"/>
    <xf numFmtId="0" fontId="2" fillId="3" borderId="0" xfId="0" applyFont="1" applyFill="1"/>
    <xf numFmtId="3" fontId="2" fillId="3" borderId="0" xfId="0" applyNumberFormat="1" applyFont="1" applyFill="1"/>
    <xf numFmtId="0" fontId="16" fillId="0" borderId="0" xfId="0" applyFont="1" applyAlignment="1">
      <alignment horizontal="center"/>
    </xf>
    <xf numFmtId="0" fontId="19" fillId="11" borderId="0" xfId="10" applyNumberFormat="1" applyFont="1" applyFill="1" applyBorder="1" applyAlignment="1">
      <alignment horizontal="center" vertical="center"/>
    </xf>
    <xf numFmtId="0" fontId="19" fillId="13" borderId="0" xfId="10" applyNumberFormat="1" applyFont="1" applyFill="1" applyBorder="1" applyAlignment="1">
      <alignment horizontal="left"/>
    </xf>
    <xf numFmtId="171" fontId="19" fillId="13" borderId="0" xfId="10" applyNumberFormat="1" applyFont="1" applyFill="1" applyBorder="1" applyAlignment="1">
      <alignment horizontal="left"/>
    </xf>
    <xf numFmtId="171" fontId="16" fillId="11" borderId="0" xfId="10" applyNumberFormat="1" applyFont="1" applyFill="1" applyBorder="1" applyAlignment="1">
      <alignment horizontal="right" vertical="center"/>
    </xf>
    <xf numFmtId="171" fontId="19" fillId="13" borderId="0" xfId="10" applyNumberFormat="1" applyFont="1" applyFill="1" applyBorder="1" applyAlignment="1">
      <alignment horizontal="center"/>
    </xf>
    <xf numFmtId="0" fontId="16" fillId="11" borderId="0" xfId="6" applyFont="1" applyFill="1"/>
    <xf numFmtId="171" fontId="16" fillId="11" borderId="0" xfId="10" applyNumberFormat="1" applyFont="1" applyFill="1" applyBorder="1"/>
    <xf numFmtId="171" fontId="16" fillId="11" borderId="0" xfId="10" applyNumberFormat="1" applyFont="1" applyFill="1" applyBorder="1" applyAlignment="1">
      <alignment horizontal="center"/>
    </xf>
    <xf numFmtId="0" fontId="19" fillId="11" borderId="0" xfId="10" applyNumberFormat="1" applyFont="1" applyFill="1" applyBorder="1" applyAlignment="1">
      <alignment horizontal="left"/>
    </xf>
    <xf numFmtId="0" fontId="19" fillId="11" borderId="0" xfId="10" applyNumberFormat="1" applyFont="1" applyFill="1" applyBorder="1" applyAlignment="1">
      <alignment horizontal="center"/>
    </xf>
    <xf numFmtId="166" fontId="19" fillId="13" borderId="0" xfId="14" applyNumberFormat="1" applyFont="1" applyFill="1" applyBorder="1" applyAlignment="1">
      <alignment horizontal="right" vertical="center"/>
    </xf>
    <xf numFmtId="166" fontId="19" fillId="13" borderId="0" xfId="14" applyNumberFormat="1" applyFont="1" applyFill="1" applyBorder="1" applyAlignment="1">
      <alignment horizontal="right"/>
    </xf>
    <xf numFmtId="166" fontId="19" fillId="13" borderId="0" xfId="14" applyNumberFormat="1" applyFont="1" applyFill="1" applyBorder="1" applyAlignment="1">
      <alignment vertical="center"/>
    </xf>
    <xf numFmtId="171" fontId="16" fillId="13" borderId="0" xfId="10" applyNumberFormat="1" applyFont="1" applyFill="1" applyBorder="1" applyAlignment="1">
      <alignment horizontal="right" vertical="center"/>
    </xf>
    <xf numFmtId="171" fontId="19" fillId="11" borderId="0" xfId="10" applyNumberFormat="1" applyFont="1" applyFill="1" applyBorder="1" applyAlignment="1">
      <alignment horizontal="right" vertical="center"/>
    </xf>
    <xf numFmtId="0" fontId="58" fillId="11" borderId="0" xfId="10" applyNumberFormat="1" applyFont="1" applyFill="1" applyBorder="1" applyAlignment="1">
      <alignment horizontal="left"/>
    </xf>
    <xf numFmtId="0" fontId="57" fillId="11" borderId="0" xfId="10" applyNumberFormat="1" applyFont="1" applyFill="1" applyBorder="1" applyAlignment="1">
      <alignment horizontal="center"/>
    </xf>
    <xf numFmtId="0" fontId="57" fillId="11" borderId="0" xfId="10" applyNumberFormat="1" applyFont="1" applyFill="1" applyBorder="1" applyAlignment="1">
      <alignment horizontal="center" vertical="center"/>
    </xf>
    <xf numFmtId="3" fontId="18" fillId="6" borderId="12" xfId="19" applyNumberFormat="1" applyFont="1" applyFill="1" applyBorder="1" applyAlignment="1">
      <alignment horizontal="right" vertical="center"/>
    </xf>
    <xf numFmtId="3" fontId="17" fillId="6" borderId="0" xfId="18" applyNumberFormat="1" applyFont="1" applyFill="1"/>
    <xf numFmtId="3" fontId="25" fillId="11" borderId="0" xfId="18" applyNumberFormat="1" applyFont="1" applyFill="1"/>
    <xf numFmtId="3" fontId="25" fillId="11" borderId="0" xfId="18" applyNumberFormat="1" applyFont="1" applyFill="1" applyAlignment="1">
      <alignment horizontal="right"/>
    </xf>
    <xf numFmtId="3" fontId="17" fillId="11" borderId="0" xfId="18" applyNumberFormat="1" applyFont="1" applyFill="1" applyAlignment="1">
      <alignment horizontal="right"/>
    </xf>
    <xf numFmtId="3" fontId="25" fillId="14" borderId="0" xfId="18" applyNumberFormat="1" applyFont="1" applyFill="1"/>
    <xf numFmtId="3" fontId="22" fillId="11" borderId="12" xfId="19" applyNumberFormat="1" applyFont="1" applyFill="1" applyBorder="1" applyAlignment="1">
      <alignment horizontal="right" vertical="center"/>
    </xf>
    <xf numFmtId="3" fontId="22" fillId="14" borderId="12" xfId="19" applyNumberFormat="1" applyFont="1" applyFill="1" applyBorder="1" applyAlignment="1">
      <alignment horizontal="right" vertical="center"/>
    </xf>
    <xf numFmtId="3" fontId="18" fillId="14" borderId="12" xfId="19" applyNumberFormat="1" applyFont="1" applyFill="1" applyBorder="1" applyAlignment="1">
      <alignment horizontal="right" vertical="center"/>
    </xf>
    <xf numFmtId="3" fontId="25" fillId="14" borderId="0" xfId="18" applyNumberFormat="1" applyFont="1" applyFill="1" applyAlignment="1">
      <alignment horizontal="right"/>
    </xf>
    <xf numFmtId="3" fontId="17" fillId="14" borderId="0" xfId="18" applyNumberFormat="1" applyFont="1" applyFill="1" applyAlignment="1">
      <alignment horizontal="right"/>
    </xf>
    <xf numFmtId="3" fontId="17" fillId="6" borderId="0" xfId="19" applyNumberFormat="1" applyFont="1" applyFill="1" applyAlignment="1">
      <alignment horizontal="right" vertical="center"/>
    </xf>
    <xf numFmtId="3" fontId="25" fillId="11" borderId="0" xfId="19" applyNumberFormat="1" applyFont="1" applyFill="1" applyBorder="1" applyAlignment="1">
      <alignment horizontal="right" vertical="center"/>
    </xf>
    <xf numFmtId="3" fontId="18" fillId="6" borderId="11" xfId="19" applyNumberFormat="1" applyFont="1" applyFill="1" applyBorder="1" applyAlignment="1">
      <alignment horizontal="right" vertical="center"/>
    </xf>
    <xf numFmtId="0" fontId="0" fillId="6" borderId="0" xfId="0" applyFill="1" applyAlignment="1">
      <alignment horizontal="right"/>
    </xf>
    <xf numFmtId="3" fontId="17" fillId="11" borderId="0" xfId="18" applyNumberFormat="1" applyFont="1" applyFill="1"/>
    <xf numFmtId="3" fontId="22" fillId="11" borderId="11" xfId="19" applyNumberFormat="1" applyFont="1" applyFill="1" applyBorder="1" applyAlignment="1">
      <alignment horizontal="right" vertical="center"/>
    </xf>
    <xf numFmtId="3" fontId="22" fillId="6" borderId="11" xfId="19" applyNumberFormat="1" applyFont="1" applyFill="1" applyBorder="1" applyAlignment="1">
      <alignment horizontal="right" vertical="center"/>
    </xf>
    <xf numFmtId="3" fontId="22" fillId="14" borderId="11" xfId="19" applyNumberFormat="1" applyFont="1" applyFill="1" applyBorder="1" applyAlignment="1">
      <alignment horizontal="right" vertical="center"/>
    </xf>
    <xf numFmtId="3" fontId="17" fillId="14" borderId="0" xfId="18" applyNumberFormat="1" applyFont="1" applyFill="1"/>
    <xf numFmtId="171" fontId="17" fillId="12" borderId="0" xfId="18" applyNumberFormat="1" applyFont="1" applyFill="1"/>
    <xf numFmtId="3" fontId="18" fillId="6" borderId="12" xfId="4" applyNumberFormat="1" applyFont="1" applyFill="1" applyBorder="1" applyAlignment="1">
      <alignment horizontal="right" vertical="center"/>
    </xf>
    <xf numFmtId="3" fontId="22" fillId="11" borderId="12" xfId="4" applyNumberFormat="1" applyFont="1" applyFill="1" applyBorder="1" applyAlignment="1">
      <alignment horizontal="right" vertical="center"/>
    </xf>
    <xf numFmtId="3" fontId="18" fillId="6" borderId="12" xfId="24" applyNumberFormat="1" applyFont="1" applyFill="1" applyBorder="1" applyAlignment="1">
      <alignment horizontal="right" vertical="center"/>
    </xf>
    <xf numFmtId="169" fontId="0" fillId="6" borderId="0" xfId="4" applyNumberFormat="1" applyFont="1" applyFill="1"/>
    <xf numFmtId="171" fontId="17" fillId="11" borderId="0" xfId="18" applyNumberFormat="1" applyFont="1" applyFill="1"/>
    <xf numFmtId="171" fontId="18" fillId="6" borderId="3" xfId="18" applyNumberFormat="1" applyFont="1" applyFill="1" applyBorder="1"/>
    <xf numFmtId="171" fontId="18" fillId="11" borderId="12" xfId="19" applyNumberFormat="1" applyFont="1" applyFill="1" applyBorder="1" applyAlignment="1">
      <alignment horizontal="right" vertical="center"/>
    </xf>
    <xf numFmtId="171" fontId="25" fillId="11" borderId="0" xfId="19" applyNumberFormat="1" applyFont="1" applyFill="1" applyBorder="1" applyAlignment="1">
      <alignment horizontal="right" vertical="center"/>
    </xf>
    <xf numFmtId="171" fontId="17" fillId="11" borderId="0" xfId="19" applyNumberFormat="1" applyFont="1" applyFill="1" applyAlignment="1">
      <alignment horizontal="right" vertical="center"/>
    </xf>
    <xf numFmtId="171" fontId="44" fillId="6" borderId="0" xfId="18" applyNumberFormat="1" applyFont="1" applyFill="1"/>
    <xf numFmtId="171" fontId="22" fillId="11" borderId="11" xfId="19" applyNumberFormat="1" applyFont="1" applyFill="1" applyBorder="1" applyAlignment="1">
      <alignment horizontal="right" vertical="center"/>
    </xf>
    <xf numFmtId="171" fontId="18" fillId="6" borderId="11" xfId="19" applyNumberFormat="1" applyFont="1" applyFill="1" applyBorder="1" applyAlignment="1">
      <alignment horizontal="right" vertical="center"/>
    </xf>
    <xf numFmtId="171" fontId="22" fillId="11" borderId="12" xfId="20" applyNumberFormat="1" applyFont="1" applyFill="1" applyBorder="1" applyAlignment="1">
      <alignment horizontal="right" vertical="center"/>
    </xf>
    <xf numFmtId="171" fontId="18" fillId="6" borderId="12" xfId="24" applyNumberFormat="1" applyFont="1" applyFill="1" applyBorder="1" applyAlignment="1">
      <alignment horizontal="right" vertical="center"/>
    </xf>
    <xf numFmtId="171" fontId="22" fillId="11" borderId="12" xfId="4" applyNumberFormat="1" applyFont="1" applyFill="1" applyBorder="1" applyAlignment="1">
      <alignment horizontal="right" vertical="center"/>
    </xf>
    <xf numFmtId="9" fontId="0" fillId="6" borderId="0" xfId="3" applyFont="1" applyFill="1"/>
    <xf numFmtId="171" fontId="18" fillId="11" borderId="11" xfId="19" applyNumberFormat="1" applyFont="1" applyFill="1" applyBorder="1" applyAlignment="1">
      <alignment horizontal="right" vertical="center"/>
    </xf>
    <xf numFmtId="171" fontId="44" fillId="0" borderId="0" xfId="18" applyNumberFormat="1" applyFont="1"/>
    <xf numFmtId="171" fontId="18" fillId="6" borderId="12" xfId="18" applyNumberFormat="1" applyFont="1" applyFill="1" applyBorder="1" applyAlignment="1">
      <alignment horizontal="right" vertical="center"/>
    </xf>
    <xf numFmtId="0" fontId="18" fillId="6" borderId="0" xfId="0" applyFont="1" applyFill="1"/>
    <xf numFmtId="171" fontId="17" fillId="6" borderId="0" xfId="4" applyNumberFormat="1" applyFont="1" applyFill="1" applyBorder="1" applyAlignment="1">
      <alignment horizontal="right"/>
    </xf>
    <xf numFmtId="171" fontId="25" fillId="0" borderId="0" xfId="4" applyNumberFormat="1" applyFont="1" applyFill="1" applyBorder="1" applyAlignment="1">
      <alignment horizontal="right"/>
    </xf>
    <xf numFmtId="171" fontId="25" fillId="0" borderId="0" xfId="4" applyNumberFormat="1" applyFont="1" applyAlignment="1">
      <alignment horizontal="right"/>
    </xf>
    <xf numFmtId="171" fontId="25" fillId="11" borderId="0" xfId="4" applyNumberFormat="1" applyFont="1" applyFill="1" applyAlignment="1">
      <alignment horizontal="right"/>
    </xf>
    <xf numFmtId="0" fontId="17" fillId="0" borderId="0" xfId="6" applyFont="1" applyProtection="1">
      <protection locked="0"/>
    </xf>
    <xf numFmtId="171" fontId="18" fillId="11" borderId="13" xfId="21" applyNumberFormat="1" applyFont="1" applyFill="1" applyBorder="1" applyAlignment="1">
      <alignment horizontal="right"/>
    </xf>
    <xf numFmtId="171" fontId="17" fillId="0" borderId="0" xfId="4" applyNumberFormat="1" applyFont="1" applyFill="1" applyAlignment="1">
      <alignment horizontal="right"/>
    </xf>
    <xf numFmtId="171" fontId="17" fillId="0" borderId="0" xfId="4" applyNumberFormat="1" applyFont="1" applyAlignment="1">
      <alignment horizontal="right"/>
    </xf>
    <xf numFmtId="171" fontId="5" fillId="0" borderId="0" xfId="4" applyNumberFormat="1" applyFont="1" applyFill="1" applyAlignment="1">
      <alignment horizontal="right"/>
    </xf>
    <xf numFmtId="0" fontId="5" fillId="6" borderId="0" xfId="0" applyFont="1" applyFill="1" applyAlignment="1">
      <alignment wrapText="1"/>
    </xf>
    <xf numFmtId="0" fontId="5" fillId="6" borderId="0" xfId="0" applyFont="1" applyFill="1" applyAlignment="1">
      <alignment horizontal="right" wrapText="1"/>
    </xf>
    <xf numFmtId="0" fontId="5" fillId="6" borderId="0" xfId="0" applyFont="1" applyFill="1" applyAlignment="1">
      <alignment horizontal="right"/>
    </xf>
    <xf numFmtId="0" fontId="16" fillId="6" borderId="0" xfId="0" applyFont="1" applyFill="1" applyAlignment="1">
      <alignment vertical="center"/>
    </xf>
    <xf numFmtId="169" fontId="16" fillId="6" borderId="0" xfId="4" applyNumberFormat="1" applyFont="1" applyFill="1" applyBorder="1" applyAlignment="1">
      <alignment horizontal="right" vertical="center"/>
    </xf>
    <xf numFmtId="0" fontId="16" fillId="6" borderId="0" xfId="0" applyFont="1" applyFill="1" applyAlignment="1">
      <alignment horizontal="right" vertical="center"/>
    </xf>
    <xf numFmtId="169" fontId="16" fillId="6" borderId="0" xfId="4" quotePrefix="1" applyNumberFormat="1" applyFont="1" applyFill="1" applyBorder="1" applyAlignment="1">
      <alignment horizontal="right" vertical="center"/>
    </xf>
    <xf numFmtId="0" fontId="16" fillId="3" borderId="0" xfId="0" applyFont="1" applyFill="1" applyAlignment="1">
      <alignment vertical="center"/>
    </xf>
    <xf numFmtId="169" fontId="16" fillId="3" borderId="0" xfId="4" applyNumberFormat="1" applyFont="1" applyFill="1" applyBorder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169" fontId="16" fillId="3" borderId="0" xfId="4" quotePrefix="1" applyNumberFormat="1" applyFont="1" applyFill="1" applyBorder="1" applyAlignment="1">
      <alignment horizontal="right" vertical="center"/>
    </xf>
    <xf numFmtId="3" fontId="16" fillId="6" borderId="0" xfId="4" applyNumberFormat="1" applyFont="1" applyFill="1" applyBorder="1" applyAlignment="1">
      <alignment horizontal="right" vertical="center"/>
    </xf>
    <xf numFmtId="3" fontId="16" fillId="6" borderId="0" xfId="0" applyNumberFormat="1" applyFont="1" applyFill="1" applyAlignment="1">
      <alignment horizontal="right" vertical="center"/>
    </xf>
    <xf numFmtId="3" fontId="16" fillId="6" borderId="0" xfId="4" quotePrefix="1" applyNumberFormat="1" applyFont="1" applyFill="1" applyBorder="1" applyAlignment="1">
      <alignment horizontal="right" vertical="center"/>
    </xf>
    <xf numFmtId="3" fontId="16" fillId="3" borderId="0" xfId="4" applyNumberFormat="1" applyFont="1" applyFill="1" applyBorder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  <xf numFmtId="3" fontId="16" fillId="3" borderId="0" xfId="4" quotePrefix="1" applyNumberFormat="1" applyFont="1" applyFill="1" applyBorder="1" applyAlignment="1">
      <alignment horizontal="right" vertical="center"/>
    </xf>
    <xf numFmtId="17" fontId="16" fillId="6" borderId="0" xfId="0" applyNumberFormat="1" applyFont="1" applyFill="1" applyAlignment="1">
      <alignment horizontal="right" vertical="center"/>
    </xf>
    <xf numFmtId="17" fontId="16" fillId="6" borderId="0" xfId="0" quotePrefix="1" applyNumberFormat="1" applyFont="1" applyFill="1" applyAlignment="1">
      <alignment horizontal="right" vertical="center"/>
    </xf>
    <xf numFmtId="14" fontId="16" fillId="3" borderId="0" xfId="4" applyNumberFormat="1" applyFont="1" applyFill="1" applyBorder="1" applyAlignment="1">
      <alignment horizontal="right" vertical="center"/>
    </xf>
    <xf numFmtId="14" fontId="16" fillId="3" borderId="0" xfId="0" applyNumberFormat="1" applyFont="1" applyFill="1" applyAlignment="1">
      <alignment horizontal="right" vertical="center"/>
    </xf>
    <xf numFmtId="14" fontId="16" fillId="3" borderId="0" xfId="4" quotePrefix="1" applyNumberFormat="1" applyFont="1" applyFill="1" applyBorder="1" applyAlignment="1">
      <alignment horizontal="right" vertical="center"/>
    </xf>
    <xf numFmtId="44" fontId="16" fillId="6" borderId="0" xfId="0" applyNumberFormat="1" applyFont="1" applyFill="1" applyAlignment="1">
      <alignment horizontal="right" vertical="center"/>
    </xf>
    <xf numFmtId="44" fontId="16" fillId="6" borderId="0" xfId="25" quotePrefix="1" applyFont="1" applyFill="1" applyAlignment="1">
      <alignment horizontal="right" vertical="center"/>
    </xf>
    <xf numFmtId="44" fontId="16" fillId="3" borderId="0" xfId="25" applyFont="1" applyFill="1" applyBorder="1" applyAlignment="1">
      <alignment horizontal="right" vertical="center"/>
    </xf>
    <xf numFmtId="44" fontId="16" fillId="3" borderId="0" xfId="25" quotePrefix="1" applyFont="1" applyFill="1" applyBorder="1" applyAlignment="1">
      <alignment horizontal="right" vertical="center"/>
    </xf>
    <xf numFmtId="44" fontId="16" fillId="6" borderId="0" xfId="25" applyFont="1" applyFill="1" applyAlignment="1">
      <alignment horizontal="right" vertical="center"/>
    </xf>
    <xf numFmtId="166" fontId="44" fillId="3" borderId="0" xfId="3" applyNumberFormat="1" applyFont="1" applyFill="1" applyBorder="1" applyAlignment="1">
      <alignment horizontal="right" vertical="center"/>
    </xf>
    <xf numFmtId="166" fontId="44" fillId="3" borderId="0" xfId="3" applyNumberFormat="1" applyFont="1" applyFill="1" applyAlignment="1">
      <alignment horizontal="right" vertical="center"/>
    </xf>
    <xf numFmtId="166" fontId="44" fillId="3" borderId="0" xfId="3" quotePrefix="1" applyNumberFormat="1" applyFont="1" applyFill="1" applyBorder="1" applyAlignment="1">
      <alignment horizontal="right" vertical="center"/>
    </xf>
    <xf numFmtId="166" fontId="44" fillId="6" borderId="0" xfId="3" applyNumberFormat="1" applyFont="1" applyFill="1" applyAlignment="1">
      <alignment horizontal="right" vertical="center"/>
    </xf>
    <xf numFmtId="166" fontId="44" fillId="6" borderId="0" xfId="3" quotePrefix="1" applyNumberFormat="1" applyFont="1" applyFill="1" applyAlignment="1">
      <alignment horizontal="right" vertical="center"/>
    </xf>
    <xf numFmtId="0" fontId="16" fillId="3" borderId="15" xfId="0" applyFont="1" applyFill="1" applyBorder="1" applyAlignment="1">
      <alignment vertical="center"/>
    </xf>
    <xf numFmtId="167" fontId="16" fillId="3" borderId="15" xfId="3" applyNumberFormat="1" applyFont="1" applyFill="1" applyBorder="1" applyAlignment="1">
      <alignment horizontal="right" vertical="center"/>
    </xf>
    <xf numFmtId="171" fontId="17" fillId="6" borderId="0" xfId="19" applyNumberFormat="1" applyFont="1" applyFill="1" applyAlignment="1">
      <alignment horizontal="right" vertical="center"/>
    </xf>
    <xf numFmtId="171" fontId="18" fillId="6" borderId="12" xfId="4" applyNumberFormat="1" applyFont="1" applyFill="1" applyBorder="1" applyAlignment="1">
      <alignment horizontal="right" vertical="center"/>
    </xf>
    <xf numFmtId="171" fontId="17" fillId="12" borderId="0" xfId="19" applyNumberFormat="1" applyFont="1" applyFill="1" applyAlignment="1">
      <alignment horizontal="center" vertical="center"/>
    </xf>
    <xf numFmtId="3" fontId="5" fillId="0" borderId="0" xfId="0" applyNumberFormat="1" applyFont="1"/>
    <xf numFmtId="14" fontId="6" fillId="0" borderId="0" xfId="0" applyNumberFormat="1" applyFont="1" applyAlignment="1" applyProtection="1">
      <alignment horizontal="center"/>
      <protection locked="0"/>
    </xf>
    <xf numFmtId="171" fontId="18" fillId="0" borderId="0" xfId="21" applyNumberFormat="1" applyFont="1" applyFill="1" applyBorder="1" applyAlignment="1">
      <alignment horizontal="right"/>
    </xf>
    <xf numFmtId="171" fontId="17" fillId="0" borderId="0" xfId="4" applyNumberFormat="1" applyFont="1" applyFill="1" applyBorder="1" applyAlignment="1">
      <alignment horizontal="right"/>
    </xf>
    <xf numFmtId="192" fontId="17" fillId="6" borderId="0" xfId="4" applyNumberFormat="1" applyFont="1" applyFill="1" applyAlignment="1">
      <alignment horizontal="right"/>
    </xf>
    <xf numFmtId="0" fontId="44" fillId="0" borderId="0" xfId="26" applyFont="1" applyAlignment="1">
      <alignment horizontal="left" vertical="center"/>
    </xf>
    <xf numFmtId="182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45" fillId="0" borderId="0" xfId="0" applyFont="1"/>
    <xf numFmtId="182" fontId="16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61" fillId="4" borderId="0" xfId="0" applyFont="1" applyFill="1" applyAlignment="1">
      <alignment vertical="center"/>
    </xf>
    <xf numFmtId="3" fontId="43" fillId="4" borderId="0" xfId="0" applyNumberFormat="1" applyFont="1" applyFill="1" applyAlignment="1">
      <alignment horizontal="right"/>
    </xf>
    <xf numFmtId="0" fontId="62" fillId="0" borderId="0" xfId="17" applyFont="1" applyFill="1" applyBorder="1"/>
    <xf numFmtId="2" fontId="16" fillId="0" borderId="0" xfId="0" applyNumberFormat="1" applyFont="1" applyAlignment="1">
      <alignment horizontal="right"/>
    </xf>
    <xf numFmtId="2" fontId="16" fillId="0" borderId="0" xfId="0" applyNumberFormat="1" applyFont="1"/>
    <xf numFmtId="4" fontId="43" fillId="4" borderId="0" xfId="0" applyNumberFormat="1" applyFont="1" applyFill="1" applyAlignment="1">
      <alignment horizontal="right"/>
    </xf>
    <xf numFmtId="166" fontId="16" fillId="0" borderId="0" xfId="3" applyNumberFormat="1" applyFont="1"/>
    <xf numFmtId="166" fontId="16" fillId="0" borderId="0" xfId="0" applyNumberFormat="1" applyFont="1"/>
    <xf numFmtId="166" fontId="43" fillId="4" borderId="0" xfId="3" applyNumberFormat="1" applyFont="1" applyFill="1" applyBorder="1" applyAlignment="1">
      <alignment horizontal="right"/>
    </xf>
    <xf numFmtId="0" fontId="19" fillId="15" borderId="0" xfId="0" applyFont="1" applyFill="1"/>
    <xf numFmtId="0" fontId="16" fillId="15" borderId="0" xfId="0" applyFont="1" applyFill="1"/>
    <xf numFmtId="0" fontId="19" fillId="16" borderId="0" xfId="0" applyFont="1" applyFill="1"/>
    <xf numFmtId="0" fontId="16" fillId="16" borderId="0" xfId="0" applyFont="1" applyFill="1"/>
    <xf numFmtId="0" fontId="19" fillId="3" borderId="0" xfId="0" applyFont="1" applyFill="1"/>
    <xf numFmtId="3" fontId="19" fillId="3" borderId="0" xfId="0" applyNumberFormat="1" applyFont="1" applyFill="1" applyAlignment="1">
      <alignment horizontal="center"/>
    </xf>
    <xf numFmtId="1" fontId="19" fillId="3" borderId="0" xfId="0" applyNumberFormat="1" applyFont="1" applyFill="1" applyAlignment="1">
      <alignment horizontal="center"/>
    </xf>
    <xf numFmtId="0" fontId="16" fillId="0" borderId="0" xfId="0" applyFont="1" applyAlignment="1">
      <alignment horizontal="left" indent="1"/>
    </xf>
    <xf numFmtId="14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 horizontal="center"/>
    </xf>
    <xf numFmtId="0" fontId="63" fillId="0" borderId="0" xfId="0" applyFont="1"/>
    <xf numFmtId="14" fontId="16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left" indent="1"/>
    </xf>
    <xf numFmtId="0" fontId="16" fillId="0" borderId="0" xfId="0" quotePrefix="1" applyFont="1"/>
    <xf numFmtId="1" fontId="16" fillId="3" borderId="0" xfId="0" applyNumberFormat="1" applyFont="1" applyFill="1" applyAlignment="1">
      <alignment horizontal="center"/>
    </xf>
    <xf numFmtId="0" fontId="64" fillId="4" borderId="0" xfId="0" applyFont="1" applyFill="1" applyAlignment="1">
      <alignment horizontal="left" indent="1"/>
    </xf>
    <xf numFmtId="1" fontId="16" fillId="4" borderId="0" xfId="0" applyNumberFormat="1" applyFont="1" applyFill="1" applyAlignment="1">
      <alignment horizontal="center"/>
    </xf>
    <xf numFmtId="1" fontId="16" fillId="16" borderId="0" xfId="0" applyNumberFormat="1" applyFont="1" applyFill="1" applyAlignment="1">
      <alignment horizontal="center"/>
    </xf>
    <xf numFmtId="2" fontId="0" fillId="16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" xfId="0" applyFont="1" applyBorder="1" applyAlignment="1">
      <alignment horizontal="left" indent="1"/>
    </xf>
    <xf numFmtId="1" fontId="1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16" borderId="0" xfId="0" applyNumberFormat="1" applyFill="1" applyAlignment="1">
      <alignment horizontal="center"/>
    </xf>
    <xf numFmtId="0" fontId="19" fillId="0" borderId="0" xfId="0" applyFont="1" applyAlignment="1">
      <alignment horizontal="left" indent="1"/>
    </xf>
    <xf numFmtId="193" fontId="16" fillId="0" borderId="0" xfId="0" applyNumberFormat="1" applyFont="1" applyAlignment="1">
      <alignment horizontal="center"/>
    </xf>
    <xf numFmtId="9" fontId="16" fillId="0" borderId="1" xfId="3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5" fillId="7" borderId="0" xfId="0" applyFont="1" applyFill="1"/>
    <xf numFmtId="0" fontId="0" fillId="7" borderId="0" xfId="0" applyFill="1"/>
    <xf numFmtId="17" fontId="12" fillId="0" borderId="0" xfId="19" applyNumberFormat="1" applyFont="1" applyFill="1" applyBorder="1" applyAlignment="1">
      <alignment horizontal="center" vertical="center" wrapText="1"/>
    </xf>
    <xf numFmtId="17" fontId="20" fillId="0" borderId="0" xfId="19" applyNumberFormat="1" applyFont="1" applyFill="1" applyBorder="1" applyAlignment="1">
      <alignment horizontal="center" vertical="center" wrapText="1"/>
    </xf>
    <xf numFmtId="171" fontId="18" fillId="0" borderId="0" xfId="19" applyNumberFormat="1" applyFont="1" applyFill="1" applyBorder="1" applyAlignment="1">
      <alignment horizontal="right" vertical="center"/>
    </xf>
    <xf numFmtId="171" fontId="22" fillId="0" borderId="0" xfId="19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18" fillId="0" borderId="0" xfId="26" applyFont="1" applyAlignment="1">
      <alignment horizontal="left" vertical="center"/>
    </xf>
    <xf numFmtId="171" fontId="18" fillId="0" borderId="0" xfId="19" applyNumberFormat="1" applyFont="1" applyAlignment="1">
      <alignment horizontal="right" vertical="center"/>
    </xf>
    <xf numFmtId="0" fontId="65" fillId="0" borderId="0" xfId="0" applyFont="1" applyAlignment="1">
      <alignment horizontal="left" vertical="center" indent="1"/>
    </xf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71" fontId="67" fillId="0" borderId="0" xfId="4" applyNumberFormat="1" applyFont="1" applyFill="1" applyAlignment="1">
      <alignment horizontal="right" vertical="center"/>
    </xf>
    <xf numFmtId="171" fontId="12" fillId="0" borderId="0" xfId="4" applyNumberFormat="1" applyFont="1" applyFill="1" applyBorder="1" applyAlignment="1">
      <alignment horizontal="right" vertical="center"/>
    </xf>
    <xf numFmtId="171" fontId="20" fillId="0" borderId="0" xfId="4" applyNumberFormat="1" applyFont="1" applyFill="1" applyBorder="1" applyAlignment="1">
      <alignment horizontal="right" vertical="center"/>
    </xf>
    <xf numFmtId="171" fontId="20" fillId="0" borderId="0" xfId="10" applyNumberFormat="1" applyFont="1" applyFill="1" applyBorder="1" applyAlignment="1">
      <alignment horizontal="right" vertical="center"/>
    </xf>
    <xf numFmtId="171" fontId="17" fillId="0" borderId="0" xfId="4" applyNumberFormat="1" applyFont="1" applyFill="1" applyAlignment="1">
      <alignment horizontal="right" vertical="center"/>
    </xf>
    <xf numFmtId="171" fontId="17" fillId="0" borderId="0" xfId="4" applyNumberFormat="1" applyFont="1" applyAlignment="1">
      <alignment horizontal="right" vertical="center"/>
    </xf>
    <xf numFmtId="171" fontId="17" fillId="0" borderId="0" xfId="4" applyNumberFormat="1" applyFont="1" applyFill="1" applyBorder="1" applyAlignment="1">
      <alignment horizontal="right" vertical="center"/>
    </xf>
    <xf numFmtId="171" fontId="25" fillId="0" borderId="0" xfId="4" applyNumberFormat="1" applyFont="1" applyFill="1" applyBorder="1" applyAlignment="1">
      <alignment horizontal="right" vertical="center"/>
    </xf>
    <xf numFmtId="171" fontId="25" fillId="0" borderId="0" xfId="10" applyNumberFormat="1" applyFont="1" applyFill="1" applyBorder="1" applyAlignment="1">
      <alignment horizontal="right" vertical="center"/>
    </xf>
    <xf numFmtId="0" fontId="50" fillId="0" borderId="0" xfId="0" applyFont="1"/>
    <xf numFmtId="0" fontId="18" fillId="0" borderId="0" xfId="18" applyFont="1"/>
    <xf numFmtId="171" fontId="18" fillId="0" borderId="0" xfId="4" applyNumberFormat="1" applyFont="1" applyFill="1" applyAlignment="1">
      <alignment horizontal="right" vertical="center"/>
    </xf>
    <xf numFmtId="171" fontId="18" fillId="0" borderId="0" xfId="4" applyNumberFormat="1" applyFont="1" applyAlignment="1">
      <alignment horizontal="right" vertical="center"/>
    </xf>
    <xf numFmtId="171" fontId="18" fillId="0" borderId="0" xfId="4" applyNumberFormat="1" applyFont="1" applyFill="1" applyBorder="1" applyAlignment="1">
      <alignment horizontal="right" vertical="center"/>
    </xf>
    <xf numFmtId="171" fontId="22" fillId="0" borderId="0" xfId="4" applyNumberFormat="1" applyFont="1" applyFill="1" applyBorder="1" applyAlignment="1">
      <alignment horizontal="right" vertical="center"/>
    </xf>
    <xf numFmtId="171" fontId="22" fillId="0" borderId="0" xfId="10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left" vertical="center" wrapText="1"/>
    </xf>
    <xf numFmtId="171" fontId="17" fillId="0" borderId="0" xfId="19" applyNumberFormat="1" applyFont="1" applyFill="1" applyBorder="1" applyAlignment="1">
      <alignment horizontal="right" vertical="center"/>
    </xf>
    <xf numFmtId="171" fontId="17" fillId="0" borderId="0" xfId="19" applyNumberFormat="1" applyFont="1" applyAlignment="1">
      <alignment horizontal="right" vertical="center"/>
    </xf>
    <xf numFmtId="0" fontId="17" fillId="6" borderId="0" xfId="18" applyFont="1" applyFill="1" applyAlignment="1">
      <alignment horizontal="left"/>
    </xf>
    <xf numFmtId="0" fontId="45" fillId="7" borderId="0" xfId="0" applyFont="1" applyFill="1"/>
    <xf numFmtId="0" fontId="68" fillId="0" borderId="0" xfId="0" applyFont="1" applyAlignment="1">
      <alignment vertical="center"/>
    </xf>
    <xf numFmtId="0" fontId="68" fillId="0" borderId="0" xfId="0" applyFont="1"/>
    <xf numFmtId="3" fontId="9" fillId="0" borderId="0" xfId="0" applyNumberFormat="1" applyFont="1"/>
    <xf numFmtId="0" fontId="65" fillId="0" borderId="0" xfId="0" applyFont="1"/>
    <xf numFmtId="171" fontId="69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66" fontId="5" fillId="0" borderId="0" xfId="3" applyNumberFormat="1" applyFont="1" applyAlignment="1">
      <alignment horizontal="center"/>
    </xf>
    <xf numFmtId="9" fontId="5" fillId="0" borderId="0" xfId="3" applyFont="1" applyAlignment="1">
      <alignment horizontal="center"/>
    </xf>
    <xf numFmtId="182" fontId="5" fillId="0" borderId="0" xfId="0" applyNumberFormat="1" applyFont="1" applyAlignment="1">
      <alignment horizontal="center"/>
    </xf>
    <xf numFmtId="0" fontId="18" fillId="0" borderId="10" xfId="18" applyFont="1" applyBorder="1"/>
    <xf numFmtId="171" fontId="18" fillId="0" borderId="11" xfId="18" applyNumberFormat="1" applyFont="1" applyBorder="1"/>
    <xf numFmtId="0" fontId="18" fillId="6" borderId="3" xfId="18" applyFont="1" applyFill="1" applyBorder="1"/>
    <xf numFmtId="171" fontId="18" fillId="0" borderId="10" xfId="18" applyNumberFormat="1" applyFont="1" applyBorder="1"/>
    <xf numFmtId="0" fontId="17" fillId="0" borderId="11" xfId="18" applyFont="1" applyBorder="1"/>
    <xf numFmtId="171" fontId="17" fillId="6" borderId="0" xfId="27" applyNumberFormat="1" applyFont="1" applyFill="1" applyAlignment="1">
      <alignment horizontal="right" vertical="center"/>
    </xf>
    <xf numFmtId="171" fontId="18" fillId="6" borderId="12" xfId="2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71" fillId="0" borderId="0" xfId="0" applyFont="1"/>
    <xf numFmtId="0" fontId="72" fillId="0" borderId="0" xfId="0" applyFont="1"/>
    <xf numFmtId="0" fontId="72" fillId="17" borderId="0" xfId="0" applyFont="1" applyFill="1" applyAlignment="1">
      <alignment horizontal="left" indent="1"/>
    </xf>
    <xf numFmtId="0" fontId="72" fillId="6" borderId="0" xfId="0" applyFont="1" applyFill="1" applyAlignment="1">
      <alignment horizontal="left" indent="1"/>
    </xf>
    <xf numFmtId="171" fontId="73" fillId="0" borderId="1" xfId="28" applyNumberFormat="1" applyFont="1" applyBorder="1" applyAlignment="1">
      <alignment horizontal="right"/>
    </xf>
    <xf numFmtId="171" fontId="73" fillId="0" borderId="0" xfId="28" applyNumberFormat="1" applyFont="1" applyAlignment="1">
      <alignment horizontal="right"/>
    </xf>
    <xf numFmtId="171" fontId="72" fillId="0" borderId="0" xfId="0" applyNumberFormat="1" applyFont="1"/>
    <xf numFmtId="171" fontId="72" fillId="17" borderId="0" xfId="4" applyNumberFormat="1" applyFont="1" applyFill="1"/>
    <xf numFmtId="171" fontId="71" fillId="0" borderId="0" xfId="0" applyNumberFormat="1" applyFont="1"/>
    <xf numFmtId="171" fontId="72" fillId="0" borderId="0" xfId="4" applyNumberFormat="1" applyFont="1" applyFill="1"/>
    <xf numFmtId="171" fontId="73" fillId="0" borderId="16" xfId="28" applyNumberFormat="1" applyFont="1" applyBorder="1" applyAlignment="1">
      <alignment horizontal="right"/>
    </xf>
    <xf numFmtId="0" fontId="39" fillId="2" borderId="0" xfId="0" applyFont="1" applyFill="1" applyAlignment="1">
      <alignment horizontal="center"/>
    </xf>
    <xf numFmtId="0" fontId="39" fillId="2" borderId="0" xfId="0" applyFont="1" applyFill="1" applyAlignment="1">
      <alignment horizontal="left" indent="1"/>
    </xf>
    <xf numFmtId="0" fontId="71" fillId="0" borderId="1" xfId="0" applyFont="1" applyBorder="1"/>
    <xf numFmtId="0" fontId="71" fillId="0" borderId="16" xfId="0" applyFont="1" applyBorder="1"/>
    <xf numFmtId="0" fontId="74" fillId="0" borderId="0" xfId="0" applyFont="1"/>
    <xf numFmtId="0" fontId="75" fillId="0" borderId="0" xfId="0" applyFont="1"/>
    <xf numFmtId="166" fontId="75" fillId="0" borderId="0" xfId="16" applyNumberFormat="1" applyFont="1"/>
    <xf numFmtId="0" fontId="6" fillId="2" borderId="0" xfId="0" applyFont="1" applyFill="1" applyAlignment="1">
      <alignment horizontal="left"/>
    </xf>
    <xf numFmtId="14" fontId="6" fillId="2" borderId="0" xfId="0" applyNumberFormat="1" applyFont="1" applyFill="1" applyAlignment="1" applyProtection="1">
      <alignment horizontal="center"/>
      <protection locked="0"/>
    </xf>
    <xf numFmtId="0" fontId="39" fillId="18" borderId="0" xfId="0" applyFont="1" applyFill="1" applyAlignment="1">
      <alignment horizontal="center"/>
    </xf>
    <xf numFmtId="0" fontId="0" fillId="0" borderId="0" xfId="0" applyAlignment="1">
      <alignment horizontal="centerContinuous"/>
    </xf>
    <xf numFmtId="0" fontId="51" fillId="2" borderId="0" xfId="23" applyFont="1" applyFill="1" applyAlignment="1">
      <alignment vertical="center"/>
    </xf>
    <xf numFmtId="0" fontId="52" fillId="10" borderId="0" xfId="23" applyFont="1" applyFill="1" applyAlignment="1">
      <alignment horizontal="center" vertical="center"/>
    </xf>
    <xf numFmtId="0" fontId="13" fillId="2" borderId="0" xfId="0" applyFont="1" applyFill="1"/>
    <xf numFmtId="0" fontId="13" fillId="2" borderId="0" xfId="4" applyNumberFormat="1" applyFont="1" applyFill="1" applyAlignment="1">
      <alignment horizontal="center"/>
    </xf>
    <xf numFmtId="0" fontId="15" fillId="2" borderId="0" xfId="0" applyFont="1" applyFill="1"/>
    <xf numFmtId="169" fontId="15" fillId="2" borderId="0" xfId="0" applyNumberFormat="1" applyFont="1" applyFill="1"/>
    <xf numFmtId="171" fontId="15" fillId="2" borderId="0" xfId="0" applyNumberFormat="1" applyFont="1" applyFill="1"/>
    <xf numFmtId="0" fontId="57" fillId="10" borderId="0" xfId="6" applyFont="1" applyFill="1"/>
    <xf numFmtId="0" fontId="57" fillId="10" borderId="0" xfId="6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3" fillId="2" borderId="0" xfId="18" applyFont="1" applyFill="1" applyAlignment="1">
      <alignment vertical="center"/>
    </xf>
    <xf numFmtId="17" fontId="13" fillId="2" borderId="0" xfId="19" applyNumberFormat="1" applyFont="1" applyFill="1" applyAlignment="1">
      <alignment horizontal="center" vertical="center" wrapText="1"/>
    </xf>
    <xf numFmtId="17" fontId="13" fillId="2" borderId="0" xfId="19" applyNumberFormat="1" applyFont="1" applyFill="1" applyBorder="1" applyAlignment="1">
      <alignment horizontal="center" vertical="center" wrapText="1"/>
    </xf>
    <xf numFmtId="0" fontId="12" fillId="2" borderId="0" xfId="18" applyFont="1" applyFill="1" applyAlignment="1">
      <alignment vertical="center"/>
    </xf>
    <xf numFmtId="17" fontId="12" fillId="2" borderId="0" xfId="19" applyNumberFormat="1" applyFont="1" applyFill="1" applyBorder="1" applyAlignment="1">
      <alignment horizontal="center" vertical="center" wrapText="1"/>
    </xf>
    <xf numFmtId="17" fontId="20" fillId="10" borderId="0" xfId="19" applyNumberFormat="1" applyFont="1" applyFill="1" applyBorder="1" applyAlignment="1">
      <alignment horizontal="center" vertical="center" wrapText="1"/>
    </xf>
    <xf numFmtId="171" fontId="6" fillId="2" borderId="0" xfId="4" applyNumberFormat="1" applyFont="1" applyFill="1" applyBorder="1" applyAlignment="1">
      <alignment horizontal="right" vertical="center"/>
    </xf>
    <xf numFmtId="171" fontId="20" fillId="10" borderId="0" xfId="4" applyNumberFormat="1" applyFont="1" applyFill="1" applyBorder="1" applyAlignment="1">
      <alignment horizontal="right" vertical="center"/>
    </xf>
    <xf numFmtId="17" fontId="12" fillId="2" borderId="0" xfId="19" applyNumberFormat="1" applyFont="1" applyFill="1" applyAlignment="1">
      <alignment horizontal="center" vertical="center" wrapText="1"/>
    </xf>
    <xf numFmtId="171" fontId="12" fillId="2" borderId="0" xfId="4" applyNumberFormat="1" applyFont="1" applyFill="1" applyAlignment="1">
      <alignment horizontal="right" vertical="center"/>
    </xf>
    <xf numFmtId="0" fontId="12" fillId="2" borderId="0" xfId="18" applyFont="1" applyFill="1"/>
    <xf numFmtId="0" fontId="17" fillId="0" borderId="0" xfId="18" applyFont="1" applyAlignment="1">
      <alignment horizontal="center"/>
    </xf>
    <xf numFmtId="0" fontId="12" fillId="2" borderId="0" xfId="18" applyFont="1" applyFill="1" applyAlignment="1">
      <alignment horizontal="left" vertical="center"/>
    </xf>
    <xf numFmtId="0" fontId="12" fillId="2" borderId="0" xfId="18" applyFont="1" applyFill="1" applyAlignment="1">
      <alignment horizontal="left"/>
    </xf>
    <xf numFmtId="171" fontId="12" fillId="2" borderId="0" xfId="18" applyNumberFormat="1" applyFont="1" applyFill="1" applyAlignment="1">
      <alignment horizontal="left"/>
    </xf>
    <xf numFmtId="17" fontId="59" fillId="10" borderId="0" xfId="19" applyNumberFormat="1" applyFont="1" applyFill="1" applyAlignment="1">
      <alignment horizontal="center" vertical="center" wrapText="1"/>
    </xf>
    <xf numFmtId="3" fontId="12" fillId="2" borderId="0" xfId="4" applyNumberFormat="1" applyFont="1" applyFill="1" applyAlignment="1">
      <alignment horizontal="right" vertical="center"/>
    </xf>
    <xf numFmtId="171" fontId="6" fillId="2" borderId="0" xfId="24" applyNumberFormat="1" applyFont="1" applyFill="1" applyBorder="1" applyAlignment="1">
      <alignment horizontal="right" vertical="center"/>
    </xf>
    <xf numFmtId="171" fontId="6" fillId="2" borderId="0" xfId="24" applyNumberFormat="1" applyFont="1" applyFill="1" applyAlignment="1">
      <alignment horizontal="right" vertical="center"/>
    </xf>
    <xf numFmtId="171" fontId="20" fillId="10" borderId="0" xfId="4" applyNumberFormat="1" applyFont="1" applyFill="1" applyAlignment="1">
      <alignment horizontal="right" vertical="center"/>
    </xf>
    <xf numFmtId="3" fontId="6" fillId="2" borderId="0" xfId="4" applyNumberFormat="1" applyFont="1" applyFill="1" applyBorder="1" applyAlignment="1">
      <alignment horizontal="right" vertical="center"/>
    </xf>
    <xf numFmtId="3" fontId="6" fillId="2" borderId="0" xfId="4" applyNumberFormat="1" applyFont="1" applyFill="1" applyAlignment="1">
      <alignment horizontal="right" vertical="center"/>
    </xf>
    <xf numFmtId="0" fontId="12" fillId="2" borderId="0" xfId="4" applyNumberFormat="1" applyFont="1" applyFill="1" applyBorder="1" applyAlignment="1">
      <alignment horizontal="center" vertical="center"/>
    </xf>
    <xf numFmtId="14" fontId="20" fillId="10" borderId="0" xfId="0" applyNumberFormat="1" applyFont="1" applyFill="1" applyAlignment="1" applyProtection="1">
      <alignment horizontal="center"/>
      <protection locked="0"/>
    </xf>
    <xf numFmtId="0" fontId="20" fillId="10" borderId="0" xfId="11" applyFont="1" applyFill="1" applyAlignment="1">
      <alignment horizontal="left" vertical="center"/>
    </xf>
    <xf numFmtId="0" fontId="20" fillId="10" borderId="0" xfId="11" applyFont="1" applyFill="1" applyAlignment="1">
      <alignment horizontal="center" vertical="center"/>
    </xf>
    <xf numFmtId="171" fontId="28" fillId="2" borderId="0" xfId="10" applyNumberFormat="1" applyFont="1" applyFill="1" applyBorder="1"/>
    <xf numFmtId="0" fontId="27" fillId="10" borderId="0" xfId="11" applyFont="1" applyFill="1" applyAlignment="1">
      <alignment horizontal="center" vertical="center"/>
    </xf>
    <xf numFmtId="169" fontId="20" fillId="10" borderId="0" xfId="10" applyNumberFormat="1" applyFont="1" applyFill="1" applyBorder="1" applyAlignment="1">
      <alignment horizontal="center" vertical="center"/>
    </xf>
    <xf numFmtId="169" fontId="20" fillId="10" borderId="0" xfId="10" applyNumberFormat="1" applyFont="1" applyFill="1" applyBorder="1" applyAlignment="1">
      <alignment horizontal="left" vertical="center"/>
    </xf>
    <xf numFmtId="1" fontId="20" fillId="10" borderId="2" xfId="8" applyNumberFormat="1" applyFont="1" applyFill="1" applyBorder="1" applyAlignment="1">
      <alignment horizontal="center" vertical="center" wrapText="1"/>
    </xf>
    <xf numFmtId="1" fontId="20" fillId="10" borderId="2" xfId="8" quotePrefix="1" applyNumberFormat="1" applyFont="1" applyFill="1" applyBorder="1" applyAlignment="1">
      <alignment horizontal="center" vertical="center" wrapText="1"/>
    </xf>
    <xf numFmtId="1" fontId="12" fillId="2" borderId="0" xfId="7" applyNumberFormat="1" applyFont="1" applyFill="1" applyAlignment="1">
      <alignment horizontal="center" vertical="center" wrapText="1"/>
    </xf>
    <xf numFmtId="1" fontId="12" fillId="2" borderId="5" xfId="7" applyNumberFormat="1" applyFont="1" applyFill="1" applyBorder="1" applyAlignment="1">
      <alignment horizontal="center" vertical="center" wrapText="1"/>
    </xf>
    <xf numFmtId="1" fontId="12" fillId="2" borderId="0" xfId="7" applyNumberFormat="1" applyFont="1" applyFill="1"/>
    <xf numFmtId="171" fontId="12" fillId="2" borderId="0" xfId="10" applyNumberFormat="1" applyFont="1" applyFill="1" applyBorder="1" applyAlignment="1">
      <alignment vertical="center"/>
    </xf>
    <xf numFmtId="1" fontId="12" fillId="2" borderId="0" xfId="7" applyNumberFormat="1" applyFont="1" applyFill="1" applyAlignment="1">
      <alignment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9" fillId="2" borderId="0" xfId="8" applyFont="1" applyFill="1"/>
    <xf numFmtId="17" fontId="51" fillId="10" borderId="0" xfId="19" applyNumberFormat="1" applyFont="1" applyFill="1" applyBorder="1" applyAlignment="1">
      <alignment horizontal="center" vertical="center" wrapText="1"/>
    </xf>
    <xf numFmtId="17" fontId="51" fillId="10" borderId="0" xfId="19" applyNumberFormat="1" applyFont="1" applyFill="1" applyAlignment="1">
      <alignment horizontal="center" vertical="center" wrapText="1"/>
    </xf>
    <xf numFmtId="0" fontId="39" fillId="2" borderId="0" xfId="8" applyFont="1" applyFill="1" applyAlignment="1">
      <alignment horizontal="center"/>
    </xf>
    <xf numFmtId="0" fontId="45" fillId="6" borderId="0" xfId="0" applyFont="1" applyFill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 wrapText="1" indent="1"/>
    </xf>
    <xf numFmtId="0" fontId="6" fillId="7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/>
    </xf>
    <xf numFmtId="0" fontId="6" fillId="7" borderId="0" xfId="0" applyFont="1" applyFill="1"/>
    <xf numFmtId="0" fontId="17" fillId="6" borderId="0" xfId="0" applyFont="1" applyFill="1" applyAlignment="1">
      <alignment horizontal="left" vertical="center" wrapText="1" indent="1"/>
    </xf>
    <xf numFmtId="3" fontId="5" fillId="6" borderId="0" xfId="0" applyNumberFormat="1" applyFont="1" applyFill="1" applyAlignment="1">
      <alignment horizontal="right"/>
    </xf>
    <xf numFmtId="193" fontId="5" fillId="6" borderId="0" xfId="0" quotePrefix="1" applyNumberFormat="1" applyFont="1" applyFill="1" applyAlignment="1">
      <alignment horizontal="right"/>
    </xf>
    <xf numFmtId="193" fontId="5" fillId="6" borderId="0" xfId="0" applyNumberFormat="1" applyFont="1" applyFill="1" applyAlignment="1">
      <alignment horizontal="right"/>
    </xf>
    <xf numFmtId="3" fontId="17" fillId="6" borderId="0" xfId="0" applyNumberFormat="1" applyFont="1" applyFill="1" applyAlignment="1">
      <alignment horizontal="right"/>
    </xf>
    <xf numFmtId="0" fontId="5" fillId="6" borderId="0" xfId="0" quotePrefix="1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75" fillId="0" borderId="0" xfId="0" applyFont="1" applyAlignment="1">
      <alignment horizontal="left" indent="1"/>
    </xf>
    <xf numFmtId="0" fontId="75" fillId="0" borderId="0" xfId="0" applyFont="1" applyAlignment="1">
      <alignment horizontal="left" indent="3"/>
    </xf>
    <xf numFmtId="164" fontId="75" fillId="0" borderId="0" xfId="1" applyNumberFormat="1" applyFont="1"/>
    <xf numFmtId="0" fontId="48" fillId="0" borderId="0" xfId="0" applyFont="1" applyAlignment="1">
      <alignment horizontal="left" vertical="center" wrapText="1"/>
    </xf>
    <xf numFmtId="0" fontId="17" fillId="4" borderId="0" xfId="6" applyFont="1" applyFill="1" applyAlignment="1">
      <alignment horizontal="center" vertical="center" textRotation="90" wrapText="1"/>
    </xf>
    <xf numFmtId="0" fontId="30" fillId="4" borderId="0" xfId="6" applyFont="1" applyFill="1" applyAlignment="1">
      <alignment horizontal="center" vertical="center" textRotation="90" wrapText="1"/>
    </xf>
    <xf numFmtId="0" fontId="30" fillId="0" borderId="0" xfId="6" applyFont="1" applyAlignment="1">
      <alignment horizontal="center" vertical="center" textRotation="90" wrapText="1"/>
    </xf>
    <xf numFmtId="0" fontId="17" fillId="4" borderId="0" xfId="6" applyFont="1" applyFill="1" applyAlignment="1">
      <alignment horizontal="center" vertical="center" textRotation="90"/>
    </xf>
    <xf numFmtId="1" fontId="12" fillId="2" borderId="0" xfId="7" applyNumberFormat="1" applyFont="1" applyFill="1" applyAlignment="1">
      <alignment horizontal="center" vertical="center" wrapText="1"/>
    </xf>
    <xf numFmtId="1" fontId="12" fillId="2" borderId="5" xfId="7" applyNumberFormat="1" applyFont="1" applyFill="1" applyBorder="1" applyAlignment="1">
      <alignment horizontal="center" vertical="center" wrapText="1"/>
    </xf>
    <xf numFmtId="1" fontId="12" fillId="2" borderId="0" xfId="7" applyNumberFormat="1" applyFont="1" applyFill="1" applyAlignment="1">
      <alignment horizontal="center" vertical="center"/>
    </xf>
    <xf numFmtId="1" fontId="12" fillId="2" borderId="5" xfId="7" applyNumberFormat="1" applyFont="1" applyFill="1" applyBorder="1" applyAlignment="1">
      <alignment horizontal="center" vertical="center"/>
    </xf>
    <xf numFmtId="1" fontId="6" fillId="2" borderId="0" xfId="7" applyNumberFormat="1" applyFont="1" applyFill="1" applyAlignment="1">
      <alignment horizontal="center" vertical="center" wrapText="1"/>
    </xf>
    <xf numFmtId="1" fontId="6" fillId="2" borderId="5" xfId="7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29">
    <cellStyle name="Comma 3 4" xfId="13" xr:uid="{AD016D49-3C07-446E-A724-E4A449D09E27}"/>
    <cellStyle name="Hiperlink 2" xfId="2" xr:uid="{16FA8BA6-3EB5-472A-9BE4-CFBFF888CDE6}"/>
    <cellStyle name="Moeda 2" xfId="25" xr:uid="{38F783FE-615E-4CD2-9765-A6DA194650EF}"/>
    <cellStyle name="Normal" xfId="0" builtinId="0"/>
    <cellStyle name="Normal - Style1 2 3" xfId="5" xr:uid="{E11A4DC5-E3CD-4C8E-B2B5-E04AB71663F9}"/>
    <cellStyle name="Normal 10" xfId="22" xr:uid="{0BDFB4D1-E13B-4610-8EA3-C520D2C06DD5}"/>
    <cellStyle name="Normal 11 3" xfId="7" xr:uid="{CA0440B5-BFF1-4D42-B4A2-F57D5DCC6803}"/>
    <cellStyle name="Normal 2 10" xfId="6" xr:uid="{D8165A21-1D4E-424F-AAE8-0C2F6C6F9870}"/>
    <cellStyle name="Normal 2 2 12" xfId="15" xr:uid="{853896B2-2469-414A-B248-3C94F00E9282}"/>
    <cellStyle name="Normal 3" xfId="26" xr:uid="{0FFA855B-6D16-4C16-B3FD-A8FB8859C368}"/>
    <cellStyle name="Normal 300 3" xfId="12" xr:uid="{08E64AFC-B186-40B2-B39B-5AC9FF556624}"/>
    <cellStyle name="Normal 32 3" xfId="23" xr:uid="{F02E8D2E-A7C8-4675-BE40-6123FB4FF284}"/>
    <cellStyle name="Normal 4" xfId="8" xr:uid="{16561ED0-EC8D-4DCE-B977-96C4CE98F394}"/>
    <cellStyle name="Normal 4 10" xfId="11" xr:uid="{878C454F-5A33-4879-9472-2CDB1990EAFE}"/>
    <cellStyle name="Normal_4T10_Gráficos e Tabelas_CEMAR_Após_baixas_A&amp;P_Regulatórios_v2" xfId="18" xr:uid="{EF92BD59-D611-448D-A498-D9D8DCBFDF71}"/>
    <cellStyle name="Normal_AC 05.3 - Def Sign Acc's 2004 2" xfId="28" xr:uid="{78A0007C-40D9-47C3-BF31-3C50CCEB6B08}"/>
    <cellStyle name="Porcentagem" xfId="16" builtinId="5"/>
    <cellStyle name="Porcentagem 2" xfId="3" xr:uid="{8A351227-D136-4DD8-84B2-FC4AEAE44DED}"/>
    <cellStyle name="Porcentagem 2 2" xfId="14" xr:uid="{98BE75A4-0A27-4450-A5EB-1D659F5FC314}"/>
    <cellStyle name="Porcentagem 2 6" xfId="9" xr:uid="{87DB5EA7-B931-4A30-8425-2E912BFBC1BD}"/>
    <cellStyle name="Separador de milhares 2 2 2" xfId="21" xr:uid="{23326EB5-341B-4C2E-B858-97230E1CDDD0}"/>
    <cellStyle name="Texto Explicativo" xfId="17" builtinId="53"/>
    <cellStyle name="Vírgula 2" xfId="4" xr:uid="{4F709EB6-582B-42C5-9356-F882E8F1439B}"/>
    <cellStyle name="Vírgula 2 10" xfId="24" xr:uid="{45FDBB7E-4435-4BFB-A1D9-FF1B5747DCFF}"/>
    <cellStyle name="Vírgula 2 2" xfId="10" xr:uid="{0043E0BE-5DE5-49EA-889E-5FCE6E2A1B89}"/>
    <cellStyle name="Vírgula 2 2 3" xfId="1" xr:uid="{1F9BC40B-288B-485D-ACC8-18D2B68C096F}"/>
    <cellStyle name="Vírgula 3 2" xfId="19" xr:uid="{6D4250A3-5C7A-4407-AEDC-0870CC25DA1D}"/>
    <cellStyle name="Vírgula 3 2 2 2" xfId="27" xr:uid="{4CE69084-8841-4773-8D02-54D08134C497}"/>
    <cellStyle name="Vírgula 4" xfId="20" xr:uid="{B039D237-4EBC-4840-A561-C43F1D67EA95}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Balan&#231;o CVA'!A1"/><Relationship Id="rId3" Type="http://schemas.openxmlformats.org/officeDocument/2006/relationships/hyperlink" Target="#'DRE Resumida'!A1"/><Relationship Id="rId7" Type="http://schemas.openxmlformats.org/officeDocument/2006/relationships/hyperlink" Target="#'Dados Regulat&#243;rios'!A1"/><Relationship Id="rId2" Type="http://schemas.openxmlformats.org/officeDocument/2006/relationships/hyperlink" Target="#'DRE ITR'!A1"/><Relationship Id="rId1" Type="http://schemas.openxmlformats.org/officeDocument/2006/relationships/image" Target="../media/image1.png"/><Relationship Id="rId6" Type="http://schemas.openxmlformats.org/officeDocument/2006/relationships/hyperlink" Target="#Operacional!A1"/><Relationship Id="rId11" Type="http://schemas.openxmlformats.org/officeDocument/2006/relationships/hyperlink" Target="#'Informa&#231;&#245;es Financeiras Aj.'!A1"/><Relationship Id="rId5" Type="http://schemas.openxmlformats.org/officeDocument/2006/relationships/hyperlink" Target="#'D&#237;vida e CAPEX'!A1"/><Relationship Id="rId10" Type="http://schemas.openxmlformats.org/officeDocument/2006/relationships/hyperlink" Target="#'Apura&#231;&#227;o IR CS '!A1"/><Relationship Id="rId4" Type="http://schemas.openxmlformats.org/officeDocument/2006/relationships/hyperlink" Target="#BPs!A1"/><Relationship Id="rId9" Type="http://schemas.openxmlformats.org/officeDocument/2006/relationships/hyperlink" Target="#'Sistemas Isolados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DRE ITR INTESA'!A1"/><Relationship Id="rId13" Type="http://schemas.openxmlformats.org/officeDocument/2006/relationships/hyperlink" Target="#'DRE ITR Servi&#231;os'!A1"/><Relationship Id="rId18" Type="http://schemas.openxmlformats.org/officeDocument/2006/relationships/hyperlink" Target="#Capa!A1"/><Relationship Id="rId3" Type="http://schemas.openxmlformats.org/officeDocument/2006/relationships/hyperlink" Target="#'DRE ITR Par&#225;'!A1"/><Relationship Id="rId7" Type="http://schemas.openxmlformats.org/officeDocument/2006/relationships/hyperlink" Target="#'DRE ITR EQTT'!A1"/><Relationship Id="rId12" Type="http://schemas.openxmlformats.org/officeDocument/2006/relationships/hyperlink" Target="#'DRE ITR CSA'!A1"/><Relationship Id="rId17" Type="http://schemas.openxmlformats.org/officeDocument/2006/relationships/hyperlink" Target="#'DRE ITR SPEs'!A1"/><Relationship Id="rId2" Type="http://schemas.openxmlformats.org/officeDocument/2006/relationships/hyperlink" Target="#'DRE ITR Maranh&#227;o'!A1"/><Relationship Id="rId16" Type="http://schemas.openxmlformats.org/officeDocument/2006/relationships/hyperlink" Target="#'DRE ITR Echo Crescimento'!A1"/><Relationship Id="rId1" Type="http://schemas.openxmlformats.org/officeDocument/2006/relationships/image" Target="../media/image1.png"/><Relationship Id="rId6" Type="http://schemas.openxmlformats.org/officeDocument/2006/relationships/hyperlink" Target="#'DRE ITR CEEE-D'!A1"/><Relationship Id="rId11" Type="http://schemas.openxmlformats.org/officeDocument/2006/relationships/hyperlink" Target="#'DRE ITR Goi&#225;s'!A1"/><Relationship Id="rId5" Type="http://schemas.openxmlformats.org/officeDocument/2006/relationships/hyperlink" Target="#'DRE ITR Alagoas'!A1"/><Relationship Id="rId15" Type="http://schemas.openxmlformats.org/officeDocument/2006/relationships/hyperlink" Target="#'DRE ITR Consolidado'!A1"/><Relationship Id="rId10" Type="http://schemas.openxmlformats.org/officeDocument/2006/relationships/hyperlink" Target="#'DRE ITR CEA'!A1"/><Relationship Id="rId4" Type="http://schemas.openxmlformats.org/officeDocument/2006/relationships/hyperlink" Target="#'DRE ITR Piau&#237;'!A1"/><Relationship Id="rId9" Type="http://schemas.openxmlformats.org/officeDocument/2006/relationships/hyperlink" Target="#'DRE ITR Echoenergia'!A1"/><Relationship Id="rId14" Type="http://schemas.openxmlformats.org/officeDocument/2006/relationships/hyperlink" Target="#'DRE ITR Holding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Operacional Saneamento'!A1"/><Relationship Id="rId3" Type="http://schemas.openxmlformats.org/officeDocument/2006/relationships/hyperlink" Target="#'Bal. Energ&#233;tico Distribui&#231;&#227;o'!A1"/><Relationship Id="rId7" Type="http://schemas.openxmlformats.org/officeDocument/2006/relationships/hyperlink" Target="#'Operacional Renov&#225;veis'!A1"/><Relationship Id="rId2" Type="http://schemas.openxmlformats.org/officeDocument/2006/relationships/hyperlink" Target="#'Mercado Distribui&#231;&#227;o'!A1"/><Relationship Id="rId1" Type="http://schemas.openxmlformats.org/officeDocument/2006/relationships/image" Target="../media/image1.png"/><Relationship Id="rId6" Type="http://schemas.openxmlformats.org/officeDocument/2006/relationships/hyperlink" Target="#'Contratos Distribui&#231;&#227;o'!A1"/><Relationship Id="rId5" Type="http://schemas.openxmlformats.org/officeDocument/2006/relationships/hyperlink" Target="#'DEC FEC'!A1"/><Relationship Id="rId4" Type="http://schemas.openxmlformats.org/officeDocument/2006/relationships/hyperlink" Target="#'Perdas Distribui&#231;&#227;o'!A1"/><Relationship Id="rId9" Type="http://schemas.openxmlformats.org/officeDocument/2006/relationships/hyperlink" Target="#Capa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'DRE ITR'!A1"/><Relationship Id="rId1" Type="http://schemas.openxmlformats.org/officeDocument/2006/relationships/hyperlink" Target="#Capa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hyperlink" Target="#'DRE Intesa IFRS'!A1"/><Relationship Id="rId13" Type="http://schemas.openxmlformats.org/officeDocument/2006/relationships/hyperlink" Target="#'DRE Goi&#225;s'!A1"/><Relationship Id="rId18" Type="http://schemas.openxmlformats.org/officeDocument/2006/relationships/hyperlink" Target="#Capa!A1"/><Relationship Id="rId3" Type="http://schemas.openxmlformats.org/officeDocument/2006/relationships/hyperlink" Target="#'DRE Par&#225;'!A1"/><Relationship Id="rId7" Type="http://schemas.openxmlformats.org/officeDocument/2006/relationships/hyperlink" Target="#'DRE EQTT IFRS'!A1"/><Relationship Id="rId12" Type="http://schemas.openxmlformats.org/officeDocument/2006/relationships/hyperlink" Target="#'DRE CEA'!A1"/><Relationship Id="rId17" Type="http://schemas.openxmlformats.org/officeDocument/2006/relationships/hyperlink" Target="#'DRE EQTL Cons '!A1"/><Relationship Id="rId2" Type="http://schemas.openxmlformats.org/officeDocument/2006/relationships/hyperlink" Target="#'DRE Maranh&#227;o'!A1"/><Relationship Id="rId16" Type="http://schemas.openxmlformats.org/officeDocument/2006/relationships/hyperlink" Target="#'DRE EQTL Holding'!A1"/><Relationship Id="rId1" Type="http://schemas.openxmlformats.org/officeDocument/2006/relationships/image" Target="../media/image1.png"/><Relationship Id="rId6" Type="http://schemas.openxmlformats.org/officeDocument/2006/relationships/hyperlink" Target="#'DRE CEEE-D'!A1"/><Relationship Id="rId11" Type="http://schemas.openxmlformats.org/officeDocument/2006/relationships/hyperlink" Target="#'DRE Echoenergia'!A1"/><Relationship Id="rId5" Type="http://schemas.openxmlformats.org/officeDocument/2006/relationships/hyperlink" Target="#'DRE Alagoas'!A1"/><Relationship Id="rId15" Type="http://schemas.openxmlformats.org/officeDocument/2006/relationships/hyperlink" Target="#'DRE EQTL Servi&#231;os'!A1"/><Relationship Id="rId10" Type="http://schemas.openxmlformats.org/officeDocument/2006/relationships/hyperlink" Target="#'DRE Intesa Reg'!A1"/><Relationship Id="rId19" Type="http://schemas.openxmlformats.org/officeDocument/2006/relationships/hyperlink" Target="#'DRE Individual'!A1"/><Relationship Id="rId4" Type="http://schemas.openxmlformats.org/officeDocument/2006/relationships/hyperlink" Target="#'DRE Piau&#237;'!A1"/><Relationship Id="rId9" Type="http://schemas.openxmlformats.org/officeDocument/2006/relationships/hyperlink" Target="#'DRE EQTT Reg'!A1"/><Relationship Id="rId14" Type="http://schemas.openxmlformats.org/officeDocument/2006/relationships/hyperlink" Target="#'DRE CSA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Operacional!A1"/><Relationship Id="rId1" Type="http://schemas.openxmlformats.org/officeDocument/2006/relationships/hyperlink" Target="#Capa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Operacional!A1"/><Relationship Id="rId1" Type="http://schemas.openxmlformats.org/officeDocument/2006/relationships/hyperlink" Target="#Capa!A1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hyperlink" Target="#'DRE Resumida'!A1"/><Relationship Id="rId1" Type="http://schemas.openxmlformats.org/officeDocument/2006/relationships/hyperlink" Target="#Capa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6.xml.rels><?xml version="1.0" encoding="UTF-8" standalone="yes"?>
<Relationships xmlns="http://schemas.openxmlformats.org/package/2006/relationships"><Relationship Id="rId8" Type="http://schemas.openxmlformats.org/officeDocument/2006/relationships/hyperlink" Target="#'BP Intesa'!A1"/><Relationship Id="rId13" Type="http://schemas.openxmlformats.org/officeDocument/2006/relationships/hyperlink" Target="#'BP EQTL Holding'!A1"/><Relationship Id="rId3" Type="http://schemas.openxmlformats.org/officeDocument/2006/relationships/hyperlink" Target="#'BP Par&#225;'!A1"/><Relationship Id="rId7" Type="http://schemas.openxmlformats.org/officeDocument/2006/relationships/hyperlink" Target="#'BP Transmiss&#227;o'!A1"/><Relationship Id="rId12" Type="http://schemas.openxmlformats.org/officeDocument/2006/relationships/hyperlink" Target="#'BP CSA'!A1"/><Relationship Id="rId2" Type="http://schemas.openxmlformats.org/officeDocument/2006/relationships/hyperlink" Target="#'BP Maranh&#227;o'!A1"/><Relationship Id="rId1" Type="http://schemas.openxmlformats.org/officeDocument/2006/relationships/image" Target="../media/image1.png"/><Relationship Id="rId6" Type="http://schemas.openxmlformats.org/officeDocument/2006/relationships/hyperlink" Target="#'BP CEEE-D '!A1"/><Relationship Id="rId11" Type="http://schemas.openxmlformats.org/officeDocument/2006/relationships/hyperlink" Target="#'BP CELG'!A1"/><Relationship Id="rId5" Type="http://schemas.openxmlformats.org/officeDocument/2006/relationships/hyperlink" Target="#'BP Alagoas'!A1"/><Relationship Id="rId15" Type="http://schemas.openxmlformats.org/officeDocument/2006/relationships/hyperlink" Target="#Capa!A1"/><Relationship Id="rId10" Type="http://schemas.openxmlformats.org/officeDocument/2006/relationships/hyperlink" Target="#'BP CEA'!A1"/><Relationship Id="rId4" Type="http://schemas.openxmlformats.org/officeDocument/2006/relationships/hyperlink" Target="#'BP Piau&#237;'!A1"/><Relationship Id="rId9" Type="http://schemas.openxmlformats.org/officeDocument/2006/relationships/hyperlink" Target="#'BP Echoenergia'!A1"/><Relationship Id="rId14" Type="http://schemas.openxmlformats.org/officeDocument/2006/relationships/hyperlink" Target="#'BP EQTL Cons'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Operacional!A1"/><Relationship Id="rId1" Type="http://schemas.openxmlformats.org/officeDocument/2006/relationships/hyperlink" Target="#Capa!A1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hyperlink" Target="#BPs!A1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Operacional!A1"/><Relationship Id="rId1" Type="http://schemas.openxmlformats.org/officeDocument/2006/relationships/hyperlink" Target="#Capa!A1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'D&#237;vida L&#237;quida'!A1"/><Relationship Id="rId2" Type="http://schemas.openxmlformats.org/officeDocument/2006/relationships/hyperlink" Target="#'D&#237;vida Bruta'!A1"/><Relationship Id="rId1" Type="http://schemas.openxmlformats.org/officeDocument/2006/relationships/image" Target="../media/image1.png"/><Relationship Id="rId6" Type="http://schemas.openxmlformats.org/officeDocument/2006/relationships/hyperlink" Target="#Capa!A1"/><Relationship Id="rId5" Type="http://schemas.openxmlformats.org/officeDocument/2006/relationships/hyperlink" Target="#Investimentos!A1"/><Relationship Id="rId4" Type="http://schemas.openxmlformats.org/officeDocument/2006/relationships/hyperlink" Target="#'D&#237;vida Detalhada'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hyperlink" Target="#'D&#237;vida e CAPEX'!A1"/><Relationship Id="rId1" Type="http://schemas.openxmlformats.org/officeDocument/2006/relationships/hyperlink" Target="#Capa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hyperlink" Target="#'D&#237;vida e CAPEX'!A1"/><Relationship Id="rId1" Type="http://schemas.openxmlformats.org/officeDocument/2006/relationships/hyperlink" Target="#Capa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hyperlink" Target="#'D&#237;vida e CAPEX'!A1"/><Relationship Id="rId1" Type="http://schemas.openxmlformats.org/officeDocument/2006/relationships/hyperlink" Target="#Capa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hyperlink" Target="#'D&#237;vida e CAPEX'!A1"/><Relationship Id="rId1" Type="http://schemas.openxmlformats.org/officeDocument/2006/relationships/hyperlink" Target="#Capa!A1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'Dados Leil&#245;es Transmiss&#227;o'!A1"/><Relationship Id="rId2" Type="http://schemas.openxmlformats.org/officeDocument/2006/relationships/hyperlink" Target="#'Dados Regulat&#243;rios Distribui&#231;&#227;o'!A1"/><Relationship Id="rId1" Type="http://schemas.openxmlformats.org/officeDocument/2006/relationships/image" Target="../media/image1.png"/><Relationship Id="rId5" Type="http://schemas.openxmlformats.org/officeDocument/2006/relationships/hyperlink" Target="#'Dados Concess&#245;es'!A1"/><Relationship Id="rId4" Type="http://schemas.openxmlformats.org/officeDocument/2006/relationships/hyperlink" Target="#Capa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hyperlink" Target="#'Dados Regulat&#243;rios'!A1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Operacional!A1"/><Relationship Id="rId1" Type="http://schemas.openxmlformats.org/officeDocument/2006/relationships/hyperlink" Target="#Capa!A1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hyperlink" Target="#'Dados Regulat&#243;rios'!A1"/><Relationship Id="rId1" Type="http://schemas.openxmlformats.org/officeDocument/2006/relationships/hyperlink" Target="#Capa!A1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hyperlink" Target="#'Dados Regulat&#243;rios'!A1"/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Operacional!A1"/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Operacional!A1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25400</xdr:rowOff>
    </xdr:from>
    <xdr:to>
      <xdr:col>3</xdr:col>
      <xdr:colOff>523768</xdr:colOff>
      <xdr:row>2</xdr:row>
      <xdr:rowOff>97427</xdr:rowOff>
    </xdr:to>
    <xdr:pic>
      <xdr:nvPicPr>
        <xdr:cNvPr id="13" name="Imagem 1">
          <a:extLst>
            <a:ext uri="{FF2B5EF4-FFF2-40B4-BE49-F238E27FC236}">
              <a16:creationId xmlns:a16="http://schemas.microsoft.com/office/drawing/2014/main" id="{A9CBF89A-02E1-43FC-8DE2-AA03258EBDB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5400"/>
          <a:ext cx="1796415" cy="435098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8</xdr:row>
      <xdr:rowOff>133350</xdr:rowOff>
    </xdr:from>
    <xdr:to>
      <xdr:col>6</xdr:col>
      <xdr:colOff>476250</xdr:colOff>
      <xdr:row>10</xdr:row>
      <xdr:rowOff>88900</xdr:rowOff>
    </xdr:to>
    <xdr:sp macro="" textlink="">
      <xdr:nvSpPr>
        <xdr:cNvPr id="11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F581F1-0438-0BC8-9E72-87207588B2D5}"/>
            </a:ext>
          </a:extLst>
        </xdr:cNvPr>
        <xdr:cNvSpPr/>
      </xdr:nvSpPr>
      <xdr:spPr>
        <a:xfrm>
          <a:off x="142875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DRE ITRs</a:t>
          </a:r>
        </a:p>
      </xdr:txBody>
    </xdr:sp>
    <xdr:clientData/>
  </xdr:twoCellAnchor>
  <xdr:twoCellAnchor>
    <xdr:from>
      <xdr:col>3</xdr:col>
      <xdr:colOff>114300</xdr:colOff>
      <xdr:row>11</xdr:row>
      <xdr:rowOff>66675</xdr:rowOff>
    </xdr:from>
    <xdr:to>
      <xdr:col>6</xdr:col>
      <xdr:colOff>476250</xdr:colOff>
      <xdr:row>13</xdr:row>
      <xdr:rowOff>22225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D087AB-2CCC-4DF8-B9A7-206A42D6EF5B}"/>
            </a:ext>
          </a:extLst>
        </xdr:cNvPr>
        <xdr:cNvSpPr/>
      </xdr:nvSpPr>
      <xdr:spPr>
        <a:xfrm>
          <a:off x="1428750" y="251777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DRE Resumida</a:t>
          </a:r>
        </a:p>
      </xdr:txBody>
    </xdr:sp>
    <xdr:clientData/>
  </xdr:twoCellAnchor>
  <xdr:twoCellAnchor>
    <xdr:from>
      <xdr:col>3</xdr:col>
      <xdr:colOff>114300</xdr:colOff>
      <xdr:row>16</xdr:row>
      <xdr:rowOff>22419</xdr:rowOff>
    </xdr:from>
    <xdr:to>
      <xdr:col>6</xdr:col>
      <xdr:colOff>476250</xdr:colOff>
      <xdr:row>17</xdr:row>
      <xdr:rowOff>162119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BB9F748-329F-4BBA-A958-D6270268FEE5}"/>
            </a:ext>
          </a:extLst>
        </xdr:cNvPr>
        <xdr:cNvSpPr/>
      </xdr:nvSpPr>
      <xdr:spPr>
        <a:xfrm>
          <a:off x="1436594" y="3429007"/>
          <a:ext cx="2199715" cy="32646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Balanços Patrimoniais</a:t>
          </a:r>
        </a:p>
      </xdr:txBody>
    </xdr:sp>
    <xdr:clientData/>
  </xdr:twoCellAnchor>
  <xdr:twoCellAnchor>
    <xdr:from>
      <xdr:col>3</xdr:col>
      <xdr:colOff>114300</xdr:colOff>
      <xdr:row>18</xdr:row>
      <xdr:rowOff>139893</xdr:rowOff>
    </xdr:from>
    <xdr:to>
      <xdr:col>6</xdr:col>
      <xdr:colOff>476250</xdr:colOff>
      <xdr:row>20</xdr:row>
      <xdr:rowOff>95444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B14750-0619-4801-A9F6-8B0839510E90}"/>
            </a:ext>
          </a:extLst>
        </xdr:cNvPr>
        <xdr:cNvSpPr/>
      </xdr:nvSpPr>
      <xdr:spPr>
        <a:xfrm>
          <a:off x="1436594" y="3920011"/>
          <a:ext cx="2199715" cy="3290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Dívida e CAPEX</a:t>
          </a:r>
        </a:p>
      </xdr:txBody>
    </xdr:sp>
    <xdr:clientData/>
  </xdr:twoCellAnchor>
  <xdr:twoCellAnchor>
    <xdr:from>
      <xdr:col>8</xdr:col>
      <xdr:colOff>69850</xdr:colOff>
      <xdr:row>8</xdr:row>
      <xdr:rowOff>133350</xdr:rowOff>
    </xdr:from>
    <xdr:to>
      <xdr:col>11</xdr:col>
      <xdr:colOff>431800</xdr:colOff>
      <xdr:row>10</xdr:row>
      <xdr:rowOff>88900</xdr:rowOff>
    </xdr:to>
    <xdr:sp macro="" textlink="">
      <xdr:nvSpPr>
        <xdr:cNvPr id="10" name="Retângulo: Cantos Arredondados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AA490F-25E4-4437-9601-578EB0401B0E}"/>
            </a:ext>
          </a:extLst>
        </xdr:cNvPr>
        <xdr:cNvSpPr/>
      </xdr:nvSpPr>
      <xdr:spPr>
        <a:xfrm>
          <a:off x="443230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Operacional</a:t>
          </a:r>
        </a:p>
      </xdr:txBody>
    </xdr:sp>
    <xdr:clientData/>
  </xdr:twoCellAnchor>
  <xdr:twoCellAnchor>
    <xdr:from>
      <xdr:col>13</xdr:col>
      <xdr:colOff>92214</xdr:colOff>
      <xdr:row>8</xdr:row>
      <xdr:rowOff>127000</xdr:rowOff>
    </xdr:from>
    <xdr:to>
      <xdr:col>16</xdr:col>
      <xdr:colOff>454164</xdr:colOff>
      <xdr:row>10</xdr:row>
      <xdr:rowOff>82550</xdr:rowOff>
    </xdr:to>
    <xdr:sp macro="" textlink="">
      <xdr:nvSpPr>
        <xdr:cNvPr id="24" name="Retângulo: Cantos Arredondados 2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7912328-54A4-43AB-B95E-01E4B479E22C}"/>
            </a:ext>
          </a:extLst>
        </xdr:cNvPr>
        <xdr:cNvSpPr/>
      </xdr:nvSpPr>
      <xdr:spPr>
        <a:xfrm>
          <a:off x="7474779" y="2015435"/>
          <a:ext cx="2184124" cy="31998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Dados Regulatórios</a:t>
          </a:r>
        </a:p>
      </xdr:txBody>
    </xdr:sp>
    <xdr:clientData/>
  </xdr:twoCellAnchor>
  <xdr:twoCellAnchor>
    <xdr:from>
      <xdr:col>3</xdr:col>
      <xdr:colOff>113926</xdr:colOff>
      <xdr:row>21</xdr:row>
      <xdr:rowOff>75083</xdr:rowOff>
    </xdr:from>
    <xdr:to>
      <xdr:col>6</xdr:col>
      <xdr:colOff>475876</xdr:colOff>
      <xdr:row>23</xdr:row>
      <xdr:rowOff>28019</xdr:rowOff>
    </xdr:to>
    <xdr:sp macro="" textlink="">
      <xdr:nvSpPr>
        <xdr:cNvPr id="7" name="Retângulo: Cantos Arredondados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C3ABB2D-4A6D-4A97-89CB-589E518087E6}"/>
            </a:ext>
          </a:extLst>
        </xdr:cNvPr>
        <xdr:cNvSpPr/>
      </xdr:nvSpPr>
      <xdr:spPr>
        <a:xfrm>
          <a:off x="1436220" y="4415495"/>
          <a:ext cx="2199715" cy="32646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Balanço CVA</a:t>
          </a:r>
        </a:p>
      </xdr:txBody>
    </xdr:sp>
    <xdr:clientData/>
  </xdr:twoCellAnchor>
  <xdr:twoCellAnchor>
    <xdr:from>
      <xdr:col>3</xdr:col>
      <xdr:colOff>113926</xdr:colOff>
      <xdr:row>24</xdr:row>
      <xdr:rowOff>5793</xdr:rowOff>
    </xdr:from>
    <xdr:to>
      <xdr:col>6</xdr:col>
      <xdr:colOff>475876</xdr:colOff>
      <xdr:row>25</xdr:row>
      <xdr:rowOff>148108</xdr:rowOff>
    </xdr:to>
    <xdr:sp macro="" textlink="">
      <xdr:nvSpPr>
        <xdr:cNvPr id="8" name="Retângulo: Cantos Arredondados 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7377942-1226-4E0A-BECD-81719C8858E4}"/>
            </a:ext>
          </a:extLst>
        </xdr:cNvPr>
        <xdr:cNvSpPr/>
      </xdr:nvSpPr>
      <xdr:spPr>
        <a:xfrm>
          <a:off x="1436220" y="4906499"/>
          <a:ext cx="2199715" cy="3290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Sistemas Isolados</a:t>
          </a:r>
        </a:p>
      </xdr:txBody>
    </xdr:sp>
    <xdr:clientData/>
  </xdr:twoCellAnchor>
  <xdr:twoCellAnchor>
    <xdr:from>
      <xdr:col>3</xdr:col>
      <xdr:colOff>113926</xdr:colOff>
      <xdr:row>26</xdr:row>
      <xdr:rowOff>144933</xdr:rowOff>
    </xdr:from>
    <xdr:to>
      <xdr:col>6</xdr:col>
      <xdr:colOff>475876</xdr:colOff>
      <xdr:row>28</xdr:row>
      <xdr:rowOff>100483</xdr:rowOff>
    </xdr:to>
    <xdr:sp macro="" textlink="">
      <xdr:nvSpPr>
        <xdr:cNvPr id="14" name="Retângulo: Cantos Arredondados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0053358-14B0-464B-9313-EC4FDE466DA1}"/>
            </a:ext>
          </a:extLst>
        </xdr:cNvPr>
        <xdr:cNvSpPr/>
      </xdr:nvSpPr>
      <xdr:spPr>
        <a:xfrm>
          <a:off x="1436220" y="5419168"/>
          <a:ext cx="2199715" cy="3290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Apuração IR e CSLL</a:t>
          </a:r>
        </a:p>
      </xdr:txBody>
    </xdr:sp>
    <xdr:clientData/>
  </xdr:twoCellAnchor>
  <xdr:twoCellAnchor>
    <xdr:from>
      <xdr:col>3</xdr:col>
      <xdr:colOff>109817</xdr:colOff>
      <xdr:row>13</xdr:row>
      <xdr:rowOff>122521</xdr:rowOff>
    </xdr:from>
    <xdr:to>
      <xdr:col>6</xdr:col>
      <xdr:colOff>471767</xdr:colOff>
      <xdr:row>15</xdr:row>
      <xdr:rowOff>75456</xdr:rowOff>
    </xdr:to>
    <xdr:sp macro="" textlink="">
      <xdr:nvSpPr>
        <xdr:cNvPr id="2" name="Retângulo: Cantos Arredondados 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1190207-0AD0-45F7-839D-C69DA1C50F75}"/>
            </a:ext>
          </a:extLst>
        </xdr:cNvPr>
        <xdr:cNvSpPr/>
      </xdr:nvSpPr>
      <xdr:spPr>
        <a:xfrm>
          <a:off x="1432111" y="2968815"/>
          <a:ext cx="2199715" cy="32646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Informações Fin. Ajustadas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25400</xdr:rowOff>
    </xdr:from>
    <xdr:to>
      <xdr:col>3</xdr:col>
      <xdr:colOff>515924</xdr:colOff>
      <xdr:row>2</xdr:row>
      <xdr:rowOff>92198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1107D91-CEB6-41FA-B022-6A89DA39F32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5400"/>
          <a:ext cx="1798624" cy="435098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8</xdr:row>
      <xdr:rowOff>133350</xdr:rowOff>
    </xdr:from>
    <xdr:to>
      <xdr:col>6</xdr:col>
      <xdr:colOff>476250</xdr:colOff>
      <xdr:row>10</xdr:row>
      <xdr:rowOff>88900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12A047-EB78-45F1-8DBB-F94591B6F870}"/>
            </a:ext>
          </a:extLst>
        </xdr:cNvPr>
        <xdr:cNvSpPr/>
      </xdr:nvSpPr>
      <xdr:spPr>
        <a:xfrm>
          <a:off x="142875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Maranhão</a:t>
          </a:r>
        </a:p>
      </xdr:txBody>
    </xdr:sp>
    <xdr:clientData/>
  </xdr:twoCellAnchor>
  <xdr:twoCellAnchor>
    <xdr:from>
      <xdr:col>3</xdr:col>
      <xdr:colOff>114300</xdr:colOff>
      <xdr:row>11</xdr:row>
      <xdr:rowOff>66675</xdr:rowOff>
    </xdr:from>
    <xdr:to>
      <xdr:col>6</xdr:col>
      <xdr:colOff>476250</xdr:colOff>
      <xdr:row>13</xdr:row>
      <xdr:rowOff>22225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7C7BA5-37A9-40A5-B1D1-2E3D847BCE5B}"/>
            </a:ext>
          </a:extLst>
        </xdr:cNvPr>
        <xdr:cNvSpPr/>
      </xdr:nvSpPr>
      <xdr:spPr>
        <a:xfrm>
          <a:off x="1428750" y="251777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Pará</a:t>
          </a:r>
        </a:p>
      </xdr:txBody>
    </xdr:sp>
    <xdr:clientData/>
  </xdr:twoCellAnchor>
  <xdr:twoCellAnchor>
    <xdr:from>
      <xdr:col>3</xdr:col>
      <xdr:colOff>114300</xdr:colOff>
      <xdr:row>14</xdr:row>
      <xdr:rowOff>0</xdr:rowOff>
    </xdr:from>
    <xdr:to>
      <xdr:col>6</xdr:col>
      <xdr:colOff>476250</xdr:colOff>
      <xdr:row>15</xdr:row>
      <xdr:rowOff>139700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953ADB-B4DB-4268-9512-F9DE3DF87D0E}"/>
            </a:ext>
          </a:extLst>
        </xdr:cNvPr>
        <xdr:cNvSpPr/>
      </xdr:nvSpPr>
      <xdr:spPr>
        <a:xfrm>
          <a:off x="1428750" y="30035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Piauí</a:t>
          </a:r>
        </a:p>
      </xdr:txBody>
    </xdr:sp>
    <xdr:clientData/>
  </xdr:twoCellAnchor>
  <xdr:twoCellAnchor>
    <xdr:from>
      <xdr:col>3</xdr:col>
      <xdr:colOff>114300</xdr:colOff>
      <xdr:row>16</xdr:row>
      <xdr:rowOff>117475</xdr:rowOff>
    </xdr:from>
    <xdr:to>
      <xdr:col>6</xdr:col>
      <xdr:colOff>476250</xdr:colOff>
      <xdr:row>18</xdr:row>
      <xdr:rowOff>73025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E5114B4-590F-4F16-BA66-486D104CBECE}"/>
            </a:ext>
          </a:extLst>
        </xdr:cNvPr>
        <xdr:cNvSpPr/>
      </xdr:nvSpPr>
      <xdr:spPr>
        <a:xfrm>
          <a:off x="1428750" y="348932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Alagoas</a:t>
          </a:r>
        </a:p>
      </xdr:txBody>
    </xdr:sp>
    <xdr:clientData/>
  </xdr:twoCellAnchor>
  <xdr:twoCellAnchor>
    <xdr:from>
      <xdr:col>3</xdr:col>
      <xdr:colOff>114300</xdr:colOff>
      <xdr:row>19</xdr:row>
      <xdr:rowOff>69850</xdr:rowOff>
    </xdr:from>
    <xdr:to>
      <xdr:col>6</xdr:col>
      <xdr:colOff>476250</xdr:colOff>
      <xdr:row>21</xdr:row>
      <xdr:rowOff>25400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EB2E355-EA19-44D9-A6B5-101AD01668FE}"/>
            </a:ext>
          </a:extLst>
        </xdr:cNvPr>
        <xdr:cNvSpPr/>
      </xdr:nvSpPr>
      <xdr:spPr>
        <a:xfrm>
          <a:off x="1428750" y="39941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CEEE-D</a:t>
          </a:r>
        </a:p>
      </xdr:txBody>
    </xdr:sp>
    <xdr:clientData/>
  </xdr:twoCellAnchor>
  <xdr:twoCellAnchor>
    <xdr:from>
      <xdr:col>8</xdr:col>
      <xdr:colOff>174438</xdr:colOff>
      <xdr:row>11</xdr:row>
      <xdr:rowOff>125879</xdr:rowOff>
    </xdr:from>
    <xdr:to>
      <xdr:col>11</xdr:col>
      <xdr:colOff>536388</xdr:colOff>
      <xdr:row>13</xdr:row>
      <xdr:rowOff>81429</xdr:rowOff>
    </xdr:to>
    <xdr:sp macro="" textlink="">
      <xdr:nvSpPr>
        <xdr:cNvPr id="8" name="Retângulo: Cantos Arredondado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FB3506E-BC17-4B10-BAAB-BEFAC90F1EB9}"/>
            </a:ext>
          </a:extLst>
        </xdr:cNvPr>
        <xdr:cNvSpPr/>
      </xdr:nvSpPr>
      <xdr:spPr>
        <a:xfrm>
          <a:off x="4089026" y="2598644"/>
          <a:ext cx="2199715" cy="3290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EQTT</a:t>
          </a:r>
        </a:p>
      </xdr:txBody>
    </xdr:sp>
    <xdr:clientData/>
  </xdr:twoCellAnchor>
  <xdr:twoCellAnchor>
    <xdr:from>
      <xdr:col>8</xdr:col>
      <xdr:colOff>174438</xdr:colOff>
      <xdr:row>14</xdr:row>
      <xdr:rowOff>59204</xdr:rowOff>
    </xdr:from>
    <xdr:to>
      <xdr:col>11</xdr:col>
      <xdr:colOff>536388</xdr:colOff>
      <xdr:row>16</xdr:row>
      <xdr:rowOff>14754</xdr:rowOff>
    </xdr:to>
    <xdr:sp macro="" textlink="">
      <xdr:nvSpPr>
        <xdr:cNvPr id="9" name="Retângulo: Canto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2A334F5-73AB-4F0E-A1CB-8E674E79302B}"/>
            </a:ext>
          </a:extLst>
        </xdr:cNvPr>
        <xdr:cNvSpPr/>
      </xdr:nvSpPr>
      <xdr:spPr>
        <a:xfrm>
          <a:off x="4089026" y="3092263"/>
          <a:ext cx="2199715" cy="3290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INTESA</a:t>
          </a:r>
        </a:p>
      </xdr:txBody>
    </xdr:sp>
    <xdr:clientData/>
  </xdr:twoCellAnchor>
  <xdr:twoCellAnchor>
    <xdr:from>
      <xdr:col>13</xdr:col>
      <xdr:colOff>92214</xdr:colOff>
      <xdr:row>8</xdr:row>
      <xdr:rowOff>149411</xdr:rowOff>
    </xdr:from>
    <xdr:to>
      <xdr:col>16</xdr:col>
      <xdr:colOff>454164</xdr:colOff>
      <xdr:row>10</xdr:row>
      <xdr:rowOff>104961</xdr:rowOff>
    </xdr:to>
    <xdr:sp macro="" textlink="">
      <xdr:nvSpPr>
        <xdr:cNvPr id="12" name="Retângulo: Cantos Arredondados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00A86DE-DF6D-43F9-9649-A04B684F7205}"/>
            </a:ext>
          </a:extLst>
        </xdr:cNvPr>
        <xdr:cNvSpPr/>
      </xdr:nvSpPr>
      <xdr:spPr>
        <a:xfrm>
          <a:off x="6562864" y="2048061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Echoenergia</a:t>
          </a:r>
        </a:p>
      </xdr:txBody>
    </xdr:sp>
    <xdr:clientData/>
  </xdr:twoCellAnchor>
  <xdr:twoCellAnchor>
    <xdr:from>
      <xdr:col>3</xdr:col>
      <xdr:colOff>114300</xdr:colOff>
      <xdr:row>21</xdr:row>
      <xdr:rowOff>149225</xdr:rowOff>
    </xdr:from>
    <xdr:to>
      <xdr:col>6</xdr:col>
      <xdr:colOff>476250</xdr:colOff>
      <xdr:row>23</xdr:row>
      <xdr:rowOff>104775</xdr:rowOff>
    </xdr:to>
    <xdr:sp macro="" textlink="">
      <xdr:nvSpPr>
        <xdr:cNvPr id="13" name="Retângulo: Cantos Arredondados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CBEFCAE-A118-4D74-B8D9-5E7237406017}"/>
            </a:ext>
          </a:extLst>
        </xdr:cNvPr>
        <xdr:cNvSpPr/>
      </xdr:nvSpPr>
      <xdr:spPr>
        <a:xfrm>
          <a:off x="1428750" y="444182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CEA</a:t>
          </a:r>
        </a:p>
      </xdr:txBody>
    </xdr:sp>
    <xdr:clientData/>
  </xdr:twoCellAnchor>
  <xdr:twoCellAnchor>
    <xdr:from>
      <xdr:col>3</xdr:col>
      <xdr:colOff>114300</xdr:colOff>
      <xdr:row>24</xdr:row>
      <xdr:rowOff>101600</xdr:rowOff>
    </xdr:from>
    <xdr:to>
      <xdr:col>6</xdr:col>
      <xdr:colOff>476250</xdr:colOff>
      <xdr:row>26</xdr:row>
      <xdr:rowOff>57150</xdr:rowOff>
    </xdr:to>
    <xdr:sp macro="" textlink="">
      <xdr:nvSpPr>
        <xdr:cNvPr id="14" name="Retângulo: Cantos Arredondados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7863781-5E1C-4610-9905-71E31C62E7FF}"/>
            </a:ext>
          </a:extLst>
        </xdr:cNvPr>
        <xdr:cNvSpPr/>
      </xdr:nvSpPr>
      <xdr:spPr>
        <a:xfrm>
          <a:off x="1428750" y="49466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Goiás</a:t>
          </a:r>
        </a:p>
      </xdr:txBody>
    </xdr:sp>
    <xdr:clientData/>
  </xdr:twoCellAnchor>
  <xdr:twoCellAnchor>
    <xdr:from>
      <xdr:col>18</xdr:col>
      <xdr:colOff>87732</xdr:colOff>
      <xdr:row>8</xdr:row>
      <xdr:rowOff>152400</xdr:rowOff>
    </xdr:from>
    <xdr:to>
      <xdr:col>21</xdr:col>
      <xdr:colOff>449682</xdr:colOff>
      <xdr:row>10</xdr:row>
      <xdr:rowOff>107950</xdr:rowOff>
    </xdr:to>
    <xdr:sp macro="" textlink="">
      <xdr:nvSpPr>
        <xdr:cNvPr id="15" name="Retângulo: Cantos Arredondados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1D98916-7D98-4353-BF31-6D49C3736629}"/>
            </a:ext>
          </a:extLst>
        </xdr:cNvPr>
        <xdr:cNvSpPr/>
      </xdr:nvSpPr>
      <xdr:spPr>
        <a:xfrm>
          <a:off x="9136482" y="20510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CSA</a:t>
          </a:r>
        </a:p>
      </xdr:txBody>
    </xdr:sp>
    <xdr:clientData/>
  </xdr:twoCellAnchor>
  <xdr:twoCellAnchor>
    <xdr:from>
      <xdr:col>23</xdr:col>
      <xdr:colOff>110143</xdr:colOff>
      <xdr:row>8</xdr:row>
      <xdr:rowOff>144928</xdr:rowOff>
    </xdr:from>
    <xdr:to>
      <xdr:col>26</xdr:col>
      <xdr:colOff>472094</xdr:colOff>
      <xdr:row>10</xdr:row>
      <xdr:rowOff>100478</xdr:rowOff>
    </xdr:to>
    <xdr:sp macro="" textlink="">
      <xdr:nvSpPr>
        <xdr:cNvPr id="16" name="Retângulo: Cantos Arredondados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453CA4D-64D1-43B6-94ED-8A3586890D47}"/>
            </a:ext>
          </a:extLst>
        </xdr:cNvPr>
        <xdr:cNvSpPr/>
      </xdr:nvSpPr>
      <xdr:spPr>
        <a:xfrm>
          <a:off x="11736993" y="2043578"/>
          <a:ext cx="2190751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Serviços</a:t>
          </a:r>
        </a:p>
      </xdr:txBody>
    </xdr:sp>
    <xdr:clientData/>
  </xdr:twoCellAnchor>
  <xdr:twoCellAnchor>
    <xdr:from>
      <xdr:col>23</xdr:col>
      <xdr:colOff>110143</xdr:colOff>
      <xdr:row>11</xdr:row>
      <xdr:rowOff>55842</xdr:rowOff>
    </xdr:from>
    <xdr:to>
      <xdr:col>26</xdr:col>
      <xdr:colOff>472094</xdr:colOff>
      <xdr:row>13</xdr:row>
      <xdr:rowOff>11392</xdr:rowOff>
    </xdr:to>
    <xdr:sp macro="" textlink="">
      <xdr:nvSpPr>
        <xdr:cNvPr id="17" name="Retângulo: Cantos Arredondados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A1A0F41-1469-4F17-AC57-099B5DEF1862}"/>
            </a:ext>
          </a:extLst>
        </xdr:cNvPr>
        <xdr:cNvSpPr/>
      </xdr:nvSpPr>
      <xdr:spPr>
        <a:xfrm>
          <a:off x="11736993" y="2506942"/>
          <a:ext cx="2190751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Holding</a:t>
          </a:r>
        </a:p>
      </xdr:txBody>
    </xdr:sp>
    <xdr:clientData/>
  </xdr:twoCellAnchor>
  <xdr:twoCellAnchor>
    <xdr:from>
      <xdr:col>23</xdr:col>
      <xdr:colOff>110143</xdr:colOff>
      <xdr:row>13</xdr:row>
      <xdr:rowOff>171384</xdr:rowOff>
    </xdr:from>
    <xdr:to>
      <xdr:col>26</xdr:col>
      <xdr:colOff>472094</xdr:colOff>
      <xdr:row>15</xdr:row>
      <xdr:rowOff>128867</xdr:rowOff>
    </xdr:to>
    <xdr:sp macro="" textlink="">
      <xdr:nvSpPr>
        <xdr:cNvPr id="18" name="Retângulo: Cantos Arredondados 1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85814C1-F8BA-429D-AB1A-C80365982959}"/>
            </a:ext>
          </a:extLst>
        </xdr:cNvPr>
        <xdr:cNvSpPr/>
      </xdr:nvSpPr>
      <xdr:spPr>
        <a:xfrm>
          <a:off x="11736993" y="2990784"/>
          <a:ext cx="2190751" cy="325783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Consolidado</a:t>
          </a:r>
        </a:p>
      </xdr:txBody>
    </xdr:sp>
    <xdr:clientData/>
  </xdr:twoCellAnchor>
  <xdr:twoCellAnchor>
    <xdr:from>
      <xdr:col>13</xdr:col>
      <xdr:colOff>108276</xdr:colOff>
      <xdr:row>11</xdr:row>
      <xdr:rowOff>60885</xdr:rowOff>
    </xdr:from>
    <xdr:to>
      <xdr:col>16</xdr:col>
      <xdr:colOff>470226</xdr:colOff>
      <xdr:row>13</xdr:row>
      <xdr:rowOff>16435</xdr:rowOff>
    </xdr:to>
    <xdr:sp macro="" textlink="">
      <xdr:nvSpPr>
        <xdr:cNvPr id="19" name="Retângulo: Cantos Arredondados 1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98EDE41F-3F93-43CD-816F-3A3C8DED8C26}"/>
            </a:ext>
          </a:extLst>
        </xdr:cNvPr>
        <xdr:cNvSpPr/>
      </xdr:nvSpPr>
      <xdr:spPr>
        <a:xfrm>
          <a:off x="6615158" y="2533650"/>
          <a:ext cx="2199715" cy="3290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Echo Crescimento</a:t>
          </a:r>
        </a:p>
      </xdr:txBody>
    </xdr:sp>
    <xdr:clientData/>
  </xdr:twoCellAnchor>
  <xdr:twoCellAnchor>
    <xdr:from>
      <xdr:col>8</xdr:col>
      <xdr:colOff>168041</xdr:colOff>
      <xdr:row>8</xdr:row>
      <xdr:rowOff>172943</xdr:rowOff>
    </xdr:from>
    <xdr:to>
      <xdr:col>11</xdr:col>
      <xdr:colOff>529991</xdr:colOff>
      <xdr:row>10</xdr:row>
      <xdr:rowOff>128493</xdr:rowOff>
    </xdr:to>
    <xdr:sp macro="" textlink="">
      <xdr:nvSpPr>
        <xdr:cNvPr id="10" name="Retângulo: Cantos Arredondados 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72B5608-8D4A-442A-91F6-88596A8275E7}"/>
            </a:ext>
          </a:extLst>
        </xdr:cNvPr>
        <xdr:cNvSpPr/>
      </xdr:nvSpPr>
      <xdr:spPr>
        <a:xfrm>
          <a:off x="4082629" y="2085414"/>
          <a:ext cx="2199715" cy="3290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SPEs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9</xdr:col>
      <xdr:colOff>133938</xdr:colOff>
      <xdr:row>2</xdr:row>
      <xdr:rowOff>79136</xdr:rowOff>
    </xdr:to>
    <xdr:sp macro="" textlink="">
      <xdr:nvSpPr>
        <xdr:cNvPr id="20" name="Retângulo: Cantos Arredondados 1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37824B3-2D3D-41A9-8C14-95558DDE0152}"/>
            </a:ext>
          </a:extLst>
        </xdr:cNvPr>
        <xdr:cNvSpPr/>
      </xdr:nvSpPr>
      <xdr:spPr>
        <a:xfrm>
          <a:off x="2547471" y="186765"/>
          <a:ext cx="2113643" cy="265900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2224314</xdr:colOff>
      <xdr:row>1</xdr:row>
      <xdr:rowOff>1815</xdr:rowOff>
    </xdr:from>
    <xdr:to>
      <xdr:col>0</xdr:col>
      <xdr:colOff>4337957</xdr:colOff>
      <xdr:row>2</xdr:row>
      <xdr:rowOff>86287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3F9013-BF1C-4133-9964-BB695BC60A1F}"/>
            </a:ext>
          </a:extLst>
        </xdr:cNvPr>
        <xdr:cNvSpPr/>
      </xdr:nvSpPr>
      <xdr:spPr>
        <a:xfrm>
          <a:off x="2224314" y="18858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2113643</xdr:colOff>
      <xdr:row>2</xdr:row>
      <xdr:rowOff>84472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1F68A9-6D10-4B39-9404-215D7CF8BAC1}"/>
            </a:ext>
          </a:extLst>
        </xdr:cNvPr>
        <xdr:cNvSpPr/>
      </xdr:nvSpPr>
      <xdr:spPr>
        <a:xfrm>
          <a:off x="0" y="186765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2224314</xdr:colOff>
      <xdr:row>1</xdr:row>
      <xdr:rowOff>1815</xdr:rowOff>
    </xdr:from>
    <xdr:to>
      <xdr:col>0</xdr:col>
      <xdr:colOff>4337957</xdr:colOff>
      <xdr:row>2</xdr:row>
      <xdr:rowOff>91623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386A8D-BA6B-4578-99CF-D142B9D84308}"/>
            </a:ext>
          </a:extLst>
        </xdr:cNvPr>
        <xdr:cNvSpPr/>
      </xdr:nvSpPr>
      <xdr:spPr>
        <a:xfrm>
          <a:off x="2224314" y="1832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2113643</xdr:colOff>
      <xdr:row>2</xdr:row>
      <xdr:rowOff>89808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2E905C-9D1E-45A3-9316-438410B31F58}"/>
            </a:ext>
          </a:extLst>
        </xdr:cNvPr>
        <xdr:cNvSpPr/>
      </xdr:nvSpPr>
      <xdr:spPr>
        <a:xfrm>
          <a:off x="0" y="18142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2242456</xdr:colOff>
      <xdr:row>1</xdr:row>
      <xdr:rowOff>1815</xdr:rowOff>
    </xdr:from>
    <xdr:to>
      <xdr:col>0</xdr:col>
      <xdr:colOff>4356099</xdr:colOff>
      <xdr:row>2</xdr:row>
      <xdr:rowOff>91623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602844-32F7-4DC8-9D19-F18FA501976E}"/>
            </a:ext>
          </a:extLst>
        </xdr:cNvPr>
        <xdr:cNvSpPr/>
      </xdr:nvSpPr>
      <xdr:spPr>
        <a:xfrm>
          <a:off x="2242456" y="1832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18142</xdr:colOff>
      <xdr:row>1</xdr:row>
      <xdr:rowOff>0</xdr:rowOff>
    </xdr:from>
    <xdr:to>
      <xdr:col>0</xdr:col>
      <xdr:colOff>2131785</xdr:colOff>
      <xdr:row>2</xdr:row>
      <xdr:rowOff>89808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68DF0E-D5B1-4C64-8C23-92D9A8E77BCB}"/>
            </a:ext>
          </a:extLst>
        </xdr:cNvPr>
        <xdr:cNvSpPr/>
      </xdr:nvSpPr>
      <xdr:spPr>
        <a:xfrm>
          <a:off x="18142" y="18142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2224314</xdr:colOff>
      <xdr:row>1</xdr:row>
      <xdr:rowOff>1815</xdr:rowOff>
    </xdr:from>
    <xdr:to>
      <xdr:col>0</xdr:col>
      <xdr:colOff>4337957</xdr:colOff>
      <xdr:row>2</xdr:row>
      <xdr:rowOff>91623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8534AA-094D-41F4-BEC6-FAD34AEF9BA3}"/>
            </a:ext>
          </a:extLst>
        </xdr:cNvPr>
        <xdr:cNvSpPr/>
      </xdr:nvSpPr>
      <xdr:spPr>
        <a:xfrm>
          <a:off x="2224314" y="1832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2113643</xdr:colOff>
      <xdr:row>2</xdr:row>
      <xdr:rowOff>89808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A19BA5B-7B6C-48FC-9820-1143D43603D3}"/>
            </a:ext>
          </a:extLst>
        </xdr:cNvPr>
        <xdr:cNvSpPr/>
      </xdr:nvSpPr>
      <xdr:spPr>
        <a:xfrm>
          <a:off x="0" y="18142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2224314</xdr:colOff>
      <xdr:row>1</xdr:row>
      <xdr:rowOff>1815</xdr:rowOff>
    </xdr:from>
    <xdr:to>
      <xdr:col>0</xdr:col>
      <xdr:colOff>4337957</xdr:colOff>
      <xdr:row>2</xdr:row>
      <xdr:rowOff>91623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96B463-BEAD-437B-8452-4D4115093559}"/>
            </a:ext>
          </a:extLst>
        </xdr:cNvPr>
        <xdr:cNvSpPr/>
      </xdr:nvSpPr>
      <xdr:spPr>
        <a:xfrm>
          <a:off x="2224314" y="1832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2113643</xdr:colOff>
      <xdr:row>2</xdr:row>
      <xdr:rowOff>89808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A1BD58-C589-45AA-9630-AB4BEAB587BD}"/>
            </a:ext>
          </a:extLst>
        </xdr:cNvPr>
        <xdr:cNvSpPr/>
      </xdr:nvSpPr>
      <xdr:spPr>
        <a:xfrm>
          <a:off x="0" y="18142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2224314</xdr:colOff>
      <xdr:row>1</xdr:row>
      <xdr:rowOff>1815</xdr:rowOff>
    </xdr:from>
    <xdr:to>
      <xdr:col>0</xdr:col>
      <xdr:colOff>4337957</xdr:colOff>
      <xdr:row>2</xdr:row>
      <xdr:rowOff>91623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B99E60-1896-40EB-A1AC-E73C93E6366E}"/>
            </a:ext>
          </a:extLst>
        </xdr:cNvPr>
        <xdr:cNvSpPr/>
      </xdr:nvSpPr>
      <xdr:spPr>
        <a:xfrm>
          <a:off x="2224314" y="1832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2113643</xdr:colOff>
      <xdr:row>2</xdr:row>
      <xdr:rowOff>89808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58C4B9-0FC9-4531-85DE-32D324AD7515}"/>
            </a:ext>
          </a:extLst>
        </xdr:cNvPr>
        <xdr:cNvSpPr/>
      </xdr:nvSpPr>
      <xdr:spPr>
        <a:xfrm>
          <a:off x="0" y="18142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2224314</xdr:colOff>
      <xdr:row>1</xdr:row>
      <xdr:rowOff>1815</xdr:rowOff>
    </xdr:from>
    <xdr:to>
      <xdr:col>0</xdr:col>
      <xdr:colOff>4337957</xdr:colOff>
      <xdr:row>2</xdr:row>
      <xdr:rowOff>91623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11B574-444F-437A-AEF7-B5485EBAB247}"/>
            </a:ext>
          </a:extLst>
        </xdr:cNvPr>
        <xdr:cNvSpPr/>
      </xdr:nvSpPr>
      <xdr:spPr>
        <a:xfrm>
          <a:off x="2224314" y="1832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2113643</xdr:colOff>
      <xdr:row>2</xdr:row>
      <xdr:rowOff>89808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E0B392-637B-4264-BC4B-CA99080D9C2D}"/>
            </a:ext>
          </a:extLst>
        </xdr:cNvPr>
        <xdr:cNvSpPr/>
      </xdr:nvSpPr>
      <xdr:spPr>
        <a:xfrm>
          <a:off x="0" y="18142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2224314</xdr:colOff>
      <xdr:row>1</xdr:row>
      <xdr:rowOff>1815</xdr:rowOff>
    </xdr:from>
    <xdr:to>
      <xdr:col>0</xdr:col>
      <xdr:colOff>4337957</xdr:colOff>
      <xdr:row>2</xdr:row>
      <xdr:rowOff>91623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0893E6-D0CA-494F-91AF-A809E1645AF3}"/>
            </a:ext>
          </a:extLst>
        </xdr:cNvPr>
        <xdr:cNvSpPr/>
      </xdr:nvSpPr>
      <xdr:spPr>
        <a:xfrm>
          <a:off x="2224314" y="1832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2113643</xdr:colOff>
      <xdr:row>2</xdr:row>
      <xdr:rowOff>89808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67DCE4-155B-41DF-9BFB-FFDECDB01980}"/>
            </a:ext>
          </a:extLst>
        </xdr:cNvPr>
        <xdr:cNvSpPr/>
      </xdr:nvSpPr>
      <xdr:spPr>
        <a:xfrm>
          <a:off x="0" y="18142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2224314</xdr:colOff>
      <xdr:row>1</xdr:row>
      <xdr:rowOff>1815</xdr:rowOff>
    </xdr:from>
    <xdr:to>
      <xdr:col>0</xdr:col>
      <xdr:colOff>4337957</xdr:colOff>
      <xdr:row>2</xdr:row>
      <xdr:rowOff>91623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706A62-8AEC-45DC-939F-1DD9EAFC30C4}"/>
            </a:ext>
          </a:extLst>
        </xdr:cNvPr>
        <xdr:cNvSpPr/>
      </xdr:nvSpPr>
      <xdr:spPr>
        <a:xfrm>
          <a:off x="2224314" y="1832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2113643</xdr:colOff>
      <xdr:row>2</xdr:row>
      <xdr:rowOff>89808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F175FA-76B3-4B6E-A004-77F733598671}"/>
            </a:ext>
          </a:extLst>
        </xdr:cNvPr>
        <xdr:cNvSpPr/>
      </xdr:nvSpPr>
      <xdr:spPr>
        <a:xfrm>
          <a:off x="0" y="18142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25400</xdr:rowOff>
    </xdr:from>
    <xdr:to>
      <xdr:col>3</xdr:col>
      <xdr:colOff>515924</xdr:colOff>
      <xdr:row>2</xdr:row>
      <xdr:rowOff>92198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2DA1658-FC5C-4312-B8F6-047E4691153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5400"/>
          <a:ext cx="1798624" cy="435098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8</xdr:row>
      <xdr:rowOff>133350</xdr:rowOff>
    </xdr:from>
    <xdr:to>
      <xdr:col>6</xdr:col>
      <xdr:colOff>476250</xdr:colOff>
      <xdr:row>10</xdr:row>
      <xdr:rowOff>88900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8C85853-6C60-4006-B20C-7E4D2B9D1FC0}"/>
            </a:ext>
          </a:extLst>
        </xdr:cNvPr>
        <xdr:cNvSpPr/>
      </xdr:nvSpPr>
      <xdr:spPr>
        <a:xfrm>
          <a:off x="142875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Mercado</a:t>
          </a:r>
        </a:p>
      </xdr:txBody>
    </xdr:sp>
    <xdr:clientData/>
  </xdr:twoCellAnchor>
  <xdr:twoCellAnchor>
    <xdr:from>
      <xdr:col>3</xdr:col>
      <xdr:colOff>114300</xdr:colOff>
      <xdr:row>11</xdr:row>
      <xdr:rowOff>66675</xdr:rowOff>
    </xdr:from>
    <xdr:to>
      <xdr:col>6</xdr:col>
      <xdr:colOff>476250</xdr:colOff>
      <xdr:row>13</xdr:row>
      <xdr:rowOff>22225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A6F786-D461-4460-A13F-F5A6875C3BC2}"/>
            </a:ext>
          </a:extLst>
        </xdr:cNvPr>
        <xdr:cNvSpPr/>
      </xdr:nvSpPr>
      <xdr:spPr>
        <a:xfrm>
          <a:off x="1428750" y="251777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Bal. Energético</a:t>
          </a:r>
        </a:p>
      </xdr:txBody>
    </xdr:sp>
    <xdr:clientData/>
  </xdr:twoCellAnchor>
  <xdr:twoCellAnchor>
    <xdr:from>
      <xdr:col>3</xdr:col>
      <xdr:colOff>114300</xdr:colOff>
      <xdr:row>14</xdr:row>
      <xdr:rowOff>0</xdr:rowOff>
    </xdr:from>
    <xdr:to>
      <xdr:col>6</xdr:col>
      <xdr:colOff>476250</xdr:colOff>
      <xdr:row>15</xdr:row>
      <xdr:rowOff>139700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268312-9C22-44DB-89F7-EDD0CA7A66C7}"/>
            </a:ext>
          </a:extLst>
        </xdr:cNvPr>
        <xdr:cNvSpPr/>
      </xdr:nvSpPr>
      <xdr:spPr>
        <a:xfrm>
          <a:off x="1428750" y="30035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Perdas</a:t>
          </a:r>
        </a:p>
      </xdr:txBody>
    </xdr:sp>
    <xdr:clientData/>
  </xdr:twoCellAnchor>
  <xdr:twoCellAnchor>
    <xdr:from>
      <xdr:col>3</xdr:col>
      <xdr:colOff>114300</xdr:colOff>
      <xdr:row>16</xdr:row>
      <xdr:rowOff>117475</xdr:rowOff>
    </xdr:from>
    <xdr:to>
      <xdr:col>6</xdr:col>
      <xdr:colOff>476250</xdr:colOff>
      <xdr:row>18</xdr:row>
      <xdr:rowOff>73025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2D9609-1D55-4FCB-90C8-ECC82D7403DE}"/>
            </a:ext>
          </a:extLst>
        </xdr:cNvPr>
        <xdr:cNvSpPr/>
      </xdr:nvSpPr>
      <xdr:spPr>
        <a:xfrm>
          <a:off x="1428750" y="348932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DEC/FEC</a:t>
          </a:r>
        </a:p>
      </xdr:txBody>
    </xdr:sp>
    <xdr:clientData/>
  </xdr:twoCellAnchor>
  <xdr:twoCellAnchor>
    <xdr:from>
      <xdr:col>3</xdr:col>
      <xdr:colOff>114300</xdr:colOff>
      <xdr:row>19</xdr:row>
      <xdr:rowOff>69850</xdr:rowOff>
    </xdr:from>
    <xdr:to>
      <xdr:col>6</xdr:col>
      <xdr:colOff>476250</xdr:colOff>
      <xdr:row>21</xdr:row>
      <xdr:rowOff>25400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C27300-AA75-480D-A638-79D055F15164}"/>
            </a:ext>
          </a:extLst>
        </xdr:cNvPr>
        <xdr:cNvSpPr/>
      </xdr:nvSpPr>
      <xdr:spPr>
        <a:xfrm>
          <a:off x="1428750" y="39941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Contratos</a:t>
          </a:r>
        </a:p>
      </xdr:txBody>
    </xdr:sp>
    <xdr:clientData/>
  </xdr:twoCellAnchor>
  <xdr:twoCellAnchor>
    <xdr:from>
      <xdr:col>9</xdr:col>
      <xdr:colOff>137037</xdr:colOff>
      <xdr:row>8</xdr:row>
      <xdr:rowOff>149410</xdr:rowOff>
    </xdr:from>
    <xdr:to>
      <xdr:col>12</xdr:col>
      <xdr:colOff>498987</xdr:colOff>
      <xdr:row>10</xdr:row>
      <xdr:rowOff>104960</xdr:rowOff>
    </xdr:to>
    <xdr:sp macro="" textlink="">
      <xdr:nvSpPr>
        <xdr:cNvPr id="12" name="Retângulo: Cantos Arredondados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B81B4AE-6114-48FA-BFF5-6F9F2D546FBD}"/>
            </a:ext>
          </a:extLst>
        </xdr:cNvPr>
        <xdr:cNvSpPr/>
      </xdr:nvSpPr>
      <xdr:spPr>
        <a:xfrm>
          <a:off x="4193566" y="2061881"/>
          <a:ext cx="2199715" cy="3290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Echoenergia</a:t>
          </a:r>
        </a:p>
      </xdr:txBody>
    </xdr:sp>
    <xdr:clientData/>
  </xdr:twoCellAnchor>
  <xdr:twoCellAnchor>
    <xdr:from>
      <xdr:col>14</xdr:col>
      <xdr:colOff>87732</xdr:colOff>
      <xdr:row>8</xdr:row>
      <xdr:rowOff>152400</xdr:rowOff>
    </xdr:from>
    <xdr:to>
      <xdr:col>17</xdr:col>
      <xdr:colOff>449682</xdr:colOff>
      <xdr:row>10</xdr:row>
      <xdr:rowOff>107950</xdr:rowOff>
    </xdr:to>
    <xdr:sp macro="" textlink="">
      <xdr:nvSpPr>
        <xdr:cNvPr id="15" name="Retângulo: Cantos Arredondados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35660CC-3619-40A7-B351-C6B8A278F3DA}"/>
            </a:ext>
          </a:extLst>
        </xdr:cNvPr>
        <xdr:cNvSpPr/>
      </xdr:nvSpPr>
      <xdr:spPr>
        <a:xfrm>
          <a:off x="9136482" y="20510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CSA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9</xdr:col>
      <xdr:colOff>604585</xdr:colOff>
      <xdr:row>2</xdr:row>
      <xdr:rowOff>79136</xdr:rowOff>
    </xdr:to>
    <xdr:sp macro="" textlink="">
      <xdr:nvSpPr>
        <xdr:cNvPr id="8" name="Retângulo: Cantos Arredondados 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1CDE24B-9D41-4FFA-A618-A8A841ABBD32}"/>
            </a:ext>
          </a:extLst>
        </xdr:cNvPr>
        <xdr:cNvSpPr/>
      </xdr:nvSpPr>
      <xdr:spPr>
        <a:xfrm>
          <a:off x="2547471" y="186765"/>
          <a:ext cx="2113643" cy="265900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2224314</xdr:colOff>
      <xdr:row>1</xdr:row>
      <xdr:rowOff>1815</xdr:rowOff>
    </xdr:from>
    <xdr:to>
      <xdr:col>0</xdr:col>
      <xdr:colOff>4337957</xdr:colOff>
      <xdr:row>2</xdr:row>
      <xdr:rowOff>91623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BC4F38-6CD1-4FC1-90AD-1B91739E18FF}"/>
            </a:ext>
          </a:extLst>
        </xdr:cNvPr>
        <xdr:cNvSpPr/>
      </xdr:nvSpPr>
      <xdr:spPr>
        <a:xfrm>
          <a:off x="2224314" y="1832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2113643</xdr:colOff>
      <xdr:row>2</xdr:row>
      <xdr:rowOff>89808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86A56D-5EB9-40D1-9E30-503DE156C348}"/>
            </a:ext>
          </a:extLst>
        </xdr:cNvPr>
        <xdr:cNvSpPr/>
      </xdr:nvSpPr>
      <xdr:spPr>
        <a:xfrm>
          <a:off x="0" y="18142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2224314</xdr:colOff>
      <xdr:row>1</xdr:row>
      <xdr:rowOff>1815</xdr:rowOff>
    </xdr:from>
    <xdr:to>
      <xdr:col>0</xdr:col>
      <xdr:colOff>4337957</xdr:colOff>
      <xdr:row>2</xdr:row>
      <xdr:rowOff>91623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5078-A9AE-4866-8A56-FC1B047E00BB}"/>
            </a:ext>
          </a:extLst>
        </xdr:cNvPr>
        <xdr:cNvSpPr/>
      </xdr:nvSpPr>
      <xdr:spPr>
        <a:xfrm>
          <a:off x="2224314" y="1832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2113643</xdr:colOff>
      <xdr:row>2</xdr:row>
      <xdr:rowOff>89808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22DF7A-EF78-45A2-B9E5-28E7499CF8AB}"/>
            </a:ext>
          </a:extLst>
        </xdr:cNvPr>
        <xdr:cNvSpPr/>
      </xdr:nvSpPr>
      <xdr:spPr>
        <a:xfrm>
          <a:off x="0" y="18142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2342243</xdr:colOff>
      <xdr:row>0</xdr:row>
      <xdr:rowOff>119744</xdr:rowOff>
    </xdr:from>
    <xdr:to>
      <xdr:col>0</xdr:col>
      <xdr:colOff>4455886</xdr:colOff>
      <xdr:row>2</xdr:row>
      <xdr:rowOff>28123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EE2F9-148A-460E-B582-8B2A5C24A59C}"/>
            </a:ext>
          </a:extLst>
        </xdr:cNvPr>
        <xdr:cNvSpPr/>
      </xdr:nvSpPr>
      <xdr:spPr>
        <a:xfrm>
          <a:off x="2342243" y="1197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117929</xdr:colOff>
      <xdr:row>0</xdr:row>
      <xdr:rowOff>117929</xdr:rowOff>
    </xdr:from>
    <xdr:to>
      <xdr:col>0</xdr:col>
      <xdr:colOff>2231572</xdr:colOff>
      <xdr:row>2</xdr:row>
      <xdr:rowOff>26308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D4AE68-9A74-4A62-9D26-99D734050B2C}"/>
            </a:ext>
          </a:extLst>
        </xdr:cNvPr>
        <xdr:cNvSpPr/>
      </xdr:nvSpPr>
      <xdr:spPr>
        <a:xfrm>
          <a:off x="117929" y="11792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2414814</xdr:colOff>
      <xdr:row>0</xdr:row>
      <xdr:rowOff>156030</xdr:rowOff>
    </xdr:from>
    <xdr:to>
      <xdr:col>0</xdr:col>
      <xdr:colOff>4528457</xdr:colOff>
      <xdr:row>2</xdr:row>
      <xdr:rowOff>64409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A40796-20F1-4C49-9306-5D6C98D97289}"/>
            </a:ext>
          </a:extLst>
        </xdr:cNvPr>
        <xdr:cNvSpPr/>
      </xdr:nvSpPr>
      <xdr:spPr>
        <a:xfrm>
          <a:off x="2414814" y="15603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190500</xdr:colOff>
      <xdr:row>0</xdr:row>
      <xdr:rowOff>154215</xdr:rowOff>
    </xdr:from>
    <xdr:to>
      <xdr:col>0</xdr:col>
      <xdr:colOff>2304143</xdr:colOff>
      <xdr:row>2</xdr:row>
      <xdr:rowOff>62594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4E4A9C-0D67-4A30-AC53-9A81DC88AAA7}"/>
            </a:ext>
          </a:extLst>
        </xdr:cNvPr>
        <xdr:cNvSpPr/>
      </xdr:nvSpPr>
      <xdr:spPr>
        <a:xfrm>
          <a:off x="190500" y="154215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2432957</xdr:colOff>
      <xdr:row>0</xdr:row>
      <xdr:rowOff>146959</xdr:rowOff>
    </xdr:from>
    <xdr:to>
      <xdr:col>0</xdr:col>
      <xdr:colOff>4546600</xdr:colOff>
      <xdr:row>2</xdr:row>
      <xdr:rowOff>55338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BEA74A-252B-47B9-A197-53595435A617}"/>
            </a:ext>
          </a:extLst>
        </xdr:cNvPr>
        <xdr:cNvSpPr/>
      </xdr:nvSpPr>
      <xdr:spPr>
        <a:xfrm>
          <a:off x="2432957" y="14695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208643</xdr:colOff>
      <xdr:row>0</xdr:row>
      <xdr:rowOff>145144</xdr:rowOff>
    </xdr:from>
    <xdr:to>
      <xdr:col>0</xdr:col>
      <xdr:colOff>2322286</xdr:colOff>
      <xdr:row>2</xdr:row>
      <xdr:rowOff>53523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AB21F5-B0E9-4E23-8BF7-9C52B8AACAAE}"/>
            </a:ext>
          </a:extLst>
        </xdr:cNvPr>
        <xdr:cNvSpPr/>
      </xdr:nvSpPr>
      <xdr:spPr>
        <a:xfrm>
          <a:off x="208643" y="1451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2431142</xdr:colOff>
      <xdr:row>0</xdr:row>
      <xdr:rowOff>126999</xdr:rowOff>
    </xdr:from>
    <xdr:to>
      <xdr:col>0</xdr:col>
      <xdr:colOff>4544785</xdr:colOff>
      <xdr:row>2</xdr:row>
      <xdr:rowOff>35378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A540F4-4011-4A9D-B97C-B88019D99DF7}"/>
            </a:ext>
          </a:extLst>
        </xdr:cNvPr>
        <xdr:cNvSpPr/>
      </xdr:nvSpPr>
      <xdr:spPr>
        <a:xfrm>
          <a:off x="2431142" y="12699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206828</xdr:colOff>
      <xdr:row>0</xdr:row>
      <xdr:rowOff>125184</xdr:rowOff>
    </xdr:from>
    <xdr:to>
      <xdr:col>0</xdr:col>
      <xdr:colOff>2320471</xdr:colOff>
      <xdr:row>2</xdr:row>
      <xdr:rowOff>33563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ABCFA9-74F8-41AC-9546-16EA192863B0}"/>
            </a:ext>
          </a:extLst>
        </xdr:cNvPr>
        <xdr:cNvSpPr/>
      </xdr:nvSpPr>
      <xdr:spPr>
        <a:xfrm>
          <a:off x="206828" y="12518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2342237</xdr:colOff>
      <xdr:row>0</xdr:row>
      <xdr:rowOff>128809</xdr:rowOff>
    </xdr:from>
    <xdr:to>
      <xdr:col>0</xdr:col>
      <xdr:colOff>4455880</xdr:colOff>
      <xdr:row>2</xdr:row>
      <xdr:rowOff>37188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E5CDA2-6470-4C5D-A9F9-E0B5DDC70891}"/>
            </a:ext>
          </a:extLst>
        </xdr:cNvPr>
        <xdr:cNvSpPr/>
      </xdr:nvSpPr>
      <xdr:spPr>
        <a:xfrm>
          <a:off x="2342237" y="12880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117923</xdr:colOff>
      <xdr:row>0</xdr:row>
      <xdr:rowOff>126994</xdr:rowOff>
    </xdr:from>
    <xdr:to>
      <xdr:col>0</xdr:col>
      <xdr:colOff>2231566</xdr:colOff>
      <xdr:row>2</xdr:row>
      <xdr:rowOff>35373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CC7A4C-EB75-4E6E-81A4-06356AEB1C60}"/>
            </a:ext>
          </a:extLst>
        </xdr:cNvPr>
        <xdr:cNvSpPr/>
      </xdr:nvSpPr>
      <xdr:spPr>
        <a:xfrm>
          <a:off x="117923" y="12699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ITR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25400</xdr:rowOff>
    </xdr:from>
    <xdr:to>
      <xdr:col>3</xdr:col>
      <xdr:colOff>515924</xdr:colOff>
      <xdr:row>2</xdr:row>
      <xdr:rowOff>92198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4ECCF00-EE14-4B7C-868B-FBA4DA6DAF9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5400"/>
          <a:ext cx="1798624" cy="435098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8</xdr:row>
      <xdr:rowOff>133350</xdr:rowOff>
    </xdr:from>
    <xdr:to>
      <xdr:col>6</xdr:col>
      <xdr:colOff>476250</xdr:colOff>
      <xdr:row>10</xdr:row>
      <xdr:rowOff>88900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57382E-6962-4F05-8E45-2CBE22218E5B}"/>
            </a:ext>
          </a:extLst>
        </xdr:cNvPr>
        <xdr:cNvSpPr/>
      </xdr:nvSpPr>
      <xdr:spPr>
        <a:xfrm>
          <a:off x="142875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Maranhão</a:t>
          </a:r>
        </a:p>
      </xdr:txBody>
    </xdr:sp>
    <xdr:clientData/>
  </xdr:twoCellAnchor>
  <xdr:twoCellAnchor>
    <xdr:from>
      <xdr:col>3</xdr:col>
      <xdr:colOff>114300</xdr:colOff>
      <xdr:row>11</xdr:row>
      <xdr:rowOff>66675</xdr:rowOff>
    </xdr:from>
    <xdr:to>
      <xdr:col>6</xdr:col>
      <xdr:colOff>476250</xdr:colOff>
      <xdr:row>13</xdr:row>
      <xdr:rowOff>22225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BA6C57-C664-4A9C-A84F-41C0712440D3}"/>
            </a:ext>
          </a:extLst>
        </xdr:cNvPr>
        <xdr:cNvSpPr/>
      </xdr:nvSpPr>
      <xdr:spPr>
        <a:xfrm>
          <a:off x="1428750" y="251777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Pará</a:t>
          </a:r>
        </a:p>
      </xdr:txBody>
    </xdr:sp>
    <xdr:clientData/>
  </xdr:twoCellAnchor>
  <xdr:twoCellAnchor>
    <xdr:from>
      <xdr:col>3</xdr:col>
      <xdr:colOff>114300</xdr:colOff>
      <xdr:row>14</xdr:row>
      <xdr:rowOff>0</xdr:rowOff>
    </xdr:from>
    <xdr:to>
      <xdr:col>6</xdr:col>
      <xdr:colOff>476250</xdr:colOff>
      <xdr:row>15</xdr:row>
      <xdr:rowOff>139700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F2E038-74DF-4BB8-893F-772AF48F18B1}"/>
            </a:ext>
          </a:extLst>
        </xdr:cNvPr>
        <xdr:cNvSpPr/>
      </xdr:nvSpPr>
      <xdr:spPr>
        <a:xfrm>
          <a:off x="1428750" y="30035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Piauí</a:t>
          </a:r>
        </a:p>
      </xdr:txBody>
    </xdr:sp>
    <xdr:clientData/>
  </xdr:twoCellAnchor>
  <xdr:twoCellAnchor>
    <xdr:from>
      <xdr:col>3</xdr:col>
      <xdr:colOff>114300</xdr:colOff>
      <xdr:row>16</xdr:row>
      <xdr:rowOff>117475</xdr:rowOff>
    </xdr:from>
    <xdr:to>
      <xdr:col>6</xdr:col>
      <xdr:colOff>476250</xdr:colOff>
      <xdr:row>18</xdr:row>
      <xdr:rowOff>73025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4560C89-147E-4AE0-9385-2DB552BC220C}"/>
            </a:ext>
          </a:extLst>
        </xdr:cNvPr>
        <xdr:cNvSpPr/>
      </xdr:nvSpPr>
      <xdr:spPr>
        <a:xfrm>
          <a:off x="1428750" y="348932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Alagoas</a:t>
          </a:r>
        </a:p>
      </xdr:txBody>
    </xdr:sp>
    <xdr:clientData/>
  </xdr:twoCellAnchor>
  <xdr:twoCellAnchor>
    <xdr:from>
      <xdr:col>3</xdr:col>
      <xdr:colOff>114300</xdr:colOff>
      <xdr:row>19</xdr:row>
      <xdr:rowOff>69850</xdr:rowOff>
    </xdr:from>
    <xdr:to>
      <xdr:col>6</xdr:col>
      <xdr:colOff>476250</xdr:colOff>
      <xdr:row>21</xdr:row>
      <xdr:rowOff>25400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DC8DF2A-368B-426E-A1BF-B7F19EA734AE}"/>
            </a:ext>
          </a:extLst>
        </xdr:cNvPr>
        <xdr:cNvSpPr/>
      </xdr:nvSpPr>
      <xdr:spPr>
        <a:xfrm>
          <a:off x="1428750" y="39941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CEEE-D</a:t>
          </a:r>
        </a:p>
      </xdr:txBody>
    </xdr:sp>
    <xdr:clientData/>
  </xdr:twoCellAnchor>
  <xdr:twoCellAnchor>
    <xdr:from>
      <xdr:col>8</xdr:col>
      <xdr:colOff>69850</xdr:colOff>
      <xdr:row>8</xdr:row>
      <xdr:rowOff>133350</xdr:rowOff>
    </xdr:from>
    <xdr:to>
      <xdr:col>11</xdr:col>
      <xdr:colOff>431800</xdr:colOff>
      <xdr:row>10</xdr:row>
      <xdr:rowOff>88900</xdr:rowOff>
    </xdr:to>
    <xdr:sp macro="" textlink="">
      <xdr:nvSpPr>
        <xdr:cNvPr id="8" name="Retângulo: Cantos Arredondado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DEED332-282B-4991-A7D9-F705C43B3CA8}"/>
            </a:ext>
          </a:extLst>
        </xdr:cNvPr>
        <xdr:cNvSpPr/>
      </xdr:nvSpPr>
      <xdr:spPr>
        <a:xfrm>
          <a:off x="403225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EQTT IFRS</a:t>
          </a:r>
        </a:p>
      </xdr:txBody>
    </xdr:sp>
    <xdr:clientData/>
  </xdr:twoCellAnchor>
  <xdr:twoCellAnchor>
    <xdr:from>
      <xdr:col>8</xdr:col>
      <xdr:colOff>69850</xdr:colOff>
      <xdr:row>11</xdr:row>
      <xdr:rowOff>66675</xdr:rowOff>
    </xdr:from>
    <xdr:to>
      <xdr:col>11</xdr:col>
      <xdr:colOff>431800</xdr:colOff>
      <xdr:row>13</xdr:row>
      <xdr:rowOff>22225</xdr:rowOff>
    </xdr:to>
    <xdr:sp macro="" textlink="">
      <xdr:nvSpPr>
        <xdr:cNvPr id="9" name="Retângulo: Canto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3A7B2FA-3998-4256-AA32-445FD1E62E2A}"/>
            </a:ext>
          </a:extLst>
        </xdr:cNvPr>
        <xdr:cNvSpPr/>
      </xdr:nvSpPr>
      <xdr:spPr>
        <a:xfrm>
          <a:off x="4032250" y="251777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INTESA IFRS</a:t>
          </a:r>
        </a:p>
      </xdr:txBody>
    </xdr:sp>
    <xdr:clientData/>
  </xdr:twoCellAnchor>
  <xdr:twoCellAnchor>
    <xdr:from>
      <xdr:col>8</xdr:col>
      <xdr:colOff>69850</xdr:colOff>
      <xdr:row>14</xdr:row>
      <xdr:rowOff>0</xdr:rowOff>
    </xdr:from>
    <xdr:to>
      <xdr:col>11</xdr:col>
      <xdr:colOff>431800</xdr:colOff>
      <xdr:row>15</xdr:row>
      <xdr:rowOff>139700</xdr:rowOff>
    </xdr:to>
    <xdr:sp macro="" textlink="">
      <xdr:nvSpPr>
        <xdr:cNvPr id="10" name="Retângulo: Cantos Arredondado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D783547-6B8C-4F7E-A1A8-E900CD870633}"/>
            </a:ext>
          </a:extLst>
        </xdr:cNvPr>
        <xdr:cNvSpPr/>
      </xdr:nvSpPr>
      <xdr:spPr>
        <a:xfrm>
          <a:off x="4032250" y="30035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EQTT Reg.</a:t>
          </a:r>
        </a:p>
      </xdr:txBody>
    </xdr:sp>
    <xdr:clientData/>
  </xdr:twoCellAnchor>
  <xdr:twoCellAnchor>
    <xdr:from>
      <xdr:col>8</xdr:col>
      <xdr:colOff>69850</xdr:colOff>
      <xdr:row>16</xdr:row>
      <xdr:rowOff>117475</xdr:rowOff>
    </xdr:from>
    <xdr:to>
      <xdr:col>11</xdr:col>
      <xdr:colOff>431800</xdr:colOff>
      <xdr:row>18</xdr:row>
      <xdr:rowOff>73025</xdr:rowOff>
    </xdr:to>
    <xdr:sp macro="" textlink="">
      <xdr:nvSpPr>
        <xdr:cNvPr id="11" name="Retângulo: Cantos Arredondado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ABC7C62-18C5-4555-9859-F2CB33B42B01}"/>
            </a:ext>
          </a:extLst>
        </xdr:cNvPr>
        <xdr:cNvSpPr/>
      </xdr:nvSpPr>
      <xdr:spPr>
        <a:xfrm>
          <a:off x="4032250" y="348932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INTESA</a:t>
          </a:r>
          <a:r>
            <a:rPr lang="pt-BR" sz="1100" b="1" baseline="0"/>
            <a:t> Reg.</a:t>
          </a:r>
          <a:endParaRPr lang="pt-BR" sz="1100" b="1"/>
        </a:p>
      </xdr:txBody>
    </xdr:sp>
    <xdr:clientData/>
  </xdr:twoCellAnchor>
  <xdr:twoCellAnchor>
    <xdr:from>
      <xdr:col>13</xdr:col>
      <xdr:colOff>92214</xdr:colOff>
      <xdr:row>8</xdr:row>
      <xdr:rowOff>149411</xdr:rowOff>
    </xdr:from>
    <xdr:to>
      <xdr:col>16</xdr:col>
      <xdr:colOff>454164</xdr:colOff>
      <xdr:row>10</xdr:row>
      <xdr:rowOff>104961</xdr:rowOff>
    </xdr:to>
    <xdr:sp macro="" textlink="">
      <xdr:nvSpPr>
        <xdr:cNvPr id="12" name="Retângulo: Cantos Arredondado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FF7497A-8098-405A-BA05-748498BCE552}"/>
            </a:ext>
          </a:extLst>
        </xdr:cNvPr>
        <xdr:cNvSpPr/>
      </xdr:nvSpPr>
      <xdr:spPr>
        <a:xfrm>
          <a:off x="6599096" y="2061882"/>
          <a:ext cx="2199715" cy="3290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Echoenergia</a:t>
          </a:r>
        </a:p>
      </xdr:txBody>
    </xdr:sp>
    <xdr:clientData/>
  </xdr:twoCellAnchor>
  <xdr:twoCellAnchor>
    <xdr:from>
      <xdr:col>3</xdr:col>
      <xdr:colOff>114300</xdr:colOff>
      <xdr:row>21</xdr:row>
      <xdr:rowOff>149225</xdr:rowOff>
    </xdr:from>
    <xdr:to>
      <xdr:col>6</xdr:col>
      <xdr:colOff>476250</xdr:colOff>
      <xdr:row>23</xdr:row>
      <xdr:rowOff>104775</xdr:rowOff>
    </xdr:to>
    <xdr:sp macro="" textlink="">
      <xdr:nvSpPr>
        <xdr:cNvPr id="16" name="Retângulo: Cantos Arredondados 1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9132CF1-0543-4B1F-97B3-C846611779D6}"/>
            </a:ext>
          </a:extLst>
        </xdr:cNvPr>
        <xdr:cNvSpPr/>
      </xdr:nvSpPr>
      <xdr:spPr>
        <a:xfrm>
          <a:off x="1428750" y="444182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CEA</a:t>
          </a:r>
        </a:p>
      </xdr:txBody>
    </xdr:sp>
    <xdr:clientData/>
  </xdr:twoCellAnchor>
  <xdr:twoCellAnchor>
    <xdr:from>
      <xdr:col>3</xdr:col>
      <xdr:colOff>114300</xdr:colOff>
      <xdr:row>24</xdr:row>
      <xdr:rowOff>101600</xdr:rowOff>
    </xdr:from>
    <xdr:to>
      <xdr:col>6</xdr:col>
      <xdr:colOff>476250</xdr:colOff>
      <xdr:row>26</xdr:row>
      <xdr:rowOff>57150</xdr:rowOff>
    </xdr:to>
    <xdr:sp macro="" textlink="">
      <xdr:nvSpPr>
        <xdr:cNvPr id="17" name="Retângulo: Cantos Arredondados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04F3BC9-191A-4738-A134-7B6CEC1559FA}"/>
            </a:ext>
          </a:extLst>
        </xdr:cNvPr>
        <xdr:cNvSpPr/>
      </xdr:nvSpPr>
      <xdr:spPr>
        <a:xfrm>
          <a:off x="1428750" y="49466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Goiás</a:t>
          </a:r>
        </a:p>
      </xdr:txBody>
    </xdr:sp>
    <xdr:clientData/>
  </xdr:twoCellAnchor>
  <xdr:twoCellAnchor>
    <xdr:from>
      <xdr:col>18</xdr:col>
      <xdr:colOff>87732</xdr:colOff>
      <xdr:row>8</xdr:row>
      <xdr:rowOff>152400</xdr:rowOff>
    </xdr:from>
    <xdr:to>
      <xdr:col>21</xdr:col>
      <xdr:colOff>449682</xdr:colOff>
      <xdr:row>10</xdr:row>
      <xdr:rowOff>107950</xdr:rowOff>
    </xdr:to>
    <xdr:sp macro="" textlink="">
      <xdr:nvSpPr>
        <xdr:cNvPr id="18" name="Retângulo: Cantos Arredondados 1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CE16568-CB57-4C52-8CDB-B9325E558178}"/>
            </a:ext>
          </a:extLst>
        </xdr:cNvPr>
        <xdr:cNvSpPr/>
      </xdr:nvSpPr>
      <xdr:spPr>
        <a:xfrm>
          <a:off x="9186908" y="2064871"/>
          <a:ext cx="2199715" cy="3290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CSA</a:t>
          </a:r>
        </a:p>
      </xdr:txBody>
    </xdr:sp>
    <xdr:clientData/>
  </xdr:twoCellAnchor>
  <xdr:twoCellAnchor>
    <xdr:from>
      <xdr:col>23</xdr:col>
      <xdr:colOff>110143</xdr:colOff>
      <xdr:row>8</xdr:row>
      <xdr:rowOff>144928</xdr:rowOff>
    </xdr:from>
    <xdr:to>
      <xdr:col>26</xdr:col>
      <xdr:colOff>472094</xdr:colOff>
      <xdr:row>10</xdr:row>
      <xdr:rowOff>100478</xdr:rowOff>
    </xdr:to>
    <xdr:sp macro="" textlink="">
      <xdr:nvSpPr>
        <xdr:cNvPr id="19" name="Retângulo: Cantos Arredondados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14358C1-518A-4725-9A0B-D637AAF10259}"/>
            </a:ext>
          </a:extLst>
        </xdr:cNvPr>
        <xdr:cNvSpPr/>
      </xdr:nvSpPr>
      <xdr:spPr>
        <a:xfrm>
          <a:off x="11801614" y="2057399"/>
          <a:ext cx="2199715" cy="3290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Serviços</a:t>
          </a:r>
        </a:p>
      </xdr:txBody>
    </xdr:sp>
    <xdr:clientData/>
  </xdr:twoCellAnchor>
  <xdr:twoCellAnchor>
    <xdr:from>
      <xdr:col>23</xdr:col>
      <xdr:colOff>110143</xdr:colOff>
      <xdr:row>11</xdr:row>
      <xdr:rowOff>55842</xdr:rowOff>
    </xdr:from>
    <xdr:to>
      <xdr:col>26</xdr:col>
      <xdr:colOff>472094</xdr:colOff>
      <xdr:row>13</xdr:row>
      <xdr:rowOff>11392</xdr:rowOff>
    </xdr:to>
    <xdr:sp macro="" textlink="">
      <xdr:nvSpPr>
        <xdr:cNvPr id="20" name="Retângulo: Cantos Arredondados 1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BFAF126-C02D-41F6-A797-6802DBB53D3D}"/>
            </a:ext>
          </a:extLst>
        </xdr:cNvPr>
        <xdr:cNvSpPr/>
      </xdr:nvSpPr>
      <xdr:spPr>
        <a:xfrm>
          <a:off x="11801614" y="2528607"/>
          <a:ext cx="2199715" cy="3290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Holding</a:t>
          </a:r>
        </a:p>
      </xdr:txBody>
    </xdr:sp>
    <xdr:clientData/>
  </xdr:twoCellAnchor>
  <xdr:twoCellAnchor>
    <xdr:from>
      <xdr:col>23</xdr:col>
      <xdr:colOff>110143</xdr:colOff>
      <xdr:row>13</xdr:row>
      <xdr:rowOff>171384</xdr:rowOff>
    </xdr:from>
    <xdr:to>
      <xdr:col>26</xdr:col>
      <xdr:colOff>472094</xdr:colOff>
      <xdr:row>15</xdr:row>
      <xdr:rowOff>128867</xdr:rowOff>
    </xdr:to>
    <xdr:sp macro="" textlink="">
      <xdr:nvSpPr>
        <xdr:cNvPr id="21" name="Retângulo: Cantos Arredondados 20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55F7B141-9FB9-4903-9ACC-6205C865E767}"/>
            </a:ext>
          </a:extLst>
        </xdr:cNvPr>
        <xdr:cNvSpPr/>
      </xdr:nvSpPr>
      <xdr:spPr>
        <a:xfrm>
          <a:off x="11801614" y="3017678"/>
          <a:ext cx="2199715" cy="331013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Consolidado</a:t>
          </a:r>
        </a:p>
      </xdr:txBody>
    </xdr:sp>
    <xdr:clientData/>
  </xdr:twoCellAnchor>
  <xdr:twoCellAnchor>
    <xdr:from>
      <xdr:col>5</xdr:col>
      <xdr:colOff>22411</xdr:colOff>
      <xdr:row>0</xdr:row>
      <xdr:rowOff>171823</xdr:rowOff>
    </xdr:from>
    <xdr:to>
      <xdr:col>9</xdr:col>
      <xdr:colOff>156349</xdr:colOff>
      <xdr:row>2</xdr:row>
      <xdr:rowOff>64194</xdr:rowOff>
    </xdr:to>
    <xdr:sp macro="" textlink="">
      <xdr:nvSpPr>
        <xdr:cNvPr id="13" name="Retângulo: Cantos Arredondados 1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9AAB684-4B41-460C-B234-0C6EDDD5BB05}"/>
            </a:ext>
          </a:extLst>
        </xdr:cNvPr>
        <xdr:cNvSpPr/>
      </xdr:nvSpPr>
      <xdr:spPr>
        <a:xfrm>
          <a:off x="2569882" y="171823"/>
          <a:ext cx="2113643" cy="265900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28</xdr:col>
      <xdr:colOff>110143</xdr:colOff>
      <xdr:row>8</xdr:row>
      <xdr:rowOff>144928</xdr:rowOff>
    </xdr:from>
    <xdr:to>
      <xdr:col>31</xdr:col>
      <xdr:colOff>472094</xdr:colOff>
      <xdr:row>10</xdr:row>
      <xdr:rowOff>100478</xdr:rowOff>
    </xdr:to>
    <xdr:sp macro="" textlink="">
      <xdr:nvSpPr>
        <xdr:cNvPr id="14" name="Retângulo: Cantos Arredondados 13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F3C4683E-2914-49E0-94CA-F8928A7F8EA3}"/>
            </a:ext>
          </a:extLst>
        </xdr:cNvPr>
        <xdr:cNvSpPr/>
      </xdr:nvSpPr>
      <xdr:spPr>
        <a:xfrm>
          <a:off x="11801614" y="2057399"/>
          <a:ext cx="2199715" cy="3290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DRE Individual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181110</xdr:rowOff>
    </xdr:from>
    <xdr:to>
      <xdr:col>0</xdr:col>
      <xdr:colOff>2113643</xdr:colOff>
      <xdr:row>4</xdr:row>
      <xdr:rowOff>78816</xdr:rowOff>
    </xdr:to>
    <xdr:sp macro="" textlink="">
      <xdr:nvSpPr>
        <xdr:cNvPr id="6" name="Retângulo: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E86CCE-C3B1-4E80-A6B3-8F8792F201B4}"/>
            </a:ext>
          </a:extLst>
        </xdr:cNvPr>
        <xdr:cNvSpPr/>
      </xdr:nvSpPr>
      <xdr:spPr>
        <a:xfrm>
          <a:off x="0" y="55463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84472</xdr:rowOff>
    </xdr:to>
    <xdr:sp macro="" textlink="">
      <xdr:nvSpPr>
        <xdr:cNvPr id="7" name="Retângulo: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8BBE82-D0E9-4CED-A7F2-5275436FE1C5}"/>
            </a:ext>
          </a:extLst>
        </xdr:cNvPr>
        <xdr:cNvSpPr/>
      </xdr:nvSpPr>
      <xdr:spPr>
        <a:xfrm>
          <a:off x="1922" y="186765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181110</xdr:rowOff>
    </xdr:from>
    <xdr:to>
      <xdr:col>0</xdr:col>
      <xdr:colOff>2113643</xdr:colOff>
      <xdr:row>4</xdr:row>
      <xdr:rowOff>78816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D80CB2-05CF-47C3-86A1-C455A1DA27ED}"/>
            </a:ext>
          </a:extLst>
        </xdr:cNvPr>
        <xdr:cNvSpPr/>
      </xdr:nvSpPr>
      <xdr:spPr>
        <a:xfrm>
          <a:off x="0" y="55463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84472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EE659D-FA84-465C-8D8E-CF19D0DC66E5}"/>
            </a:ext>
          </a:extLst>
        </xdr:cNvPr>
        <xdr:cNvSpPr/>
      </xdr:nvSpPr>
      <xdr:spPr>
        <a:xfrm>
          <a:off x="1922" y="186765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636814</xdr:colOff>
      <xdr:row>2</xdr:row>
      <xdr:rowOff>157037</xdr:rowOff>
    </xdr:from>
    <xdr:to>
      <xdr:col>1</xdr:col>
      <xdr:colOff>2108401</xdr:colOff>
      <xdr:row>4</xdr:row>
      <xdr:rowOff>98382</xdr:rowOff>
    </xdr:to>
    <xdr:sp macro="" textlink="">
      <xdr:nvSpPr>
        <xdr:cNvPr id="5" name="Retângulo: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200F2F-EFDF-47E6-9F16-E3F4F5B91DF7}"/>
            </a:ext>
          </a:extLst>
        </xdr:cNvPr>
        <xdr:cNvSpPr/>
      </xdr:nvSpPr>
      <xdr:spPr>
        <a:xfrm>
          <a:off x="636814" y="481593"/>
          <a:ext cx="2113643" cy="265900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2113643</xdr:colOff>
      <xdr:row>2</xdr:row>
      <xdr:rowOff>103622</xdr:rowOff>
    </xdr:to>
    <xdr:sp macro="" textlink="">
      <xdr:nvSpPr>
        <xdr:cNvPr id="6" name="Retângulo: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67310A-ECF2-4E94-8DB8-12470B2F0A1F}"/>
            </a:ext>
          </a:extLst>
        </xdr:cNvPr>
        <xdr:cNvSpPr/>
      </xdr:nvSpPr>
      <xdr:spPr>
        <a:xfrm>
          <a:off x="642056" y="162278"/>
          <a:ext cx="2113643" cy="265900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Operacional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2749</xdr:rowOff>
    </xdr:from>
    <xdr:to>
      <xdr:col>0</xdr:col>
      <xdr:colOff>2113643</xdr:colOff>
      <xdr:row>4</xdr:row>
      <xdr:rowOff>91423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8CBFCD-6E96-4DE2-9888-5969F909169E}"/>
            </a:ext>
          </a:extLst>
        </xdr:cNvPr>
        <xdr:cNvSpPr/>
      </xdr:nvSpPr>
      <xdr:spPr>
        <a:xfrm>
          <a:off x="0" y="550437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88674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D27266-9FE8-4F62-ABF7-C35F77423DD7}"/>
            </a:ext>
          </a:extLst>
        </xdr:cNvPr>
        <xdr:cNvSpPr/>
      </xdr:nvSpPr>
      <xdr:spPr>
        <a:xfrm>
          <a:off x="1922" y="182563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2749</xdr:rowOff>
    </xdr:from>
    <xdr:to>
      <xdr:col>0</xdr:col>
      <xdr:colOff>2113643</xdr:colOff>
      <xdr:row>4</xdr:row>
      <xdr:rowOff>91423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49D850-A2A0-42B1-8661-4C1BC0D9702C}"/>
            </a:ext>
          </a:extLst>
        </xdr:cNvPr>
        <xdr:cNvSpPr/>
      </xdr:nvSpPr>
      <xdr:spPr>
        <a:xfrm>
          <a:off x="0" y="550437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88674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F13E19-8F78-43BC-AD52-08A027FA8110}"/>
            </a:ext>
          </a:extLst>
        </xdr:cNvPr>
        <xdr:cNvSpPr/>
      </xdr:nvSpPr>
      <xdr:spPr>
        <a:xfrm>
          <a:off x="1922" y="182563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2749</xdr:rowOff>
    </xdr:from>
    <xdr:to>
      <xdr:col>0</xdr:col>
      <xdr:colOff>2113643</xdr:colOff>
      <xdr:row>4</xdr:row>
      <xdr:rowOff>91423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C05E70-F22E-41FD-92EE-0DB94DC5AE0C}"/>
            </a:ext>
          </a:extLst>
        </xdr:cNvPr>
        <xdr:cNvSpPr/>
      </xdr:nvSpPr>
      <xdr:spPr>
        <a:xfrm>
          <a:off x="0" y="550437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88674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6C9746-2F03-47FD-A69D-4F382CB1B772}"/>
            </a:ext>
          </a:extLst>
        </xdr:cNvPr>
        <xdr:cNvSpPr/>
      </xdr:nvSpPr>
      <xdr:spPr>
        <a:xfrm>
          <a:off x="1922" y="182563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2749</xdr:rowOff>
    </xdr:from>
    <xdr:to>
      <xdr:col>0</xdr:col>
      <xdr:colOff>2113643</xdr:colOff>
      <xdr:row>4</xdr:row>
      <xdr:rowOff>91423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80B12B-230E-42A5-ADAC-AC9D7F4F0A97}"/>
            </a:ext>
          </a:extLst>
        </xdr:cNvPr>
        <xdr:cNvSpPr/>
      </xdr:nvSpPr>
      <xdr:spPr>
        <a:xfrm>
          <a:off x="0" y="550437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88674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11F6CF-3150-48C8-9361-1624B2AB7647}"/>
            </a:ext>
          </a:extLst>
        </xdr:cNvPr>
        <xdr:cNvSpPr/>
      </xdr:nvSpPr>
      <xdr:spPr>
        <a:xfrm>
          <a:off x="1922" y="182563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B1651C-B3CF-4DDB-8A58-00D428D41EC4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BDA4C7-AAD3-4161-8999-F869262409AB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350051-AD7A-48C9-810B-1694A9E76748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A428F5-FFD0-4AD8-97E1-C40E55DC0AD1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3D7BA8-1D66-4ADC-9702-F64655F0522D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C2953E-8BF6-4477-84DA-3FEB80DF8838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4B0BE9-A81B-4FB4-B07B-9F3253FBCF8D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71A62C-1586-4E51-A437-02FDDC818E22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255271-85EB-4DAD-A6D2-17DF65AB19B3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7FFF15-B837-4CF1-BDDD-23F558A0B688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180261</xdr:rowOff>
    </xdr:from>
    <xdr:to>
      <xdr:col>0</xdr:col>
      <xdr:colOff>2113643</xdr:colOff>
      <xdr:row>4</xdr:row>
      <xdr:rowOff>76269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1FBCA4-560A-404A-BDAB-CD23120CD0FD}"/>
            </a:ext>
          </a:extLst>
        </xdr:cNvPr>
        <xdr:cNvSpPr/>
      </xdr:nvSpPr>
      <xdr:spPr>
        <a:xfrm>
          <a:off x="0" y="555488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83623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B2FB80D-FF01-453C-9B2A-9DE6D911298B}"/>
            </a:ext>
          </a:extLst>
        </xdr:cNvPr>
        <xdr:cNvSpPr/>
      </xdr:nvSpPr>
      <xdr:spPr>
        <a:xfrm>
          <a:off x="1922" y="18761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157037</xdr:rowOff>
    </xdr:from>
    <xdr:to>
      <xdr:col>1</xdr:col>
      <xdr:colOff>2115658</xdr:colOff>
      <xdr:row>4</xdr:row>
      <xdr:rowOff>98382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8589E0-64BE-4C29-AFD1-A68F35B23489}"/>
            </a:ext>
          </a:extLst>
        </xdr:cNvPr>
        <xdr:cNvSpPr/>
      </xdr:nvSpPr>
      <xdr:spPr>
        <a:xfrm>
          <a:off x="362857" y="483608"/>
          <a:ext cx="2115658" cy="26791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1</xdr:col>
      <xdr:colOff>7257</xdr:colOff>
      <xdr:row>1</xdr:row>
      <xdr:rowOff>0</xdr:rowOff>
    </xdr:from>
    <xdr:to>
      <xdr:col>1</xdr:col>
      <xdr:colOff>2120900</xdr:colOff>
      <xdr:row>2</xdr:row>
      <xdr:rowOff>103622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027CCB-073D-4BD2-B462-86208F2DFE6F}"/>
            </a:ext>
          </a:extLst>
        </xdr:cNvPr>
        <xdr:cNvSpPr/>
      </xdr:nvSpPr>
      <xdr:spPr>
        <a:xfrm>
          <a:off x="370114" y="163286"/>
          <a:ext cx="2113643" cy="26690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Operacional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E76EB3-F028-46A4-BE6C-AD084A0582FD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5616BD-88E4-431F-9065-0B734DE8596B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95250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608A86-E0C8-451E-A2C3-1B24EBC5C7CE}"/>
            </a:ext>
          </a:extLst>
        </xdr:cNvPr>
        <xdr:cNvSpPr/>
      </xdr:nvSpPr>
      <xdr:spPr>
        <a:xfrm>
          <a:off x="0" y="552024"/>
          <a:ext cx="2113643" cy="27982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F8C888-38BA-49B8-B6AB-1BE0E2C2F934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181110</xdr:rowOff>
    </xdr:from>
    <xdr:to>
      <xdr:col>0</xdr:col>
      <xdr:colOff>2113643</xdr:colOff>
      <xdr:row>4</xdr:row>
      <xdr:rowOff>78816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4662D5-80FF-4045-9B8E-70920A056507}"/>
            </a:ext>
          </a:extLst>
        </xdr:cNvPr>
        <xdr:cNvSpPr/>
      </xdr:nvSpPr>
      <xdr:spPr>
        <a:xfrm>
          <a:off x="0" y="55463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84472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B0B506-1EFF-437F-BCB1-BA67FC65BA07}"/>
            </a:ext>
          </a:extLst>
        </xdr:cNvPr>
        <xdr:cNvSpPr/>
      </xdr:nvSpPr>
      <xdr:spPr>
        <a:xfrm>
          <a:off x="1922" y="186765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7457CD-B0D9-4382-956F-0720EF7C60C9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B43EE37-32A3-40D2-A6DF-689F9749E98F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39168</xdr:rowOff>
    </xdr:from>
    <xdr:to>
      <xdr:col>1</xdr:col>
      <xdr:colOff>2113643</xdr:colOff>
      <xdr:row>4</xdr:row>
      <xdr:rowOff>146051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4A7BE8-6B29-4D92-93C6-890CF448216B}"/>
            </a:ext>
          </a:extLst>
        </xdr:cNvPr>
        <xdr:cNvSpPr/>
      </xdr:nvSpPr>
      <xdr:spPr>
        <a:xfrm>
          <a:off x="612588" y="532227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1</xdr:col>
      <xdr:colOff>1922</xdr:colOff>
      <xdr:row>1</xdr:row>
      <xdr:rowOff>0</xdr:rowOff>
    </xdr:from>
    <xdr:to>
      <xdr:col>1</xdr:col>
      <xdr:colOff>2115565</xdr:colOff>
      <xdr:row>2</xdr:row>
      <xdr:rowOff>106883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7EF4A67-A2FB-4D11-8EFC-BDBB84669463}"/>
            </a:ext>
          </a:extLst>
        </xdr:cNvPr>
        <xdr:cNvSpPr/>
      </xdr:nvSpPr>
      <xdr:spPr>
        <a:xfrm>
          <a:off x="614510" y="164353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DREs Resumidas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2113643</xdr:colOff>
      <xdr:row>2</xdr:row>
      <xdr:rowOff>131536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7273EC-22B0-4B2C-A6B9-342BE95DCCBA}"/>
            </a:ext>
          </a:extLst>
        </xdr:cNvPr>
        <xdr:cNvSpPr/>
      </xdr:nvSpPr>
      <xdr:spPr>
        <a:xfrm>
          <a:off x="501650" y="13970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25400</xdr:rowOff>
    </xdr:from>
    <xdr:to>
      <xdr:col>3</xdr:col>
      <xdr:colOff>515924</xdr:colOff>
      <xdr:row>2</xdr:row>
      <xdr:rowOff>92198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6D8E07-A221-4BCB-85E0-4407768DCE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5400"/>
          <a:ext cx="1798624" cy="435098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8</xdr:row>
      <xdr:rowOff>133350</xdr:rowOff>
    </xdr:from>
    <xdr:to>
      <xdr:col>6</xdr:col>
      <xdr:colOff>476250</xdr:colOff>
      <xdr:row>10</xdr:row>
      <xdr:rowOff>88900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B51E81-EE46-455C-BA6A-FE8E275C2ABB}"/>
            </a:ext>
          </a:extLst>
        </xdr:cNvPr>
        <xdr:cNvSpPr/>
      </xdr:nvSpPr>
      <xdr:spPr>
        <a:xfrm>
          <a:off x="142875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Maranhão</a:t>
          </a:r>
        </a:p>
      </xdr:txBody>
    </xdr:sp>
    <xdr:clientData/>
  </xdr:twoCellAnchor>
  <xdr:twoCellAnchor>
    <xdr:from>
      <xdr:col>3</xdr:col>
      <xdr:colOff>114300</xdr:colOff>
      <xdr:row>11</xdr:row>
      <xdr:rowOff>66675</xdr:rowOff>
    </xdr:from>
    <xdr:to>
      <xdr:col>6</xdr:col>
      <xdr:colOff>476250</xdr:colOff>
      <xdr:row>13</xdr:row>
      <xdr:rowOff>22225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D9E4B4-79DA-45EA-AE78-B329D13BB0A7}"/>
            </a:ext>
          </a:extLst>
        </xdr:cNvPr>
        <xdr:cNvSpPr/>
      </xdr:nvSpPr>
      <xdr:spPr>
        <a:xfrm>
          <a:off x="1428750" y="251777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Pará</a:t>
          </a:r>
        </a:p>
      </xdr:txBody>
    </xdr:sp>
    <xdr:clientData/>
  </xdr:twoCellAnchor>
  <xdr:twoCellAnchor>
    <xdr:from>
      <xdr:col>3</xdr:col>
      <xdr:colOff>114300</xdr:colOff>
      <xdr:row>14</xdr:row>
      <xdr:rowOff>0</xdr:rowOff>
    </xdr:from>
    <xdr:to>
      <xdr:col>6</xdr:col>
      <xdr:colOff>476250</xdr:colOff>
      <xdr:row>15</xdr:row>
      <xdr:rowOff>139700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B0D62F-EA39-4976-8B26-9CD31D9B5443}"/>
            </a:ext>
          </a:extLst>
        </xdr:cNvPr>
        <xdr:cNvSpPr/>
      </xdr:nvSpPr>
      <xdr:spPr>
        <a:xfrm>
          <a:off x="1428750" y="30035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Piauí</a:t>
          </a:r>
        </a:p>
      </xdr:txBody>
    </xdr:sp>
    <xdr:clientData/>
  </xdr:twoCellAnchor>
  <xdr:twoCellAnchor>
    <xdr:from>
      <xdr:col>3</xdr:col>
      <xdr:colOff>114300</xdr:colOff>
      <xdr:row>16</xdr:row>
      <xdr:rowOff>117475</xdr:rowOff>
    </xdr:from>
    <xdr:to>
      <xdr:col>6</xdr:col>
      <xdr:colOff>476250</xdr:colOff>
      <xdr:row>18</xdr:row>
      <xdr:rowOff>73025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900086-F722-4810-9C15-A00D116E477B}"/>
            </a:ext>
          </a:extLst>
        </xdr:cNvPr>
        <xdr:cNvSpPr/>
      </xdr:nvSpPr>
      <xdr:spPr>
        <a:xfrm>
          <a:off x="1428750" y="348932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Alagoas</a:t>
          </a:r>
        </a:p>
      </xdr:txBody>
    </xdr:sp>
    <xdr:clientData/>
  </xdr:twoCellAnchor>
  <xdr:twoCellAnchor>
    <xdr:from>
      <xdr:col>3</xdr:col>
      <xdr:colOff>114300</xdr:colOff>
      <xdr:row>19</xdr:row>
      <xdr:rowOff>69850</xdr:rowOff>
    </xdr:from>
    <xdr:to>
      <xdr:col>6</xdr:col>
      <xdr:colOff>476250</xdr:colOff>
      <xdr:row>21</xdr:row>
      <xdr:rowOff>25400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E6BAECC-5020-4C5A-9AC7-B17A0DC85DE5}"/>
            </a:ext>
          </a:extLst>
        </xdr:cNvPr>
        <xdr:cNvSpPr/>
      </xdr:nvSpPr>
      <xdr:spPr>
        <a:xfrm>
          <a:off x="1428750" y="39941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CEEE-D</a:t>
          </a:r>
        </a:p>
      </xdr:txBody>
    </xdr:sp>
    <xdr:clientData/>
  </xdr:twoCellAnchor>
  <xdr:twoCellAnchor>
    <xdr:from>
      <xdr:col>8</xdr:col>
      <xdr:colOff>69850</xdr:colOff>
      <xdr:row>8</xdr:row>
      <xdr:rowOff>133350</xdr:rowOff>
    </xdr:from>
    <xdr:to>
      <xdr:col>11</xdr:col>
      <xdr:colOff>431800</xdr:colOff>
      <xdr:row>10</xdr:row>
      <xdr:rowOff>88900</xdr:rowOff>
    </xdr:to>
    <xdr:sp macro="" textlink="">
      <xdr:nvSpPr>
        <xdr:cNvPr id="8" name="Retângulo: Cantos Arredondado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1B1E1B-47D5-4B1F-9768-A55E3DBB167E}"/>
            </a:ext>
          </a:extLst>
        </xdr:cNvPr>
        <xdr:cNvSpPr/>
      </xdr:nvSpPr>
      <xdr:spPr>
        <a:xfrm>
          <a:off x="396240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EQTT</a:t>
          </a:r>
        </a:p>
      </xdr:txBody>
    </xdr:sp>
    <xdr:clientData/>
  </xdr:twoCellAnchor>
  <xdr:twoCellAnchor>
    <xdr:from>
      <xdr:col>8</xdr:col>
      <xdr:colOff>69850</xdr:colOff>
      <xdr:row>11</xdr:row>
      <xdr:rowOff>66675</xdr:rowOff>
    </xdr:from>
    <xdr:to>
      <xdr:col>11</xdr:col>
      <xdr:colOff>431800</xdr:colOff>
      <xdr:row>13</xdr:row>
      <xdr:rowOff>22225</xdr:rowOff>
    </xdr:to>
    <xdr:sp macro="" textlink="">
      <xdr:nvSpPr>
        <xdr:cNvPr id="9" name="Retângulo: Canto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1FEDEAB-AFE8-427B-B68F-38223DE69AF3}"/>
            </a:ext>
          </a:extLst>
        </xdr:cNvPr>
        <xdr:cNvSpPr/>
      </xdr:nvSpPr>
      <xdr:spPr>
        <a:xfrm>
          <a:off x="3962400" y="251777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INTESA</a:t>
          </a:r>
        </a:p>
      </xdr:txBody>
    </xdr:sp>
    <xdr:clientData/>
  </xdr:twoCellAnchor>
  <xdr:twoCellAnchor>
    <xdr:from>
      <xdr:col>13</xdr:col>
      <xdr:colOff>92214</xdr:colOff>
      <xdr:row>8</xdr:row>
      <xdr:rowOff>149411</xdr:rowOff>
    </xdr:from>
    <xdr:to>
      <xdr:col>16</xdr:col>
      <xdr:colOff>454164</xdr:colOff>
      <xdr:row>10</xdr:row>
      <xdr:rowOff>104961</xdr:rowOff>
    </xdr:to>
    <xdr:sp macro="" textlink="">
      <xdr:nvSpPr>
        <xdr:cNvPr id="12" name="Retângulo: Cantos Arredondados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477C3D7-5C8E-4303-A7E0-D4DF6895828E}"/>
            </a:ext>
          </a:extLst>
        </xdr:cNvPr>
        <xdr:cNvSpPr/>
      </xdr:nvSpPr>
      <xdr:spPr>
        <a:xfrm>
          <a:off x="6562864" y="2048061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Echoenergia</a:t>
          </a:r>
        </a:p>
      </xdr:txBody>
    </xdr:sp>
    <xdr:clientData/>
  </xdr:twoCellAnchor>
  <xdr:twoCellAnchor>
    <xdr:from>
      <xdr:col>3</xdr:col>
      <xdr:colOff>114300</xdr:colOff>
      <xdr:row>21</xdr:row>
      <xdr:rowOff>149225</xdr:rowOff>
    </xdr:from>
    <xdr:to>
      <xdr:col>6</xdr:col>
      <xdr:colOff>476250</xdr:colOff>
      <xdr:row>23</xdr:row>
      <xdr:rowOff>104775</xdr:rowOff>
    </xdr:to>
    <xdr:sp macro="" textlink="">
      <xdr:nvSpPr>
        <xdr:cNvPr id="13" name="Retângulo: Cantos Arredondados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FBF2D5E-EC6E-4EEB-B24C-B0F6131B5874}"/>
            </a:ext>
          </a:extLst>
        </xdr:cNvPr>
        <xdr:cNvSpPr/>
      </xdr:nvSpPr>
      <xdr:spPr>
        <a:xfrm>
          <a:off x="1428750" y="444182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CEA</a:t>
          </a:r>
        </a:p>
      </xdr:txBody>
    </xdr:sp>
    <xdr:clientData/>
  </xdr:twoCellAnchor>
  <xdr:twoCellAnchor>
    <xdr:from>
      <xdr:col>3</xdr:col>
      <xdr:colOff>114300</xdr:colOff>
      <xdr:row>24</xdr:row>
      <xdr:rowOff>101600</xdr:rowOff>
    </xdr:from>
    <xdr:to>
      <xdr:col>6</xdr:col>
      <xdr:colOff>476250</xdr:colOff>
      <xdr:row>26</xdr:row>
      <xdr:rowOff>57150</xdr:rowOff>
    </xdr:to>
    <xdr:sp macro="" textlink="">
      <xdr:nvSpPr>
        <xdr:cNvPr id="14" name="Retângulo: Cantos Arredondados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65F4970-667A-4886-98B7-9A8104949465}"/>
            </a:ext>
          </a:extLst>
        </xdr:cNvPr>
        <xdr:cNvSpPr/>
      </xdr:nvSpPr>
      <xdr:spPr>
        <a:xfrm>
          <a:off x="1428750" y="49466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Goiás</a:t>
          </a:r>
        </a:p>
      </xdr:txBody>
    </xdr:sp>
    <xdr:clientData/>
  </xdr:twoCellAnchor>
  <xdr:twoCellAnchor>
    <xdr:from>
      <xdr:col>18</xdr:col>
      <xdr:colOff>87732</xdr:colOff>
      <xdr:row>8</xdr:row>
      <xdr:rowOff>152400</xdr:rowOff>
    </xdr:from>
    <xdr:to>
      <xdr:col>21</xdr:col>
      <xdr:colOff>449682</xdr:colOff>
      <xdr:row>10</xdr:row>
      <xdr:rowOff>107950</xdr:rowOff>
    </xdr:to>
    <xdr:sp macro="" textlink="">
      <xdr:nvSpPr>
        <xdr:cNvPr id="15" name="Retângulo: Cantos Arredondados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DD5EBF7-6443-445A-85BF-314073365C9A}"/>
            </a:ext>
          </a:extLst>
        </xdr:cNvPr>
        <xdr:cNvSpPr/>
      </xdr:nvSpPr>
      <xdr:spPr>
        <a:xfrm>
          <a:off x="9136482" y="20510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CSA</a:t>
          </a:r>
        </a:p>
      </xdr:txBody>
    </xdr:sp>
    <xdr:clientData/>
  </xdr:twoCellAnchor>
  <xdr:twoCellAnchor>
    <xdr:from>
      <xdr:col>23</xdr:col>
      <xdr:colOff>110143</xdr:colOff>
      <xdr:row>8</xdr:row>
      <xdr:rowOff>128409</xdr:rowOff>
    </xdr:from>
    <xdr:to>
      <xdr:col>26</xdr:col>
      <xdr:colOff>472094</xdr:colOff>
      <xdr:row>10</xdr:row>
      <xdr:rowOff>83959</xdr:rowOff>
    </xdr:to>
    <xdr:sp macro="" textlink="">
      <xdr:nvSpPr>
        <xdr:cNvPr id="17" name="Retângulo: Cantos Arredondados 1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945C153-9B3F-4654-8126-A76124DE732D}"/>
            </a:ext>
          </a:extLst>
        </xdr:cNvPr>
        <xdr:cNvSpPr/>
      </xdr:nvSpPr>
      <xdr:spPr>
        <a:xfrm>
          <a:off x="11694357" y="2015266"/>
          <a:ext cx="2185308" cy="31840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Holding</a:t>
          </a:r>
        </a:p>
      </xdr:txBody>
    </xdr:sp>
    <xdr:clientData/>
  </xdr:twoCellAnchor>
  <xdr:twoCellAnchor>
    <xdr:from>
      <xdr:col>23</xdr:col>
      <xdr:colOff>110143</xdr:colOff>
      <xdr:row>11</xdr:row>
      <xdr:rowOff>62522</xdr:rowOff>
    </xdr:from>
    <xdr:to>
      <xdr:col>26</xdr:col>
      <xdr:colOff>472094</xdr:colOff>
      <xdr:row>13</xdr:row>
      <xdr:rowOff>20005</xdr:rowOff>
    </xdr:to>
    <xdr:sp macro="" textlink="">
      <xdr:nvSpPr>
        <xdr:cNvPr id="18" name="Retângulo: Cantos Arredondados 1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5E526A7-BEB9-4AF7-9113-11E6A601511C}"/>
            </a:ext>
          </a:extLst>
        </xdr:cNvPr>
        <xdr:cNvSpPr/>
      </xdr:nvSpPr>
      <xdr:spPr>
        <a:xfrm>
          <a:off x="11694357" y="2493665"/>
          <a:ext cx="2185308" cy="32034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Consolidado</a:t>
          </a:r>
        </a:p>
      </xdr:txBody>
    </xdr:sp>
    <xdr:clientData/>
  </xdr:twoCellAnchor>
  <xdr:twoCellAnchor>
    <xdr:from>
      <xdr:col>5</xdr:col>
      <xdr:colOff>22411</xdr:colOff>
      <xdr:row>0</xdr:row>
      <xdr:rowOff>171823</xdr:rowOff>
    </xdr:from>
    <xdr:to>
      <xdr:col>9</xdr:col>
      <xdr:colOff>156349</xdr:colOff>
      <xdr:row>2</xdr:row>
      <xdr:rowOff>64194</xdr:rowOff>
    </xdr:to>
    <xdr:sp macro="" textlink="">
      <xdr:nvSpPr>
        <xdr:cNvPr id="19" name="Retângulo: Cantos Arredondados 1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52EE35CC-7224-440E-A1AD-97D4A4935463}"/>
            </a:ext>
          </a:extLst>
        </xdr:cNvPr>
        <xdr:cNvSpPr/>
      </xdr:nvSpPr>
      <xdr:spPr>
        <a:xfrm>
          <a:off x="2556061" y="171823"/>
          <a:ext cx="2102438" cy="260671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2749</xdr:rowOff>
    </xdr:from>
    <xdr:to>
      <xdr:col>0</xdr:col>
      <xdr:colOff>2113643</xdr:colOff>
      <xdr:row>4</xdr:row>
      <xdr:rowOff>91423</xdr:rowOff>
    </xdr:to>
    <xdr:sp macro="" textlink="">
      <xdr:nvSpPr>
        <xdr:cNvPr id="6" name="Retângulo: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35AF4-B855-407F-AA77-8B33C33BA272}"/>
            </a:ext>
          </a:extLst>
        </xdr:cNvPr>
        <xdr:cNvSpPr/>
      </xdr:nvSpPr>
      <xdr:spPr>
        <a:xfrm>
          <a:off x="0" y="550437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88674</xdr:rowOff>
    </xdr:to>
    <xdr:sp macro="" textlink="">
      <xdr:nvSpPr>
        <xdr:cNvPr id="7" name="Retângulo: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75458B-8215-44F8-9106-1D17F4A72692}"/>
            </a:ext>
          </a:extLst>
        </xdr:cNvPr>
        <xdr:cNvSpPr/>
      </xdr:nvSpPr>
      <xdr:spPr>
        <a:xfrm>
          <a:off x="1922" y="182563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2749</xdr:rowOff>
    </xdr:from>
    <xdr:to>
      <xdr:col>0</xdr:col>
      <xdr:colOff>2113643</xdr:colOff>
      <xdr:row>4</xdr:row>
      <xdr:rowOff>91423</xdr:rowOff>
    </xdr:to>
    <xdr:sp macro="" textlink="">
      <xdr:nvSpPr>
        <xdr:cNvPr id="6" name="Retângulo: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4427C4-6920-4838-B5CB-1B14FF6929B1}"/>
            </a:ext>
          </a:extLst>
        </xdr:cNvPr>
        <xdr:cNvSpPr/>
      </xdr:nvSpPr>
      <xdr:spPr>
        <a:xfrm>
          <a:off x="0" y="550437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88674</xdr:rowOff>
    </xdr:to>
    <xdr:sp macro="" textlink="">
      <xdr:nvSpPr>
        <xdr:cNvPr id="7" name="Retângulo: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AD06C2-B1A7-4FF3-990D-872958DC2CAB}"/>
            </a:ext>
          </a:extLst>
        </xdr:cNvPr>
        <xdr:cNvSpPr/>
      </xdr:nvSpPr>
      <xdr:spPr>
        <a:xfrm>
          <a:off x="1922" y="182563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6" name="Retângulo: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A84FA1-6668-4B59-BC24-6518598F0AA5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7" name="Retângulo: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4D03EC-B65F-4289-9EB6-B59A6F6ECD89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138894</xdr:rowOff>
    </xdr:from>
    <xdr:to>
      <xdr:col>1</xdr:col>
      <xdr:colOff>2115658</xdr:colOff>
      <xdr:row>4</xdr:row>
      <xdr:rowOff>43954</xdr:rowOff>
    </xdr:to>
    <xdr:sp macro="" textlink="">
      <xdr:nvSpPr>
        <xdr:cNvPr id="5" name="Retângulo: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4023CA-9B2D-469E-B3D5-32D27879266A}"/>
            </a:ext>
          </a:extLst>
        </xdr:cNvPr>
        <xdr:cNvSpPr/>
      </xdr:nvSpPr>
      <xdr:spPr>
        <a:xfrm>
          <a:off x="644071" y="501751"/>
          <a:ext cx="2115658" cy="26791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1</xdr:col>
      <xdr:colOff>7257</xdr:colOff>
      <xdr:row>1</xdr:row>
      <xdr:rowOff>0</xdr:rowOff>
    </xdr:from>
    <xdr:to>
      <xdr:col>1</xdr:col>
      <xdr:colOff>2120900</xdr:colOff>
      <xdr:row>2</xdr:row>
      <xdr:rowOff>85479</xdr:rowOff>
    </xdr:to>
    <xdr:sp macro="" textlink="">
      <xdr:nvSpPr>
        <xdr:cNvPr id="6" name="Retângulo: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814CF9-9DAD-4071-8B30-ED09E3D2B206}"/>
            </a:ext>
          </a:extLst>
        </xdr:cNvPr>
        <xdr:cNvSpPr/>
      </xdr:nvSpPr>
      <xdr:spPr>
        <a:xfrm>
          <a:off x="651328" y="181429"/>
          <a:ext cx="2113643" cy="26690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Operacional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6" name="Retângulo: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DE062F-8B83-443F-938B-4B7DD1E1D39E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7" name="Retângulo: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927F54-054E-4AC1-9421-12B700560BF2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6" name="Retângulo: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0B9761-E238-4017-B056-CDDA8191E1DB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7" name="Retângulo: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14B1AD-86F5-46E3-9B88-71B7D00067D7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6" name="Retângulo: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D5EB12-DE8E-4B30-8DC3-C761CAAAD32E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7" name="Retângulo: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DB7509-B3FF-46A0-A140-B3FE087F8010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8" name="Retângulo: Cantos Arredond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6BDB89-20D6-4290-B638-00496318F4A2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9" name="Retângulo: Canto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7FC17B-B5F9-48A7-A747-FC642A193025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2417E4-6E5D-4A75-80B2-9749186D843C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CC81C5-595E-475D-A746-C1A0BF043A4C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985</xdr:rowOff>
    </xdr:from>
    <xdr:to>
      <xdr:col>0</xdr:col>
      <xdr:colOff>2113643</xdr:colOff>
      <xdr:row>4</xdr:row>
      <xdr:rowOff>88776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6B91F3-9694-4813-A239-C0974D14EA20}"/>
            </a:ext>
          </a:extLst>
        </xdr:cNvPr>
        <xdr:cNvSpPr/>
      </xdr:nvSpPr>
      <xdr:spPr>
        <a:xfrm>
          <a:off x="0" y="551318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87791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8C7B1F-75C2-44B2-AB30-ADCD95C04098}"/>
            </a:ext>
          </a:extLst>
        </xdr:cNvPr>
        <xdr:cNvSpPr/>
      </xdr:nvSpPr>
      <xdr:spPr>
        <a:xfrm>
          <a:off x="1922" y="1834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985</xdr:rowOff>
    </xdr:from>
    <xdr:to>
      <xdr:col>0</xdr:col>
      <xdr:colOff>2113643</xdr:colOff>
      <xdr:row>4</xdr:row>
      <xdr:rowOff>88776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3EE27A-0390-40E6-8D23-C517757E3609}"/>
            </a:ext>
          </a:extLst>
        </xdr:cNvPr>
        <xdr:cNvSpPr/>
      </xdr:nvSpPr>
      <xdr:spPr>
        <a:xfrm>
          <a:off x="0" y="551318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87791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5DB3743-AF4E-43D2-8A00-10791DE1236A}"/>
            </a:ext>
          </a:extLst>
        </xdr:cNvPr>
        <xdr:cNvSpPr/>
      </xdr:nvSpPr>
      <xdr:spPr>
        <a:xfrm>
          <a:off x="1922" y="18344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183724</xdr:rowOff>
    </xdr:from>
    <xdr:to>
      <xdr:col>0</xdr:col>
      <xdr:colOff>2113643</xdr:colOff>
      <xdr:row>4</xdr:row>
      <xdr:rowOff>86660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DC4DEE-B750-4529-B3CF-F0F91372C02A}"/>
            </a:ext>
          </a:extLst>
        </xdr:cNvPr>
        <xdr:cNvSpPr/>
      </xdr:nvSpPr>
      <xdr:spPr>
        <a:xfrm>
          <a:off x="0" y="552024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87086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1DAE11-7168-41A3-847B-0D25183132D3}"/>
            </a:ext>
          </a:extLst>
        </xdr:cNvPr>
        <xdr:cNvSpPr/>
      </xdr:nvSpPr>
      <xdr:spPr>
        <a:xfrm>
          <a:off x="1922" y="18415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181110</xdr:rowOff>
    </xdr:from>
    <xdr:to>
      <xdr:col>0</xdr:col>
      <xdr:colOff>2113643</xdr:colOff>
      <xdr:row>4</xdr:row>
      <xdr:rowOff>78816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71755F-BE33-4903-B1B5-ED1C7623C08F}"/>
            </a:ext>
          </a:extLst>
        </xdr:cNvPr>
        <xdr:cNvSpPr/>
      </xdr:nvSpPr>
      <xdr:spPr>
        <a:xfrm>
          <a:off x="0" y="55463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84472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803AED-0417-4426-AE31-268E7E3961A1}"/>
            </a:ext>
          </a:extLst>
        </xdr:cNvPr>
        <xdr:cNvSpPr/>
      </xdr:nvSpPr>
      <xdr:spPr>
        <a:xfrm>
          <a:off x="1922" y="186765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181110</xdr:rowOff>
    </xdr:from>
    <xdr:to>
      <xdr:col>0</xdr:col>
      <xdr:colOff>2113643</xdr:colOff>
      <xdr:row>4</xdr:row>
      <xdr:rowOff>78816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398DAC-2681-428C-B204-B6D2F1F59582}"/>
            </a:ext>
          </a:extLst>
        </xdr:cNvPr>
        <xdr:cNvSpPr/>
      </xdr:nvSpPr>
      <xdr:spPr>
        <a:xfrm>
          <a:off x="0" y="55463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0</xdr:col>
      <xdr:colOff>2115565</xdr:colOff>
      <xdr:row>2</xdr:row>
      <xdr:rowOff>84472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5A714A3-7792-4C87-A7FB-966E214C1ED7}"/>
            </a:ext>
          </a:extLst>
        </xdr:cNvPr>
        <xdr:cNvSpPr/>
      </xdr:nvSpPr>
      <xdr:spPr>
        <a:xfrm>
          <a:off x="1922" y="186765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BPs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280035</xdr:colOff>
      <xdr:row>24</xdr:row>
      <xdr:rowOff>44450</xdr:rowOff>
    </xdr:from>
    <xdr:to>
      <xdr:col>21</xdr:col>
      <xdr:colOff>386715</xdr:colOff>
      <xdr:row>27</xdr:row>
      <xdr:rowOff>120650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8FDF104C-E322-47E9-AFA2-F13CB78E21D3}"/>
            </a:ext>
          </a:extLst>
        </xdr:cNvPr>
        <xdr:cNvSpPr txBox="1"/>
      </xdr:nvSpPr>
      <xdr:spPr>
        <a:xfrm>
          <a:off x="2070100" y="4464050"/>
          <a:ext cx="0" cy="6286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Os</a:t>
          </a:r>
          <a:r>
            <a:rPr lang="pt-BR" sz="1100" baseline="0"/>
            <a:t> valores históricos de DEC/FEC de Alagoas foram recalculados retroativamente, desde o 4T18</a:t>
          </a:r>
          <a:endParaRPr lang="pt-BR" sz="1100"/>
        </a:p>
      </xdr:txBody>
    </xdr:sp>
    <xdr:clientData/>
  </xdr:twoCellAnchor>
  <xdr:twoCellAnchor>
    <xdr:from>
      <xdr:col>1</xdr:col>
      <xdr:colOff>0</xdr:colOff>
      <xdr:row>2</xdr:row>
      <xdr:rowOff>138894</xdr:rowOff>
    </xdr:from>
    <xdr:to>
      <xdr:col>1</xdr:col>
      <xdr:colOff>2115658</xdr:colOff>
      <xdr:row>4</xdr:row>
      <xdr:rowOff>43954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759C6F-90E1-40D5-BFDA-73ACFA5AFDE8}"/>
            </a:ext>
          </a:extLst>
        </xdr:cNvPr>
        <xdr:cNvSpPr/>
      </xdr:nvSpPr>
      <xdr:spPr>
        <a:xfrm>
          <a:off x="644071" y="501751"/>
          <a:ext cx="2115658" cy="26791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1</xdr:col>
      <xdr:colOff>7257</xdr:colOff>
      <xdr:row>1</xdr:row>
      <xdr:rowOff>0</xdr:rowOff>
    </xdr:from>
    <xdr:to>
      <xdr:col>1</xdr:col>
      <xdr:colOff>2120900</xdr:colOff>
      <xdr:row>2</xdr:row>
      <xdr:rowOff>85479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6A87B2-4985-43DA-BE29-214D2B0EDFEE}"/>
            </a:ext>
          </a:extLst>
        </xdr:cNvPr>
        <xdr:cNvSpPr/>
      </xdr:nvSpPr>
      <xdr:spPr>
        <a:xfrm>
          <a:off x="651328" y="181429"/>
          <a:ext cx="2113643" cy="26690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Operacional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25400</xdr:rowOff>
    </xdr:from>
    <xdr:to>
      <xdr:col>3</xdr:col>
      <xdr:colOff>515924</xdr:colOff>
      <xdr:row>2</xdr:row>
      <xdr:rowOff>92198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F4C363C-EE7D-42E8-A083-68BD2BD1B7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5400"/>
          <a:ext cx="1798624" cy="435098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8</xdr:row>
      <xdr:rowOff>133350</xdr:rowOff>
    </xdr:from>
    <xdr:to>
      <xdr:col>6</xdr:col>
      <xdr:colOff>476250</xdr:colOff>
      <xdr:row>10</xdr:row>
      <xdr:rowOff>88900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95986C-1599-40FE-B86D-3A982C37E4F3}"/>
            </a:ext>
          </a:extLst>
        </xdr:cNvPr>
        <xdr:cNvSpPr/>
      </xdr:nvSpPr>
      <xdr:spPr>
        <a:xfrm>
          <a:off x="142875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Dívida Bruta</a:t>
          </a:r>
        </a:p>
      </xdr:txBody>
    </xdr:sp>
    <xdr:clientData/>
  </xdr:twoCellAnchor>
  <xdr:twoCellAnchor>
    <xdr:from>
      <xdr:col>3</xdr:col>
      <xdr:colOff>114300</xdr:colOff>
      <xdr:row>11</xdr:row>
      <xdr:rowOff>66675</xdr:rowOff>
    </xdr:from>
    <xdr:to>
      <xdr:col>6</xdr:col>
      <xdr:colOff>476250</xdr:colOff>
      <xdr:row>13</xdr:row>
      <xdr:rowOff>22225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9E8732C-0A52-4838-B4F6-D72BB29FC63A}"/>
            </a:ext>
          </a:extLst>
        </xdr:cNvPr>
        <xdr:cNvSpPr/>
      </xdr:nvSpPr>
      <xdr:spPr>
        <a:xfrm>
          <a:off x="1428750" y="2517775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Dívida Líquida</a:t>
          </a:r>
          <a:endParaRPr lang="pt-BR" sz="1100" b="1"/>
        </a:p>
      </xdr:txBody>
    </xdr:sp>
    <xdr:clientData/>
  </xdr:twoCellAnchor>
  <xdr:twoCellAnchor>
    <xdr:from>
      <xdr:col>3</xdr:col>
      <xdr:colOff>114300</xdr:colOff>
      <xdr:row>14</xdr:row>
      <xdr:rowOff>0</xdr:rowOff>
    </xdr:from>
    <xdr:to>
      <xdr:col>6</xdr:col>
      <xdr:colOff>476250</xdr:colOff>
      <xdr:row>15</xdr:row>
      <xdr:rowOff>139700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FC90A9-6996-43AC-8DF3-EFC10BFCB00C}"/>
            </a:ext>
          </a:extLst>
        </xdr:cNvPr>
        <xdr:cNvSpPr/>
      </xdr:nvSpPr>
      <xdr:spPr>
        <a:xfrm>
          <a:off x="1428750" y="300355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Dívida Detalhada</a:t>
          </a:r>
          <a:endParaRPr lang="pt-BR" sz="1100" b="1"/>
        </a:p>
      </xdr:txBody>
    </xdr:sp>
    <xdr:clientData/>
  </xdr:twoCellAnchor>
  <xdr:twoCellAnchor>
    <xdr:from>
      <xdr:col>8</xdr:col>
      <xdr:colOff>69850</xdr:colOff>
      <xdr:row>8</xdr:row>
      <xdr:rowOff>133350</xdr:rowOff>
    </xdr:from>
    <xdr:to>
      <xdr:col>11</xdr:col>
      <xdr:colOff>431800</xdr:colOff>
      <xdr:row>10</xdr:row>
      <xdr:rowOff>88900</xdr:rowOff>
    </xdr:to>
    <xdr:sp macro="" textlink="">
      <xdr:nvSpPr>
        <xdr:cNvPr id="8" name="Retângulo: Cantos Arredondado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2A1AA9-BF8F-4883-8847-34355FF2F6C9}"/>
            </a:ext>
          </a:extLst>
        </xdr:cNvPr>
        <xdr:cNvSpPr/>
      </xdr:nvSpPr>
      <xdr:spPr>
        <a:xfrm>
          <a:off x="396240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Investimentos</a:t>
          </a:r>
        </a:p>
      </xdr:txBody>
    </xdr:sp>
    <xdr:clientData/>
  </xdr:twoCellAnchor>
  <xdr:twoCellAnchor>
    <xdr:from>
      <xdr:col>5</xdr:col>
      <xdr:colOff>22411</xdr:colOff>
      <xdr:row>0</xdr:row>
      <xdr:rowOff>171823</xdr:rowOff>
    </xdr:from>
    <xdr:to>
      <xdr:col>9</xdr:col>
      <xdr:colOff>156349</xdr:colOff>
      <xdr:row>2</xdr:row>
      <xdr:rowOff>64194</xdr:rowOff>
    </xdr:to>
    <xdr:sp macro="" textlink="">
      <xdr:nvSpPr>
        <xdr:cNvPr id="17" name="Retângulo: Cantos Arredondados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1608C0F-3CEE-40DC-BB27-80182ECF4D4F}"/>
            </a:ext>
          </a:extLst>
        </xdr:cNvPr>
        <xdr:cNvSpPr/>
      </xdr:nvSpPr>
      <xdr:spPr>
        <a:xfrm>
          <a:off x="2556061" y="171823"/>
          <a:ext cx="2102438" cy="260671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313765</xdr:colOff>
      <xdr:row>2</xdr:row>
      <xdr:rowOff>121344</xdr:rowOff>
    </xdr:from>
    <xdr:to>
      <xdr:col>4</xdr:col>
      <xdr:colOff>283349</xdr:colOff>
      <xdr:row>4</xdr:row>
      <xdr:rowOff>19050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7522DC-CC4F-4013-8205-848564BBF3AB}"/>
            </a:ext>
          </a:extLst>
        </xdr:cNvPr>
        <xdr:cNvSpPr/>
      </xdr:nvSpPr>
      <xdr:spPr>
        <a:xfrm>
          <a:off x="1411941" y="494873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2</xdr:col>
      <xdr:colOff>315687</xdr:colOff>
      <xdr:row>0</xdr:row>
      <xdr:rowOff>126999</xdr:rowOff>
    </xdr:from>
    <xdr:to>
      <xdr:col>4</xdr:col>
      <xdr:colOff>285271</xdr:colOff>
      <xdr:row>2</xdr:row>
      <xdr:rowOff>24706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84E6AB-B7BB-4D30-9FB9-B78218DA297C}"/>
            </a:ext>
          </a:extLst>
        </xdr:cNvPr>
        <xdr:cNvSpPr/>
      </xdr:nvSpPr>
      <xdr:spPr>
        <a:xfrm>
          <a:off x="1413863" y="12699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Dívida e CAPEX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181110</xdr:rowOff>
    </xdr:from>
    <xdr:to>
      <xdr:col>4</xdr:col>
      <xdr:colOff>305760</xdr:colOff>
      <xdr:row>4</xdr:row>
      <xdr:rowOff>78816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FEA4F1-D6B8-4EBB-B90E-60B4C4A7A18A}"/>
            </a:ext>
          </a:extLst>
        </xdr:cNvPr>
        <xdr:cNvSpPr/>
      </xdr:nvSpPr>
      <xdr:spPr>
        <a:xfrm>
          <a:off x="1464235" y="55463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3</xdr:col>
      <xdr:colOff>1922</xdr:colOff>
      <xdr:row>1</xdr:row>
      <xdr:rowOff>0</xdr:rowOff>
    </xdr:from>
    <xdr:to>
      <xdr:col>4</xdr:col>
      <xdr:colOff>307682</xdr:colOff>
      <xdr:row>2</xdr:row>
      <xdr:rowOff>84472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086907-F3B7-4061-9F88-8665380C7348}"/>
            </a:ext>
          </a:extLst>
        </xdr:cNvPr>
        <xdr:cNvSpPr/>
      </xdr:nvSpPr>
      <xdr:spPr>
        <a:xfrm>
          <a:off x="1466157" y="186765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Dívida e CAPEX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181110</xdr:rowOff>
    </xdr:from>
    <xdr:to>
      <xdr:col>3</xdr:col>
      <xdr:colOff>1090172</xdr:colOff>
      <xdr:row>4</xdr:row>
      <xdr:rowOff>78816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529D16-FADE-4763-AFD7-FC65F6689BF6}"/>
            </a:ext>
          </a:extLst>
        </xdr:cNvPr>
        <xdr:cNvSpPr/>
      </xdr:nvSpPr>
      <xdr:spPr>
        <a:xfrm>
          <a:off x="1284941" y="554639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2</xdr:col>
      <xdr:colOff>1922</xdr:colOff>
      <xdr:row>1</xdr:row>
      <xdr:rowOff>0</xdr:rowOff>
    </xdr:from>
    <xdr:to>
      <xdr:col>3</xdr:col>
      <xdr:colOff>1092094</xdr:colOff>
      <xdr:row>2</xdr:row>
      <xdr:rowOff>84472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4173E9-CE91-4CCA-95CA-7B4548065153}"/>
            </a:ext>
          </a:extLst>
        </xdr:cNvPr>
        <xdr:cNvSpPr/>
      </xdr:nvSpPr>
      <xdr:spPr>
        <a:xfrm>
          <a:off x="1286863" y="186765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Dívida e CAPEX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198438</xdr:colOff>
      <xdr:row>48</xdr:row>
      <xdr:rowOff>166688</xdr:rowOff>
    </xdr:from>
    <xdr:to>
      <xdr:col>33</xdr:col>
      <xdr:colOff>547688</xdr:colOff>
      <xdr:row>51</xdr:row>
      <xdr:rowOff>119062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24E9FD3A-43C1-49AA-B8DD-D30F03EAA9E2}"/>
            </a:ext>
          </a:extLst>
        </xdr:cNvPr>
        <xdr:cNvSpPr/>
      </xdr:nvSpPr>
      <xdr:spPr>
        <a:xfrm>
          <a:off x="15032038" y="8637588"/>
          <a:ext cx="2273300" cy="50482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A alienação da Geramar</a:t>
          </a:r>
          <a:r>
            <a:rPr lang="en-US" sz="1100" b="1" baseline="0"/>
            <a:t> foi concluída em maio de 2022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3</xdr:row>
      <xdr:rowOff>2749</xdr:rowOff>
    </xdr:from>
    <xdr:to>
      <xdr:col>1</xdr:col>
      <xdr:colOff>1470705</xdr:colOff>
      <xdr:row>4</xdr:row>
      <xdr:rowOff>91423</xdr:rowOff>
    </xdr:to>
    <xdr:sp macro="" textlink="">
      <xdr:nvSpPr>
        <xdr:cNvPr id="5" name="Retângulo: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EF66F9-08B1-410F-A211-61965D500E91}"/>
            </a:ext>
          </a:extLst>
        </xdr:cNvPr>
        <xdr:cNvSpPr/>
      </xdr:nvSpPr>
      <xdr:spPr>
        <a:xfrm>
          <a:off x="0" y="550437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1922</xdr:colOff>
      <xdr:row>1</xdr:row>
      <xdr:rowOff>0</xdr:rowOff>
    </xdr:from>
    <xdr:to>
      <xdr:col>1</xdr:col>
      <xdr:colOff>1472627</xdr:colOff>
      <xdr:row>2</xdr:row>
      <xdr:rowOff>88674</xdr:rowOff>
    </xdr:to>
    <xdr:sp macro="" textlink="">
      <xdr:nvSpPr>
        <xdr:cNvPr id="6" name="Retângulo: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A16EF72-12FF-4845-AC04-29A802B7AFBF}"/>
            </a:ext>
          </a:extLst>
        </xdr:cNvPr>
        <xdr:cNvSpPr/>
      </xdr:nvSpPr>
      <xdr:spPr>
        <a:xfrm>
          <a:off x="1922" y="182563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Dívida e CAPEX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2102438</xdr:colOff>
      <xdr:row>2</xdr:row>
      <xdr:rowOff>73907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1E6390-1294-40CF-8EBF-DDB1D7494135}"/>
            </a:ext>
          </a:extLst>
        </xdr:cNvPr>
        <xdr:cNvSpPr/>
      </xdr:nvSpPr>
      <xdr:spPr>
        <a:xfrm>
          <a:off x="612588" y="186765"/>
          <a:ext cx="2102438" cy="260671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2102438</xdr:colOff>
      <xdr:row>2</xdr:row>
      <xdr:rowOff>73907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CE8610-AE31-4DF0-9101-FA6398A71C2C}"/>
            </a:ext>
          </a:extLst>
        </xdr:cNvPr>
        <xdr:cNvSpPr/>
      </xdr:nvSpPr>
      <xdr:spPr>
        <a:xfrm>
          <a:off x="612588" y="186765"/>
          <a:ext cx="2102438" cy="260671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451438</xdr:colOff>
      <xdr:row>2</xdr:row>
      <xdr:rowOff>79243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F510E-011D-4774-88E4-431FEAF2A57B}"/>
            </a:ext>
          </a:extLst>
        </xdr:cNvPr>
        <xdr:cNvSpPr/>
      </xdr:nvSpPr>
      <xdr:spPr>
        <a:xfrm>
          <a:off x="607786" y="181429"/>
          <a:ext cx="2102438" cy="260671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25400</xdr:rowOff>
    </xdr:from>
    <xdr:to>
      <xdr:col>3</xdr:col>
      <xdr:colOff>515924</xdr:colOff>
      <xdr:row>2</xdr:row>
      <xdr:rowOff>92198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9CA85C-16AB-4D9B-ABAF-1173521BED7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5400"/>
          <a:ext cx="1798624" cy="435098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8</xdr:row>
      <xdr:rowOff>133350</xdr:rowOff>
    </xdr:from>
    <xdr:to>
      <xdr:col>6</xdr:col>
      <xdr:colOff>476250</xdr:colOff>
      <xdr:row>10</xdr:row>
      <xdr:rowOff>88900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B827B7-33E2-4E96-ACEA-8A418514E4E0}"/>
            </a:ext>
          </a:extLst>
        </xdr:cNvPr>
        <xdr:cNvSpPr/>
      </xdr:nvSpPr>
      <xdr:spPr>
        <a:xfrm>
          <a:off x="142875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Dados Regulatórios - D</a:t>
          </a:r>
        </a:p>
      </xdr:txBody>
    </xdr:sp>
    <xdr:clientData/>
  </xdr:twoCellAnchor>
  <xdr:twoCellAnchor>
    <xdr:from>
      <xdr:col>8</xdr:col>
      <xdr:colOff>69850</xdr:colOff>
      <xdr:row>8</xdr:row>
      <xdr:rowOff>133350</xdr:rowOff>
    </xdr:from>
    <xdr:to>
      <xdr:col>11</xdr:col>
      <xdr:colOff>431800</xdr:colOff>
      <xdr:row>10</xdr:row>
      <xdr:rowOff>88900</xdr:rowOff>
    </xdr:to>
    <xdr:sp macro="" textlink="">
      <xdr:nvSpPr>
        <xdr:cNvPr id="6" name="Retângulo: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79948BF-CC13-4F7B-8018-B2CD8A394B03}"/>
            </a:ext>
          </a:extLst>
        </xdr:cNvPr>
        <xdr:cNvSpPr/>
      </xdr:nvSpPr>
      <xdr:spPr>
        <a:xfrm>
          <a:off x="3962400" y="20320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Dados Regulatórios - T</a:t>
          </a:r>
          <a:endParaRPr lang="pt-BR" sz="1100" b="1"/>
        </a:p>
      </xdr:txBody>
    </xdr:sp>
    <xdr:clientData/>
  </xdr:twoCellAnchor>
  <xdr:twoCellAnchor>
    <xdr:from>
      <xdr:col>5</xdr:col>
      <xdr:colOff>22411</xdr:colOff>
      <xdr:row>0</xdr:row>
      <xdr:rowOff>171823</xdr:rowOff>
    </xdr:from>
    <xdr:to>
      <xdr:col>9</xdr:col>
      <xdr:colOff>156349</xdr:colOff>
      <xdr:row>2</xdr:row>
      <xdr:rowOff>64194</xdr:rowOff>
    </xdr:to>
    <xdr:sp macro="" textlink="">
      <xdr:nvSpPr>
        <xdr:cNvPr id="7" name="Retângulo: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604ED8-1DE1-412C-9C34-567A0E8AF762}"/>
            </a:ext>
          </a:extLst>
        </xdr:cNvPr>
        <xdr:cNvSpPr/>
      </xdr:nvSpPr>
      <xdr:spPr>
        <a:xfrm>
          <a:off x="2556061" y="171823"/>
          <a:ext cx="2102438" cy="260671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3</xdr:col>
      <xdr:colOff>107950</xdr:colOff>
      <xdr:row>11</xdr:row>
      <xdr:rowOff>0</xdr:rowOff>
    </xdr:from>
    <xdr:to>
      <xdr:col>6</xdr:col>
      <xdr:colOff>469900</xdr:colOff>
      <xdr:row>12</xdr:row>
      <xdr:rowOff>139700</xdr:rowOff>
    </xdr:to>
    <xdr:sp macro="" textlink="">
      <xdr:nvSpPr>
        <xdr:cNvPr id="4" name="Retângulo: Cantos Arredondados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4592CFE-4C4F-4ADE-82CF-C0F66E2BA455}"/>
            </a:ext>
          </a:extLst>
        </xdr:cNvPr>
        <xdr:cNvSpPr/>
      </xdr:nvSpPr>
      <xdr:spPr>
        <a:xfrm>
          <a:off x="1422400" y="2451100"/>
          <a:ext cx="2190750" cy="32385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Dados Concessões - D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1882619</xdr:colOff>
      <xdr:row>1</xdr:row>
      <xdr:rowOff>1815</xdr:rowOff>
    </xdr:from>
    <xdr:to>
      <xdr:col>4</xdr:col>
      <xdr:colOff>472727</xdr:colOff>
      <xdr:row>2</xdr:row>
      <xdr:rowOff>115455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B528AE-0893-41A0-8478-750FEE543915}"/>
            </a:ext>
          </a:extLst>
        </xdr:cNvPr>
        <xdr:cNvSpPr/>
      </xdr:nvSpPr>
      <xdr:spPr>
        <a:xfrm>
          <a:off x="2525090" y="151227"/>
          <a:ext cx="2123696" cy="263052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298827</xdr:colOff>
      <xdr:row>1</xdr:row>
      <xdr:rowOff>0</xdr:rowOff>
    </xdr:from>
    <xdr:to>
      <xdr:col>1</xdr:col>
      <xdr:colOff>1771948</xdr:colOff>
      <xdr:row>2</xdr:row>
      <xdr:rowOff>113640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6AB03D-DF02-476D-AD6E-2FED4730237E}"/>
            </a:ext>
          </a:extLst>
        </xdr:cNvPr>
        <xdr:cNvSpPr/>
      </xdr:nvSpPr>
      <xdr:spPr>
        <a:xfrm>
          <a:off x="298827" y="149412"/>
          <a:ext cx="2115592" cy="263052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Dados Reg.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627529</xdr:colOff>
      <xdr:row>2</xdr:row>
      <xdr:rowOff>66322</xdr:rowOff>
    </xdr:from>
    <xdr:to>
      <xdr:col>2</xdr:col>
      <xdr:colOff>509481</xdr:colOff>
      <xdr:row>3</xdr:row>
      <xdr:rowOff>147474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0A11C9-2A5A-439D-AFB2-D504A9A89318}"/>
            </a:ext>
          </a:extLst>
        </xdr:cNvPr>
        <xdr:cNvSpPr/>
      </xdr:nvSpPr>
      <xdr:spPr>
        <a:xfrm>
          <a:off x="627529" y="439851"/>
          <a:ext cx="2115658" cy="26791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0</xdr:col>
      <xdr:colOff>634786</xdr:colOff>
      <xdr:row>0</xdr:row>
      <xdr:rowOff>119529</xdr:rowOff>
    </xdr:from>
    <xdr:to>
      <xdr:col>2</xdr:col>
      <xdr:colOff>514723</xdr:colOff>
      <xdr:row>2</xdr:row>
      <xdr:rowOff>12907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9C94A1-6EDB-4931-B3A5-26DA105436B3}"/>
            </a:ext>
          </a:extLst>
        </xdr:cNvPr>
        <xdr:cNvSpPr/>
      </xdr:nvSpPr>
      <xdr:spPr>
        <a:xfrm>
          <a:off x="634786" y="119529"/>
          <a:ext cx="2113643" cy="26690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Operacional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2230664</xdr:colOff>
      <xdr:row>1</xdr:row>
      <xdr:rowOff>27215</xdr:rowOff>
    </xdr:from>
    <xdr:to>
      <xdr:col>5</xdr:col>
      <xdr:colOff>464457</xdr:colOff>
      <xdr:row>2</xdr:row>
      <xdr:rowOff>146051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2F16FE-B8DE-4FF6-95E5-89F4209FB9D5}"/>
            </a:ext>
          </a:extLst>
        </xdr:cNvPr>
        <xdr:cNvSpPr/>
      </xdr:nvSpPr>
      <xdr:spPr>
        <a:xfrm>
          <a:off x="2973614" y="179615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2</xdr:col>
      <xdr:colOff>6350</xdr:colOff>
      <xdr:row>1</xdr:row>
      <xdr:rowOff>25400</xdr:rowOff>
    </xdr:from>
    <xdr:to>
      <xdr:col>2</xdr:col>
      <xdr:colOff>2119993</xdr:colOff>
      <xdr:row>2</xdr:row>
      <xdr:rowOff>144236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3F4A6E-EE49-468C-9818-FF0E63C765B2}"/>
            </a:ext>
          </a:extLst>
        </xdr:cNvPr>
        <xdr:cNvSpPr/>
      </xdr:nvSpPr>
      <xdr:spPr>
        <a:xfrm>
          <a:off x="749300" y="17780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Dados Reg.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252079</xdr:colOff>
      <xdr:row>1</xdr:row>
      <xdr:rowOff>1815</xdr:rowOff>
    </xdr:from>
    <xdr:to>
      <xdr:col>5</xdr:col>
      <xdr:colOff>348663</xdr:colOff>
      <xdr:row>2</xdr:row>
      <xdr:rowOff>86287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8AA112-7472-4443-8887-0D4A133B7F3A}"/>
            </a:ext>
          </a:extLst>
        </xdr:cNvPr>
        <xdr:cNvSpPr/>
      </xdr:nvSpPr>
      <xdr:spPr>
        <a:xfrm>
          <a:off x="3509255" y="188580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141408</xdr:colOff>
      <xdr:row>2</xdr:row>
      <xdr:rowOff>84472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5F5C69-770B-491A-986F-30715746B73B}"/>
            </a:ext>
          </a:extLst>
        </xdr:cNvPr>
        <xdr:cNvSpPr/>
      </xdr:nvSpPr>
      <xdr:spPr>
        <a:xfrm>
          <a:off x="1284941" y="186765"/>
          <a:ext cx="2113643" cy="271236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Dados Reg.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157037</xdr:rowOff>
    </xdr:from>
    <xdr:to>
      <xdr:col>4</xdr:col>
      <xdr:colOff>174373</xdr:colOff>
      <xdr:row>4</xdr:row>
      <xdr:rowOff>98382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EE8C3E-4413-4904-A569-6FACF23C9C7E}"/>
            </a:ext>
          </a:extLst>
        </xdr:cNvPr>
        <xdr:cNvSpPr/>
      </xdr:nvSpPr>
      <xdr:spPr>
        <a:xfrm>
          <a:off x="816429" y="483608"/>
          <a:ext cx="2115658" cy="26791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2</xdr:col>
      <xdr:colOff>7257</xdr:colOff>
      <xdr:row>1</xdr:row>
      <xdr:rowOff>0</xdr:rowOff>
    </xdr:from>
    <xdr:to>
      <xdr:col>4</xdr:col>
      <xdr:colOff>179615</xdr:colOff>
      <xdr:row>2</xdr:row>
      <xdr:rowOff>103622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B74238-41C7-4C7B-9113-5C3B9D47B0A1}"/>
            </a:ext>
          </a:extLst>
        </xdr:cNvPr>
        <xdr:cNvSpPr/>
      </xdr:nvSpPr>
      <xdr:spPr>
        <a:xfrm>
          <a:off x="823686" y="163286"/>
          <a:ext cx="2113643" cy="26690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Operacional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2822</xdr:rowOff>
    </xdr:from>
    <xdr:to>
      <xdr:col>2</xdr:col>
      <xdr:colOff>2115658</xdr:colOff>
      <xdr:row>4</xdr:row>
      <xdr:rowOff>111989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9AA1BD-A8F9-4315-8C5B-3ABD8D91112D}"/>
            </a:ext>
          </a:extLst>
        </xdr:cNvPr>
        <xdr:cNvSpPr/>
      </xdr:nvSpPr>
      <xdr:spPr>
        <a:xfrm>
          <a:off x="812800" y="485422"/>
          <a:ext cx="2115658" cy="26791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ao Menu</a:t>
          </a:r>
        </a:p>
      </xdr:txBody>
    </xdr:sp>
    <xdr:clientData/>
  </xdr:twoCellAnchor>
  <xdr:twoCellAnchor>
    <xdr:from>
      <xdr:col>2</xdr:col>
      <xdr:colOff>7257</xdr:colOff>
      <xdr:row>1</xdr:row>
      <xdr:rowOff>0</xdr:rowOff>
    </xdr:from>
    <xdr:to>
      <xdr:col>2</xdr:col>
      <xdr:colOff>2120900</xdr:colOff>
      <xdr:row>2</xdr:row>
      <xdr:rowOff>108157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106A1D-140F-4E8A-AF2E-E3A9F1CB70B6}"/>
            </a:ext>
          </a:extLst>
        </xdr:cNvPr>
        <xdr:cNvSpPr/>
      </xdr:nvSpPr>
      <xdr:spPr>
        <a:xfrm>
          <a:off x="820057" y="165100"/>
          <a:ext cx="2113643" cy="266907"/>
        </a:xfrm>
        <a:prstGeom prst="roundRect">
          <a:avLst>
            <a:gd name="adj" fmla="val 3541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Retornar Operacional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equatorialenergia-my.sharepoint.com/Users/u1006/Desktop/Divulga&#231;&#227;o%204T19/Regula&#231;&#227;o/CEAL/SPARTA%20Novo%20Contrato%20RTE%202020-04-22-BD20%20LA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upoequatorialenergia-my.sharepoint.com/personal/cristiane_lima_equatorialenergia_com_br/Documents/RI/Divulga&#231;&#227;o/2023/3T23/Base%20de%20Dados/Controladoria/Release%203T23%20v7.xlsb" TargetMode="External"/><Relationship Id="rId1" Type="http://schemas.openxmlformats.org/officeDocument/2006/relationships/externalLinkPath" Target="https://grupoequatorialenergia-my.sharepoint.com/personal/cristiane_lima_equatorialenergia_com_br/Documents/RI/Divulga&#231;&#227;o/2023/3T23/Base%20de%20Dados/Controladoria/Release%203T23%20v7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upoequatorialenergia-my.sharepoint.com/personal/cristiane_lima_equatorialenergia_com_br/Documents/RI/Divulga&#231;&#227;o/2023/3T23/Base%20de%20Dados/Controladoria/Release%203T23%20v8.xlsb" TargetMode="External"/><Relationship Id="rId1" Type="http://schemas.openxmlformats.org/officeDocument/2006/relationships/externalLinkPath" Target="https://grupoequatorialenergia-my.sharepoint.com/personal/cristiane_lima_equatorialenergia_com_br/Documents/RI/Divulga&#231;&#227;o/2023/3T23/Base%20de%20Dados/Controladoria/Release%203T23%20v8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SPARTA ADMIN"/>
      <sheetName val="Entrada"/>
      <sheetName val="Resultado"/>
      <sheetName val="BD"/>
      <sheetName val="NT Revisao"/>
      <sheetName val="Apresentação"/>
      <sheetName val="Mercado"/>
      <sheetName val="Mercado_Receita"/>
      <sheetName val="Energia"/>
      <sheetName val="AP x Final"/>
      <sheetName val="Votos e NTs"/>
      <sheetName val="Neutralidade"/>
      <sheetName val="Encargos"/>
      <sheetName val="Fator Q"/>
      <sheetName val="Financeiros"/>
      <sheetName val="VPB1"/>
      <sheetName val="VPB e Fator X"/>
      <sheetName val="Recálculo PB 2019"/>
      <sheetName val="Avaliação Parcela B Nova"/>
      <sheetName val="Avaliação Parcela B Nova (2)"/>
      <sheetName val="Avaliação Parcela B Nova (3)"/>
      <sheetName val="Voto Rev"/>
      <sheetName val="UDEROR"/>
      <sheetName val="Avaliação Parcela B"/>
      <sheetName val="RB e Conexão"/>
      <sheetName val="CUSD"/>
      <sheetName val="CVA"/>
      <sheetName val="Financeiro RTE"/>
      <sheetName val="BD-NET"/>
      <sheetName val="Suprimento"/>
      <sheetName val="Indexador"/>
      <sheetName val="Índices"/>
      <sheetName val="Voto"/>
      <sheetName val="Aj.Subsid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4">
          <cell r="F44">
            <v>1.3698676273133967E-2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Macroind."/>
      <sheetName val="Desempenho Fin"/>
      <sheetName val="Mercado"/>
      <sheetName val="Nota_Desempenho op."/>
      <sheetName val="Energia Contratada"/>
      <sheetName val="Perdas"/>
      <sheetName val="PDD_ROB_IAR"/>
      <sheetName val="DEC_FEC"/>
      <sheetName val="ITR"/>
      <sheetName val="DRE"/>
      <sheetName val="NR_2023"/>
      <sheetName val="NR_2022"/>
      <sheetName val="NR_Total"/>
      <sheetName val="Receita Distribuição"/>
      <sheetName val="Receita Consolidada"/>
      <sheetName val="Notas_Receita"/>
      <sheetName val="Custo Distribuição"/>
      <sheetName val="Custo Consolidado"/>
      <sheetName val="Notas_Custos"/>
      <sheetName val="EBITDA Distribuição"/>
      <sheetName val="EBITDA Consolidado"/>
      <sheetName val="Notas_EBITDA"/>
      <sheetName val="EBITDA Reg."/>
      <sheetName val="Lucro Distribuição"/>
      <sheetName val="Lucro Consolidado"/>
      <sheetName val="Resultado Financeiro"/>
      <sheetName val="Restulado Fin. Cons."/>
      <sheetName val="Notas_Financeiro"/>
      <sheetName val="Dívida"/>
      <sheetName val="Lucro Consolidado Prop."/>
      <sheetName val="Custos Segmentos"/>
      <sheetName val="Receita Segmento"/>
      <sheetName val="Investimentos"/>
      <sheetName val="Investimentos Distribuição"/>
      <sheetName val="DRE_EQTT_Consolid."/>
      <sheetName val="DRE_Intesa"/>
      <sheetName val="Desemp. Fin. Intesa"/>
      <sheetName val="DRE_Transmissão"/>
      <sheetName val="Desemp. Fin. Transm."/>
      <sheetName val="Desemp. Fin. Consolid."/>
      <sheetName val="Transm_Intesa_Reg."/>
      <sheetName val="Ativos e Passivos Reg."/>
      <sheetName val="Sistema Isolado"/>
      <sheetName val="Impostos"/>
      <sheetName val="Notas_Impostos"/>
      <sheetName val="Ativo"/>
      <sheetName val="Passivo"/>
      <sheetName val="NR_MA"/>
      <sheetName val="NR_PA"/>
      <sheetName val="NR_PI"/>
      <sheetName val="NR_AL"/>
      <sheetName val="NR_RS"/>
      <sheetName val="NR_AP"/>
      <sheetName val="NR_GO"/>
      <sheetName val="NR_HOLDING"/>
      <sheetName val="MA"/>
      <sheetName val="PA"/>
      <sheetName val="PI"/>
      <sheetName val="AL"/>
      <sheetName val="Resultado Financeiro ITR"/>
      <sheetName val="RS"/>
      <sheetName val="AP"/>
      <sheetName val="GO"/>
      <sheetName val="CSA"/>
      <sheetName val="EQTT"/>
      <sheetName val="Holding"/>
      <sheetName val="Graf. PMSO"/>
      <sheetName val="Analise PMSO Rep."/>
      <sheetName val="Analise PMSO Ajust."/>
    </sheetNames>
    <sheetDataSet>
      <sheetData sheetId="0"/>
      <sheetData sheetId="1">
        <row r="5">
          <cell r="D5">
            <v>6880.277</v>
          </cell>
        </row>
      </sheetData>
      <sheetData sheetId="2"/>
      <sheetData sheetId="3"/>
      <sheetData sheetId="4"/>
      <sheetData sheetId="5">
        <row r="7">
          <cell r="G7">
            <v>2375802.0231410014</v>
          </cell>
        </row>
      </sheetData>
      <sheetData sheetId="6"/>
      <sheetData sheetId="7"/>
      <sheetData sheetId="8">
        <row r="8">
          <cell r="H8">
            <v>15.45</v>
          </cell>
        </row>
      </sheetData>
      <sheetData sheetId="9">
        <row r="66">
          <cell r="HO66">
            <v>-15420</v>
          </cell>
        </row>
      </sheetData>
      <sheetData sheetId="10">
        <row r="6">
          <cell r="J6">
            <v>1538121.929</v>
          </cell>
        </row>
      </sheetData>
      <sheetData sheetId="11"/>
      <sheetData sheetId="12"/>
      <sheetData sheetId="13"/>
      <sheetData sheetId="14">
        <row r="5">
          <cell r="E5">
            <v>1361.9749022799995</v>
          </cell>
        </row>
      </sheetData>
      <sheetData sheetId="15"/>
      <sheetData sheetId="16"/>
      <sheetData sheetId="17">
        <row r="27">
          <cell r="E27">
            <v>164.60691398</v>
          </cell>
          <cell r="F27">
            <v>169.17747648000002</v>
          </cell>
          <cell r="G27">
            <v>86.66526236</v>
          </cell>
          <cell r="H27">
            <v>69.257868919999979</v>
          </cell>
          <cell r="I27">
            <v>145.26245301000003</v>
          </cell>
          <cell r="J27">
            <v>32.433372029999994</v>
          </cell>
          <cell r="K27">
            <v>286.74285362000012</v>
          </cell>
        </row>
      </sheetData>
      <sheetData sheetId="18">
        <row r="5">
          <cell r="F5">
            <v>211.8206907</v>
          </cell>
        </row>
        <row r="24">
          <cell r="F24">
            <v>1102.2375477000001</v>
          </cell>
        </row>
      </sheetData>
      <sheetData sheetId="19"/>
      <sheetData sheetId="20">
        <row r="17">
          <cell r="E17">
            <v>368.06375334070782</v>
          </cell>
          <cell r="G17">
            <v>185.46361720000016</v>
          </cell>
          <cell r="H17">
            <v>166.27925786000009</v>
          </cell>
          <cell r="I17">
            <v>110.07382515000008</v>
          </cell>
          <cell r="J17">
            <v>78.294027050000011</v>
          </cell>
          <cell r="K17">
            <v>316.4933306528751</v>
          </cell>
        </row>
      </sheetData>
      <sheetData sheetId="21">
        <row r="32">
          <cell r="E32">
            <v>1900.8091278373438</v>
          </cell>
          <cell r="F32">
            <v>2521.9054314208506</v>
          </cell>
        </row>
      </sheetData>
      <sheetData sheetId="22"/>
      <sheetData sheetId="23"/>
      <sheetData sheetId="24">
        <row r="5">
          <cell r="E5">
            <v>202.63344400000008</v>
          </cell>
        </row>
        <row r="11">
          <cell r="I11">
            <v>-98.287772769999904</v>
          </cell>
          <cell r="J11">
            <v>7.334491000000015</v>
          </cell>
          <cell r="K11">
            <v>-134.06714460712496</v>
          </cell>
        </row>
      </sheetData>
      <sheetData sheetId="25">
        <row r="67">
          <cell r="F67">
            <v>809.39184515288457</v>
          </cell>
        </row>
      </sheetData>
      <sheetData sheetId="26">
        <row r="22">
          <cell r="E22">
            <v>-24.288026069999994</v>
          </cell>
          <cell r="I22">
            <v>-175.17937571000004</v>
          </cell>
          <cell r="J22">
            <v>-65.834861389999986</v>
          </cell>
          <cell r="K22">
            <v>-327.86506484000006</v>
          </cell>
        </row>
      </sheetData>
      <sheetData sheetId="27"/>
      <sheetData sheetId="28"/>
      <sheetData sheetId="29">
        <row r="4">
          <cell r="T4">
            <v>2669063</v>
          </cell>
        </row>
      </sheetData>
      <sheetData sheetId="30"/>
      <sheetData sheetId="31"/>
      <sheetData sheetId="32"/>
      <sheetData sheetId="33">
        <row r="7">
          <cell r="AD7">
            <v>175.74303670199998</v>
          </cell>
        </row>
      </sheetData>
      <sheetData sheetId="34"/>
      <sheetData sheetId="35"/>
      <sheetData sheetId="36">
        <row r="7">
          <cell r="I7">
            <v>31447.870320000002</v>
          </cell>
        </row>
      </sheetData>
      <sheetData sheetId="37"/>
      <sheetData sheetId="38">
        <row r="7">
          <cell r="I7">
            <v>342075.48433999997</v>
          </cell>
        </row>
      </sheetData>
      <sheetData sheetId="39"/>
      <sheetData sheetId="40"/>
      <sheetData sheetId="41"/>
      <sheetData sheetId="42">
        <row r="5">
          <cell r="D5">
            <v>3932.5740999999998</v>
          </cell>
        </row>
      </sheetData>
      <sheetData sheetId="43">
        <row r="8">
          <cell r="E8">
            <v>120.89267380000003</v>
          </cell>
        </row>
      </sheetData>
      <sheetData sheetId="44">
        <row r="6">
          <cell r="E6">
            <v>240.70943700000004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Macroind."/>
      <sheetName val="Desempenho Fin"/>
      <sheetName val="Mercado"/>
      <sheetName val="Nota_Desempenho op."/>
      <sheetName val="Energia Contratada"/>
      <sheetName val="Perdas"/>
      <sheetName val="PDD_ROB_IAR"/>
      <sheetName val="DEC_FEC"/>
      <sheetName val="ITR"/>
      <sheetName val="DRE"/>
      <sheetName val="NR_2023"/>
      <sheetName val="NR_2022"/>
      <sheetName val="NR_Total"/>
      <sheetName val="Receita Distribuição"/>
      <sheetName val="Receita Consolidada"/>
      <sheetName val="Notas_Receita"/>
      <sheetName val="Custo Distribuição"/>
      <sheetName val="Custo Consolidado"/>
      <sheetName val="Notas_Custos"/>
      <sheetName val="EBITDA Distribuição"/>
      <sheetName val="EBITDA Consolidado"/>
      <sheetName val="Notas_EBITDA"/>
      <sheetName val="EBITDA Reg."/>
      <sheetName val="Lucro Distribuição"/>
      <sheetName val="Lucro Consolidado"/>
      <sheetName val="Resultado Financeiro"/>
      <sheetName val="Restulado Fin. Cons."/>
      <sheetName val="Notas_Financeiro"/>
      <sheetName val="Dívida"/>
      <sheetName val="Lucro Consolidado Prop."/>
      <sheetName val="Custos Segmentos"/>
      <sheetName val="Receita Segmento"/>
      <sheetName val="Investimentos"/>
      <sheetName val="Investimentos Distribuição"/>
      <sheetName val="DRE_EQTT_Consolid."/>
      <sheetName val="DRE_Intesa"/>
      <sheetName val="Desemp. Fin. Intesa"/>
      <sheetName val="DRE_Transmissão"/>
      <sheetName val="Desemp. Fin. Transm."/>
      <sheetName val="Desemp. Fin. Consolid."/>
      <sheetName val="Transm_Intesa_Reg."/>
      <sheetName val="Ativos e Passivos Reg."/>
      <sheetName val="Sistema Isolado"/>
      <sheetName val="Impostos"/>
      <sheetName val="Notas_Impostos"/>
      <sheetName val="DRE Consolidada"/>
      <sheetName val="NR_MA"/>
      <sheetName val="NR_PA"/>
      <sheetName val="NR_PI"/>
      <sheetName val="NR_AL"/>
      <sheetName val="NR_RS"/>
      <sheetName val="NR_AP"/>
      <sheetName val="NR_GO"/>
      <sheetName val="NR_HOLDING"/>
      <sheetName val="MA"/>
      <sheetName val="PA"/>
      <sheetName val="PI"/>
      <sheetName val="AL"/>
      <sheetName val="Resultado Financeiro ITR"/>
      <sheetName val="RS"/>
      <sheetName val="AP"/>
      <sheetName val="GO"/>
      <sheetName val="CSA"/>
      <sheetName val="EQTT"/>
      <sheetName val="Holding"/>
      <sheetName val="Graf. PMSO"/>
      <sheetName val="Analise PMSO Rep."/>
      <sheetName val="Analise PMSO Ajust."/>
    </sheetNames>
    <sheetDataSet>
      <sheetData sheetId="0"/>
      <sheetData sheetId="1">
        <row r="5">
          <cell r="D5">
            <v>6880.277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E5">
            <v>202.63344400000008</v>
          </cell>
        </row>
        <row r="11">
          <cell r="E11">
            <v>243.48749530674846</v>
          </cell>
          <cell r="F11">
            <v>676.16059881333763</v>
          </cell>
          <cell r="G11">
            <v>58.941731500000152</v>
          </cell>
          <cell r="H11">
            <v>84.830465000000075</v>
          </cell>
        </row>
      </sheetData>
      <sheetData sheetId="25">
        <row r="22">
          <cell r="F22">
            <v>850.63140458296198</v>
          </cell>
        </row>
      </sheetData>
      <sheetData sheetId="26">
        <row r="22">
          <cell r="E22">
            <v>-18.755156129999996</v>
          </cell>
          <cell r="F22">
            <v>-64.985119810000029</v>
          </cell>
          <cell r="G22">
            <v>-71.793520510000008</v>
          </cell>
          <cell r="H22">
            <v>-30.756495170000001</v>
          </cell>
        </row>
      </sheetData>
      <sheetData sheetId="27">
        <row r="21">
          <cell r="F21">
            <v>-941.69880489000059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2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2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2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2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2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hyperlink" Target="https://www2.aneel.gov.br/aplicacoes/tarifa/arquivo/Nota%20T%C3%A9cnica%20119_2023%20RTP%202023%20EQTL%20GO.pdf" TargetMode="External"/><Relationship Id="rId7" Type="http://schemas.openxmlformats.org/officeDocument/2006/relationships/hyperlink" Target="https://www2.aneel.gov.br/aplicacoes/tarifa/arquivo/NT-84-2023-STR.pdf" TargetMode="External"/><Relationship Id="rId2" Type="http://schemas.openxmlformats.org/officeDocument/2006/relationships/hyperlink" Target="https://www2.aneel.gov.br/aplicacoes/tarifa/arquivo/nt204%20assinada.pdf" TargetMode="External"/><Relationship Id="rId1" Type="http://schemas.openxmlformats.org/officeDocument/2006/relationships/hyperlink" Target="https://www2.aneel.gov.br/aplicacoes/tarifa/arquivo/NT%20-%20Reajuste%20-%20CEA%202022%20final.pdf" TargetMode="External"/><Relationship Id="rId6" Type="http://schemas.openxmlformats.org/officeDocument/2006/relationships/hyperlink" Target="https://www2.aneel.gov.br/aplicacoes/tarifa/arquivo/NT%2079%20-%202023%20STR-ANEEL%20-%20SIC%2048580%20002043%202023%20-%20N%C3%ADvel%20tarif%C3%A1rio.pdf" TargetMode="External"/><Relationship Id="rId5" Type="http://schemas.openxmlformats.org/officeDocument/2006/relationships/hyperlink" Target="https://www2.aneel.gov.br/aplicacoes/tarifa/arquivo/NT%20151%202023%20RTP%20Equatorial%20PI.pdf" TargetMode="External"/><Relationship Id="rId4" Type="http://schemas.openxmlformats.org/officeDocument/2006/relationships/hyperlink" Target="https://www2.aneel.gov.br/aplicacoes/tarifa/arquivo/Ntecnica%2006-2023-STR_%2048580.000818-2023.pdf" TargetMode="External"/><Relationship Id="rId9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2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44B54-66E0-4EA8-BB27-0405C4F7C52E}">
  <sheetPr>
    <tabColor rgb="FF002060"/>
  </sheetPr>
  <dimension ref="B4:Q8"/>
  <sheetViews>
    <sheetView showGridLines="0" tabSelected="1" zoomScale="85" zoomScaleNormal="85" workbookViewId="0"/>
  </sheetViews>
  <sheetFormatPr defaultRowHeight="14.5" x14ac:dyDescent="0.35"/>
  <cols>
    <col min="2" max="2" width="1.36328125" customWidth="1"/>
    <col min="8" max="8" width="3" customWidth="1"/>
    <col min="13" max="13" width="3" customWidth="1"/>
  </cols>
  <sheetData>
    <row r="4" spans="2:17" s="1" customFormat="1" ht="32.5" customHeight="1" x14ac:dyDescent="0.35">
      <c r="B4" s="2" t="s">
        <v>0</v>
      </c>
    </row>
    <row r="8" spans="2:17" ht="30" customHeight="1" x14ac:dyDescent="0.35">
      <c r="D8" s="35" t="s">
        <v>53</v>
      </c>
      <c r="E8" s="36"/>
      <c r="F8" s="36"/>
      <c r="G8" s="36"/>
      <c r="I8" s="35" t="s">
        <v>54</v>
      </c>
      <c r="J8" s="36"/>
      <c r="K8" s="36"/>
      <c r="L8" s="36"/>
      <c r="N8" s="35" t="s">
        <v>55</v>
      </c>
      <c r="O8" s="36"/>
      <c r="P8" s="36"/>
      <c r="Q8" s="36"/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D036F-7F4F-4441-A05A-25FAFE6AC0E3}">
  <sheetPr>
    <tabColor rgb="FF002060"/>
  </sheetPr>
  <dimension ref="B4:AA8"/>
  <sheetViews>
    <sheetView showGridLines="0" zoomScale="85" zoomScaleNormal="85" workbookViewId="0"/>
  </sheetViews>
  <sheetFormatPr defaultRowHeight="14.5" x14ac:dyDescent="0.35"/>
  <cols>
    <col min="2" max="2" width="1.36328125" customWidth="1"/>
    <col min="8" max="8" width="2" customWidth="1"/>
    <col min="13" max="13" width="2" customWidth="1"/>
    <col min="18" max="18" width="2" customWidth="1"/>
    <col min="23" max="23" width="2" customWidth="1"/>
  </cols>
  <sheetData>
    <row r="4" spans="2:27" s="1" customFormat="1" ht="32.5" customHeight="1" x14ac:dyDescent="0.35">
      <c r="B4" s="2" t="s">
        <v>994</v>
      </c>
    </row>
    <row r="8" spans="2:27" ht="30" customHeight="1" x14ac:dyDescent="0.35">
      <c r="D8" s="35" t="s">
        <v>144</v>
      </c>
      <c r="E8" s="36"/>
      <c r="F8" s="36"/>
      <c r="G8" s="36"/>
      <c r="I8" s="35" t="s">
        <v>90</v>
      </c>
      <c r="J8" s="36"/>
      <c r="K8" s="36"/>
      <c r="L8" s="36"/>
      <c r="N8" s="35" t="s">
        <v>992</v>
      </c>
      <c r="O8" s="36"/>
      <c r="P8" s="36"/>
      <c r="Q8" s="36"/>
      <c r="S8" s="35" t="s">
        <v>100</v>
      </c>
      <c r="T8" s="36"/>
      <c r="U8" s="36"/>
      <c r="V8" s="36"/>
      <c r="X8" s="35" t="s">
        <v>993</v>
      </c>
      <c r="Y8" s="36"/>
      <c r="Z8" s="36"/>
      <c r="AA8" s="36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37E5A-A10F-4CB1-B383-8B140E48812F}">
  <sheetPr>
    <tabColor theme="9" tint="0.79998168889431442"/>
  </sheetPr>
  <dimension ref="A4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1073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1512745</v>
      </c>
      <c r="D6" s="558">
        <f t="shared" si="0"/>
        <v>3134492</v>
      </c>
      <c r="E6" s="558">
        <f t="shared" si="0"/>
        <v>4748078</v>
      </c>
      <c r="F6" s="558">
        <f t="shared" si="0"/>
        <v>6630761</v>
      </c>
      <c r="G6" s="558">
        <f t="shared" si="0"/>
        <v>1638412</v>
      </c>
      <c r="H6" s="558">
        <f t="shared" si="0"/>
        <v>3386337</v>
      </c>
      <c r="I6" s="558">
        <f t="shared" si="0"/>
        <v>5360011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1973674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1177051</v>
      </c>
      <c r="D8" s="560">
        <f t="shared" si="2"/>
        <v>2418956</v>
      </c>
      <c r="E8" s="560">
        <f t="shared" si="2"/>
        <v>3736583</v>
      </c>
      <c r="F8" s="560">
        <f t="shared" si="2"/>
        <v>5173754</v>
      </c>
      <c r="G8" s="560">
        <f t="shared" si="2"/>
        <v>1336611</v>
      </c>
      <c r="H8" s="560">
        <f t="shared" si="2"/>
        <v>2762331</v>
      </c>
      <c r="I8" s="560">
        <f>SUM(I9:I10)</f>
        <v>4300453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1538122</v>
      </c>
    </row>
    <row r="9" spans="1:20" outlineLevel="1" x14ac:dyDescent="0.35">
      <c r="A9" s="556" t="s">
        <v>996</v>
      </c>
      <c r="C9" s="561">
        <v>1301885</v>
      </c>
      <c r="D9" s="561">
        <v>2548881</v>
      </c>
      <c r="E9" s="561">
        <v>3819879</v>
      </c>
      <c r="F9" s="561">
        <v>5144572</v>
      </c>
      <c r="G9" s="561">
        <v>1183722</v>
      </c>
      <c r="H9" s="561">
        <v>2483764</v>
      </c>
      <c r="I9" s="561">
        <v>3958150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1474386</v>
      </c>
    </row>
    <row r="10" spans="1:20" outlineLevel="1" x14ac:dyDescent="0.35">
      <c r="A10" s="556" t="s">
        <v>997</v>
      </c>
      <c r="C10" s="561">
        <v>-124834</v>
      </c>
      <c r="D10" s="561">
        <v>-129925</v>
      </c>
      <c r="E10" s="561">
        <v>-83296</v>
      </c>
      <c r="F10" s="561">
        <v>29182</v>
      </c>
      <c r="G10" s="561">
        <v>152889</v>
      </c>
      <c r="H10" s="561">
        <v>278567</v>
      </c>
      <c r="I10" s="561">
        <v>342303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63736</v>
      </c>
    </row>
    <row r="11" spans="1:20" x14ac:dyDescent="0.35">
      <c r="A11" s="555" t="s">
        <v>248</v>
      </c>
      <c r="C11" s="560">
        <v>12542</v>
      </c>
      <c r="D11" s="560">
        <v>14792</v>
      </c>
      <c r="E11" s="560">
        <v>15659</v>
      </c>
      <c r="F11" s="560">
        <v>22412</v>
      </c>
      <c r="G11" s="560">
        <v>5126</v>
      </c>
      <c r="H11" s="560">
        <v>5469</v>
      </c>
      <c r="I11" s="560">
        <v>7869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2400</v>
      </c>
    </row>
    <row r="12" spans="1:20" x14ac:dyDescent="0.35">
      <c r="A12" s="555" t="s">
        <v>252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0</v>
      </c>
    </row>
    <row r="13" spans="1:20" x14ac:dyDescent="0.35">
      <c r="A13" s="555" t="s">
        <v>249</v>
      </c>
      <c r="C13" s="560">
        <v>140638</v>
      </c>
      <c r="D13" s="560">
        <v>383409</v>
      </c>
      <c r="E13" s="560">
        <v>669306</v>
      </c>
      <c r="F13" s="560">
        <v>952638</v>
      </c>
      <c r="G13" s="560">
        <v>197896</v>
      </c>
      <c r="H13" s="560">
        <v>430068</v>
      </c>
      <c r="I13" s="560">
        <v>753645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323577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0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0</v>
      </c>
    </row>
    <row r="17" spans="1:20" x14ac:dyDescent="0.35">
      <c r="A17" s="555" t="s">
        <v>254</v>
      </c>
      <c r="C17" s="560">
        <f t="shared" ref="C17:H17" si="4">SUM(C18:C25)</f>
        <v>182514</v>
      </c>
      <c r="D17" s="560">
        <f t="shared" si="4"/>
        <v>317335</v>
      </c>
      <c r="E17" s="560">
        <f t="shared" si="4"/>
        <v>326530</v>
      </c>
      <c r="F17" s="560">
        <f t="shared" si="4"/>
        <v>481957</v>
      </c>
      <c r="G17" s="560">
        <f t="shared" si="4"/>
        <v>98779</v>
      </c>
      <c r="H17" s="560">
        <f t="shared" si="4"/>
        <v>188469</v>
      </c>
      <c r="I17" s="560">
        <f>SUM(I18:I25)</f>
        <v>298044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109575</v>
      </c>
    </row>
    <row r="18" spans="1:20" outlineLevel="1" x14ac:dyDescent="0.35">
      <c r="A18" s="556" t="s">
        <v>999</v>
      </c>
      <c r="C18" s="561">
        <v>32555</v>
      </c>
      <c r="D18" s="561">
        <v>65497</v>
      </c>
      <c r="E18" s="561">
        <v>103021</v>
      </c>
      <c r="F18" s="561">
        <v>142764</v>
      </c>
      <c r="G18" s="561">
        <v>39550</v>
      </c>
      <c r="H18" s="561">
        <v>81710</v>
      </c>
      <c r="I18" s="561">
        <v>127741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46031</v>
      </c>
    </row>
    <row r="19" spans="1:20" outlineLevel="1" x14ac:dyDescent="0.35">
      <c r="A19" s="556" t="s">
        <v>1000</v>
      </c>
      <c r="C19" s="561">
        <v>70340</v>
      </c>
      <c r="D19" s="561">
        <v>137779</v>
      </c>
      <c r="E19" s="561">
        <v>84657</v>
      </c>
      <c r="F19" s="561">
        <v>167507</v>
      </c>
      <c r="G19" s="561">
        <v>24595</v>
      </c>
      <c r="H19" s="561">
        <v>35085</v>
      </c>
      <c r="I19" s="561">
        <v>51234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16149</v>
      </c>
    </row>
    <row r="20" spans="1:20" outlineLevel="1" x14ac:dyDescent="0.35">
      <c r="A20" s="556" t="s">
        <v>1001</v>
      </c>
      <c r="C20" s="561">
        <v>0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>
        <v>0</v>
      </c>
      <c r="D21" s="561">
        <v>0</v>
      </c>
      <c r="E21" s="561">
        <v>0</v>
      </c>
      <c r="F21" s="561">
        <v>0</v>
      </c>
      <c r="G21" s="561">
        <v>0</v>
      </c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0</v>
      </c>
    </row>
    <row r="22" spans="1:20" outlineLevel="1" x14ac:dyDescent="0.35">
      <c r="A22" s="556" t="s">
        <v>1003</v>
      </c>
      <c r="C22" s="561">
        <v>0</v>
      </c>
      <c r="D22" s="561">
        <v>0</v>
      </c>
      <c r="E22" s="561">
        <v>0</v>
      </c>
      <c r="F22" s="561">
        <v>0</v>
      </c>
      <c r="G22" s="561">
        <v>0</v>
      </c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0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0</v>
      </c>
    </row>
    <row r="25" spans="1:20" outlineLevel="1" x14ac:dyDescent="0.35">
      <c r="A25" s="556" t="s">
        <v>254</v>
      </c>
      <c r="C25" s="561">
        <v>79619</v>
      </c>
      <c r="D25" s="561">
        <v>114059</v>
      </c>
      <c r="E25" s="561">
        <v>138852</v>
      </c>
      <c r="F25" s="561">
        <v>171686</v>
      </c>
      <c r="G25" s="561">
        <v>34634</v>
      </c>
      <c r="H25" s="561">
        <v>71674</v>
      </c>
      <c r="I25" s="561">
        <v>119069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47395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-466451</v>
      </c>
      <c r="D27" s="558">
        <f t="shared" si="6"/>
        <v>-962519</v>
      </c>
      <c r="E27" s="558">
        <f t="shared" si="6"/>
        <v>-1367750</v>
      </c>
      <c r="F27" s="558">
        <f t="shared" si="6"/>
        <v>-1788045</v>
      </c>
      <c r="G27" s="558">
        <f t="shared" si="6"/>
        <v>-395545</v>
      </c>
      <c r="H27" s="558">
        <f t="shared" si="6"/>
        <v>-834239</v>
      </c>
      <c r="I27" s="558">
        <f>SUM(I29:I37)</f>
        <v>-1332903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-498664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-256115</v>
      </c>
      <c r="D29" s="561">
        <v>-491946</v>
      </c>
      <c r="E29" s="561">
        <v>-705650</v>
      </c>
      <c r="F29" s="561">
        <v>-922669</v>
      </c>
      <c r="G29" s="561">
        <v>-190298</v>
      </c>
      <c r="H29" s="561">
        <v>-427617</v>
      </c>
      <c r="I29" s="561">
        <v>-693925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-266308</v>
      </c>
    </row>
    <row r="30" spans="1:20" outlineLevel="1" x14ac:dyDescent="0.35">
      <c r="A30" s="556" t="s">
        <v>1007</v>
      </c>
      <c r="C30" s="561">
        <v>-106839</v>
      </c>
      <c r="D30" s="561">
        <v>-267194</v>
      </c>
      <c r="E30" s="561">
        <v>-369460</v>
      </c>
      <c r="F30" s="561">
        <v>-483247</v>
      </c>
      <c r="G30" s="561">
        <v>-106623</v>
      </c>
      <c r="H30" s="561">
        <v>-211892</v>
      </c>
      <c r="I30" s="561">
        <v>-338607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-126715</v>
      </c>
    </row>
    <row r="31" spans="1:20" outlineLevel="1" x14ac:dyDescent="0.35">
      <c r="A31" s="556" t="s">
        <v>1008</v>
      </c>
      <c r="C31" s="561">
        <v>0</v>
      </c>
      <c r="D31" s="561">
        <v>0</v>
      </c>
      <c r="E31" s="561">
        <v>0</v>
      </c>
      <c r="F31" s="561">
        <v>0</v>
      </c>
      <c r="G31" s="561">
        <v>0</v>
      </c>
      <c r="H31" s="561">
        <v>0</v>
      </c>
      <c r="I31" s="561">
        <v>0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0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0</v>
      </c>
    </row>
    <row r="33" spans="1:20" outlineLevel="1" x14ac:dyDescent="0.35">
      <c r="A33" s="556" t="s">
        <v>1010</v>
      </c>
      <c r="C33" s="561">
        <v>-8133</v>
      </c>
      <c r="D33" s="561">
        <v>-15971</v>
      </c>
      <c r="E33" s="561">
        <v>-25318</v>
      </c>
      <c r="F33" s="561">
        <v>-35835</v>
      </c>
      <c r="G33" s="561">
        <v>-9781</v>
      </c>
      <c r="H33" s="561">
        <v>-19943</v>
      </c>
      <c r="I33" s="561">
        <v>-36165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-16222</v>
      </c>
    </row>
    <row r="34" spans="1:20" outlineLevel="1" x14ac:dyDescent="0.35">
      <c r="A34" s="556" t="s">
        <v>1011</v>
      </c>
      <c r="C34" s="561">
        <v>-1546</v>
      </c>
      <c r="D34" s="561">
        <v>-3093</v>
      </c>
      <c r="E34" s="561">
        <v>-4754</v>
      </c>
      <c r="F34" s="561">
        <v>-6473</v>
      </c>
      <c r="G34" s="561">
        <v>-1719</v>
      </c>
      <c r="H34" s="561">
        <v>-3438</v>
      </c>
      <c r="I34" s="561">
        <v>-5148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-1710</v>
      </c>
    </row>
    <row r="35" spans="1:20" outlineLevel="1" x14ac:dyDescent="0.35">
      <c r="A35" s="556" t="s">
        <v>1012</v>
      </c>
      <c r="C35" s="561">
        <v>-74642</v>
      </c>
      <c r="D35" s="561">
        <v>-148100</v>
      </c>
      <c r="E35" s="561">
        <v>-220966</v>
      </c>
      <c r="F35" s="561">
        <v>-293832</v>
      </c>
      <c r="G35" s="561">
        <v>-77162</v>
      </c>
      <c r="H35" s="561">
        <v>-154049</v>
      </c>
      <c r="I35" s="561">
        <v>-237700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-83651</v>
      </c>
    </row>
    <row r="36" spans="1:20" outlineLevel="1" x14ac:dyDescent="0.35">
      <c r="A36" s="556" t="s">
        <v>1013</v>
      </c>
      <c r="C36" s="561">
        <v>-431</v>
      </c>
      <c r="D36" s="561">
        <v>-849</v>
      </c>
      <c r="E36" s="561">
        <v>-1297</v>
      </c>
      <c r="F36" s="561">
        <v>-1792</v>
      </c>
      <c r="G36" s="561">
        <v>-409</v>
      </c>
      <c r="H36" s="561">
        <v>-877</v>
      </c>
      <c r="I36" s="561">
        <v>-1338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-461</v>
      </c>
    </row>
    <row r="37" spans="1:20" outlineLevel="1" x14ac:dyDescent="0.35">
      <c r="A37" s="556" t="s">
        <v>270</v>
      </c>
      <c r="C37" s="561">
        <v>-18745</v>
      </c>
      <c r="D37" s="561">
        <v>-35366</v>
      </c>
      <c r="E37" s="561">
        <v>-40305</v>
      </c>
      <c r="F37" s="561">
        <v>-44197</v>
      </c>
      <c r="G37" s="561">
        <v>-9553</v>
      </c>
      <c r="H37" s="561">
        <v>-16423</v>
      </c>
      <c r="I37" s="561">
        <v>-20020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-3597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1046294</v>
      </c>
      <c r="D39" s="558">
        <f t="shared" si="8"/>
        <v>2171973</v>
      </c>
      <c r="E39" s="558">
        <f t="shared" si="8"/>
        <v>3380328</v>
      </c>
      <c r="F39" s="558">
        <f t="shared" si="8"/>
        <v>4842716</v>
      </c>
      <c r="G39" s="558">
        <f t="shared" si="8"/>
        <v>1242867</v>
      </c>
      <c r="H39" s="558">
        <f t="shared" si="8"/>
        <v>2552098</v>
      </c>
      <c r="I39" s="558">
        <f>I27+I6</f>
        <v>4027108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1475010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-694592</v>
      </c>
      <c r="D41" s="562">
        <f t="shared" si="9"/>
        <v>-1519458</v>
      </c>
      <c r="E41" s="562">
        <f t="shared" si="9"/>
        <v>-2432973</v>
      </c>
      <c r="F41" s="562">
        <f t="shared" si="9"/>
        <v>-3387405</v>
      </c>
      <c r="G41" s="562">
        <f t="shared" si="9"/>
        <v>-868082</v>
      </c>
      <c r="H41" s="562">
        <f t="shared" si="9"/>
        <v>-1783166</v>
      </c>
      <c r="I41" s="562">
        <f>SUM(I43:I48)</f>
        <v>-2842536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-1059370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-468986</v>
      </c>
      <c r="D43" s="560">
        <v>-948914</v>
      </c>
      <c r="E43" s="560">
        <v>-1463089</v>
      </c>
      <c r="F43" s="560">
        <v>-2022692</v>
      </c>
      <c r="G43" s="560">
        <v>-551536</v>
      </c>
      <c r="H43" s="560">
        <v>-1114049</v>
      </c>
      <c r="I43" s="560">
        <v>-1722960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-608911</v>
      </c>
    </row>
    <row r="44" spans="1:20" x14ac:dyDescent="0.35">
      <c r="A44" s="555" t="s">
        <v>1016</v>
      </c>
      <c r="C44" s="560">
        <v>-140638</v>
      </c>
      <c r="D44" s="560">
        <v>-383409</v>
      </c>
      <c r="E44" s="560">
        <v>-669306</v>
      </c>
      <c r="F44" s="560">
        <v>-952638</v>
      </c>
      <c r="G44" s="560">
        <v>-197896</v>
      </c>
      <c r="H44" s="560">
        <v>-430068</v>
      </c>
      <c r="I44" s="560">
        <v>-753645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-323577</v>
      </c>
    </row>
    <row r="45" spans="1:20" x14ac:dyDescent="0.35">
      <c r="A45" s="555" t="s">
        <v>312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-84968</v>
      </c>
      <c r="D48" s="560">
        <f t="shared" si="11"/>
        <v>-187135</v>
      </c>
      <c r="E48" s="560">
        <f t="shared" si="11"/>
        <v>-300578</v>
      </c>
      <c r="F48" s="560">
        <f t="shared" si="11"/>
        <v>-412075</v>
      </c>
      <c r="G48" s="560">
        <f t="shared" si="11"/>
        <v>-118650</v>
      </c>
      <c r="H48" s="560">
        <f t="shared" si="11"/>
        <v>-239049</v>
      </c>
      <c r="I48" s="560">
        <f>SUM(I49:I55)</f>
        <v>-365931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-126882</v>
      </c>
    </row>
    <row r="49" spans="1:20" outlineLevel="1" x14ac:dyDescent="0.35">
      <c r="A49" s="556" t="s">
        <v>1019</v>
      </c>
      <c r="C49" s="561">
        <v>-6002</v>
      </c>
      <c r="D49" s="561">
        <v>-13350</v>
      </c>
      <c r="E49" s="561">
        <v>-21096</v>
      </c>
      <c r="F49" s="561">
        <v>-27303</v>
      </c>
      <c r="G49" s="561">
        <v>-8789</v>
      </c>
      <c r="H49" s="561">
        <v>-18753</v>
      </c>
      <c r="I49" s="561">
        <v>-28543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-9790</v>
      </c>
    </row>
    <row r="50" spans="1:20" outlineLevel="1" x14ac:dyDescent="0.35">
      <c r="A50" s="556" t="s">
        <v>1020</v>
      </c>
      <c r="C50" s="561">
        <v>-3296</v>
      </c>
      <c r="D50" s="561">
        <v>-5505</v>
      </c>
      <c r="E50" s="561">
        <v>-9756</v>
      </c>
      <c r="F50" s="561">
        <v>-11637</v>
      </c>
      <c r="G50" s="561">
        <v>-2317</v>
      </c>
      <c r="H50" s="561">
        <v>-4224</v>
      </c>
      <c r="I50" s="561">
        <v>-8137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-3913</v>
      </c>
    </row>
    <row r="51" spans="1:20" outlineLevel="1" x14ac:dyDescent="0.35">
      <c r="A51" s="556" t="s">
        <v>1021</v>
      </c>
      <c r="C51" s="561">
        <v>-39146</v>
      </c>
      <c r="D51" s="561">
        <v>-84177</v>
      </c>
      <c r="E51" s="561">
        <v>-135652</v>
      </c>
      <c r="F51" s="561">
        <v>-185512</v>
      </c>
      <c r="G51" s="561">
        <v>-52956</v>
      </c>
      <c r="H51" s="561">
        <v>-111262</v>
      </c>
      <c r="I51" s="561">
        <v>-168116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-56854</v>
      </c>
    </row>
    <row r="52" spans="1:20" outlineLevel="1" x14ac:dyDescent="0.35">
      <c r="A52" s="556" t="s">
        <v>1022</v>
      </c>
      <c r="C52" s="561">
        <v>-36367</v>
      </c>
      <c r="D52" s="561">
        <v>-84630</v>
      </c>
      <c r="E52" s="561">
        <v>-134586</v>
      </c>
      <c r="F52" s="561">
        <v>-188077</v>
      </c>
      <c r="G52" s="561">
        <v>-54550</v>
      </c>
      <c r="H52" s="561">
        <v>-105789</v>
      </c>
      <c r="I52" s="561">
        <v>-162135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-56346</v>
      </c>
    </row>
    <row r="53" spans="1:20" outlineLevel="1" x14ac:dyDescent="0.35">
      <c r="A53" s="556" t="s">
        <v>1023</v>
      </c>
      <c r="C53" s="561">
        <v>0</v>
      </c>
      <c r="D53" s="561">
        <v>0</v>
      </c>
      <c r="E53" s="561">
        <v>0</v>
      </c>
      <c r="F53" s="561">
        <v>0</v>
      </c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0</v>
      </c>
    </row>
    <row r="54" spans="1:20" outlineLevel="1" x14ac:dyDescent="0.35">
      <c r="A54" s="556" t="s">
        <v>1024</v>
      </c>
      <c r="C54" s="561">
        <v>-127</v>
      </c>
      <c r="D54" s="561">
        <v>-191</v>
      </c>
      <c r="E54" s="561">
        <v>-341</v>
      </c>
      <c r="F54" s="561">
        <v>-655</v>
      </c>
      <c r="G54" s="561">
        <v>-294</v>
      </c>
      <c r="H54" s="561">
        <v>-144</v>
      </c>
      <c r="I54" s="561">
        <v>-217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-73</v>
      </c>
    </row>
    <row r="55" spans="1:20" outlineLevel="1" x14ac:dyDescent="0.35">
      <c r="A55" s="556" t="s">
        <v>1025</v>
      </c>
      <c r="C55" s="561">
        <v>-30</v>
      </c>
      <c r="D55" s="561">
        <v>718</v>
      </c>
      <c r="E55" s="561">
        <v>853</v>
      </c>
      <c r="F55" s="561">
        <v>1109</v>
      </c>
      <c r="G55" s="561">
        <v>256</v>
      </c>
      <c r="H55" s="561">
        <v>1123</v>
      </c>
      <c r="I55" s="561">
        <v>1217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94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351702</v>
      </c>
      <c r="D57" s="558">
        <f t="shared" si="13"/>
        <v>652515</v>
      </c>
      <c r="E57" s="558">
        <f t="shared" si="13"/>
        <v>947355</v>
      </c>
      <c r="F57" s="558">
        <f t="shared" si="13"/>
        <v>1455311</v>
      </c>
      <c r="G57" s="558">
        <f t="shared" si="13"/>
        <v>374785</v>
      </c>
      <c r="H57" s="558">
        <f t="shared" si="13"/>
        <v>768932</v>
      </c>
      <c r="I57" s="558">
        <f>I39+I41</f>
        <v>1184572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415640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-173263</v>
      </c>
      <c r="D59" s="562">
        <f t="shared" si="14"/>
        <v>-342738</v>
      </c>
      <c r="E59" s="562">
        <f t="shared" si="14"/>
        <v>-474795</v>
      </c>
      <c r="F59" s="562">
        <f t="shared" si="14"/>
        <v>-505898</v>
      </c>
      <c r="G59" s="562">
        <f t="shared" si="14"/>
        <v>-177230</v>
      </c>
      <c r="H59" s="562">
        <f t="shared" si="14"/>
        <v>-328597</v>
      </c>
      <c r="I59" s="562">
        <f>I61+I67+I68+I77+I78</f>
        <v>-486814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-158217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-38701</v>
      </c>
      <c r="D61" s="560">
        <f t="shared" si="15"/>
        <v>-79621</v>
      </c>
      <c r="E61" s="560">
        <f t="shared" si="15"/>
        <v>-132222</v>
      </c>
      <c r="F61" s="560">
        <f t="shared" si="15"/>
        <v>-171621</v>
      </c>
      <c r="G61" s="560">
        <f t="shared" si="15"/>
        <v>-40503</v>
      </c>
      <c r="H61" s="560">
        <f t="shared" si="15"/>
        <v>-86494</v>
      </c>
      <c r="I61" s="560">
        <f>SUM(I62:I66)</f>
        <v>-132554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-46060</v>
      </c>
    </row>
    <row r="62" spans="1:20" outlineLevel="1" x14ac:dyDescent="0.35">
      <c r="A62" s="556" t="s">
        <v>1029</v>
      </c>
      <c r="C62" s="561">
        <v>-9344</v>
      </c>
      <c r="D62" s="561">
        <v>-18932</v>
      </c>
      <c r="E62" s="561">
        <v>-27300</v>
      </c>
      <c r="F62" s="561">
        <v>-34496</v>
      </c>
      <c r="G62" s="561">
        <v>-6980</v>
      </c>
      <c r="H62" s="561">
        <v>-14448</v>
      </c>
      <c r="I62" s="561">
        <v>-22355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-7907</v>
      </c>
    </row>
    <row r="63" spans="1:20" outlineLevel="1" x14ac:dyDescent="0.35">
      <c r="A63" s="556" t="s">
        <v>1030</v>
      </c>
      <c r="C63" s="561">
        <v>-1443</v>
      </c>
      <c r="D63" s="561">
        <v>-2497</v>
      </c>
      <c r="E63" s="561">
        <v>-4155</v>
      </c>
      <c r="F63" s="561">
        <v>-5514</v>
      </c>
      <c r="G63" s="561">
        <v>-1473</v>
      </c>
      <c r="H63" s="561">
        <v>-5823</v>
      </c>
      <c r="I63" s="561">
        <v>-7861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-2038</v>
      </c>
    </row>
    <row r="64" spans="1:20" outlineLevel="1" x14ac:dyDescent="0.35">
      <c r="A64" s="556" t="s">
        <v>1031</v>
      </c>
      <c r="C64" s="561">
        <v>-26379</v>
      </c>
      <c r="D64" s="561">
        <v>-56135</v>
      </c>
      <c r="E64" s="561">
        <v>-97314</v>
      </c>
      <c r="F64" s="561">
        <v>-127080</v>
      </c>
      <c r="G64" s="561">
        <v>-30471</v>
      </c>
      <c r="H64" s="561">
        <v>-63593</v>
      </c>
      <c r="I64" s="561">
        <v>-98378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-34785</v>
      </c>
    </row>
    <row r="65" spans="1:20" outlineLevel="1" x14ac:dyDescent="0.35">
      <c r="A65" s="556" t="s">
        <v>1032</v>
      </c>
      <c r="C65" s="561">
        <v>-594</v>
      </c>
      <c r="D65" s="561">
        <v>-1170</v>
      </c>
      <c r="E65" s="561">
        <v>-1933</v>
      </c>
      <c r="F65" s="561">
        <v>-2894</v>
      </c>
      <c r="G65" s="561">
        <v>-1004</v>
      </c>
      <c r="H65" s="561">
        <v>-1731</v>
      </c>
      <c r="I65" s="561">
        <v>-2633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-902</v>
      </c>
    </row>
    <row r="66" spans="1:20" outlineLevel="1" x14ac:dyDescent="0.35">
      <c r="A66" s="556" t="s">
        <v>1033</v>
      </c>
      <c r="C66" s="561">
        <v>-941</v>
      </c>
      <c r="D66" s="561">
        <v>-887</v>
      </c>
      <c r="E66" s="561">
        <v>-1520</v>
      </c>
      <c r="F66" s="561">
        <v>-1637</v>
      </c>
      <c r="G66" s="561">
        <v>-575</v>
      </c>
      <c r="H66" s="561">
        <v>-899</v>
      </c>
      <c r="I66" s="561">
        <v>-1327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-428</v>
      </c>
    </row>
    <row r="67" spans="1:20" x14ac:dyDescent="0.35">
      <c r="A67" s="555" t="s">
        <v>1034</v>
      </c>
      <c r="C67" s="563">
        <v>-25229</v>
      </c>
      <c r="D67" s="563">
        <v>-45459</v>
      </c>
      <c r="E67" s="563">
        <v>-67652</v>
      </c>
      <c r="F67" s="563">
        <v>-39235</v>
      </c>
      <c r="G67" s="563">
        <v>-26510</v>
      </c>
      <c r="H67" s="563">
        <v>-37912</v>
      </c>
      <c r="I67" s="563">
        <v>-54330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-16418</v>
      </c>
    </row>
    <row r="68" spans="1:20" x14ac:dyDescent="0.35">
      <c r="A68" s="555" t="s">
        <v>1035</v>
      </c>
      <c r="C68" s="560">
        <f t="shared" ref="C68:H68" si="17">SUM(C69:C76)</f>
        <v>-59882</v>
      </c>
      <c r="D68" s="560">
        <f t="shared" si="17"/>
        <v>-127824</v>
      </c>
      <c r="E68" s="560">
        <f t="shared" si="17"/>
        <v>-154698</v>
      </c>
      <c r="F68" s="560">
        <f t="shared" si="17"/>
        <v>-172019</v>
      </c>
      <c r="G68" s="560">
        <f t="shared" si="17"/>
        <v>-53172</v>
      </c>
      <c r="H68" s="560">
        <f t="shared" si="17"/>
        <v>-123898</v>
      </c>
      <c r="I68" s="560">
        <f>SUM(I69:I76)</f>
        <v>-179990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-56092</v>
      </c>
    </row>
    <row r="69" spans="1:20" outlineLevel="1" x14ac:dyDescent="0.35">
      <c r="A69" s="556" t="s">
        <v>1036</v>
      </c>
      <c r="C69" s="561">
        <v>-13523</v>
      </c>
      <c r="D69" s="561">
        <v>-41203</v>
      </c>
      <c r="E69" s="561">
        <v>-63907</v>
      </c>
      <c r="F69" s="561">
        <v>-91607</v>
      </c>
      <c r="G69" s="561">
        <v>-31321</v>
      </c>
      <c r="H69" s="561">
        <v>-62006</v>
      </c>
      <c r="I69" s="561">
        <v>-98846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-36840</v>
      </c>
    </row>
    <row r="70" spans="1:20" outlineLevel="1" x14ac:dyDescent="0.35">
      <c r="A70" s="556" t="s">
        <v>1037</v>
      </c>
      <c r="C70" s="561">
        <v>-339</v>
      </c>
      <c r="D70" s="561">
        <v>-1389</v>
      </c>
      <c r="E70" s="561">
        <v>-1693</v>
      </c>
      <c r="F70" s="561">
        <v>-2123</v>
      </c>
      <c r="G70" s="561">
        <v>-887</v>
      </c>
      <c r="H70" s="561">
        <v>494</v>
      </c>
      <c r="I70" s="561">
        <v>3320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2826</v>
      </c>
    </row>
    <row r="71" spans="1:20" outlineLevel="1" x14ac:dyDescent="0.35">
      <c r="A71" s="556" t="s">
        <v>1038</v>
      </c>
      <c r="C71" s="561">
        <v>-20208</v>
      </c>
      <c r="D71" s="561">
        <v>-46356</v>
      </c>
      <c r="E71" s="561">
        <v>-39683</v>
      </c>
      <c r="F71" s="561">
        <v>-20229</v>
      </c>
      <c r="G71" s="561">
        <v>-9739</v>
      </c>
      <c r="H71" s="561">
        <v>-37854</v>
      </c>
      <c r="I71" s="561">
        <v>-49442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-11588</v>
      </c>
    </row>
    <row r="72" spans="1:20" outlineLevel="1" x14ac:dyDescent="0.35">
      <c r="A72" s="556" t="s">
        <v>1039</v>
      </c>
      <c r="C72" s="561">
        <v>104</v>
      </c>
      <c r="D72" s="561">
        <v>504</v>
      </c>
      <c r="E72" s="561">
        <v>742</v>
      </c>
      <c r="F72" s="561">
        <v>1040</v>
      </c>
      <c r="G72" s="561">
        <v>-94</v>
      </c>
      <c r="H72" s="561">
        <v>-643</v>
      </c>
      <c r="I72" s="561">
        <v>-824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-181</v>
      </c>
    </row>
    <row r="73" spans="1:20" outlineLevel="1" x14ac:dyDescent="0.35">
      <c r="A73" s="556" t="s">
        <v>1040</v>
      </c>
      <c r="C73" s="561">
        <v>-488</v>
      </c>
      <c r="D73" s="561">
        <v>-997</v>
      </c>
      <c r="E73" s="561">
        <v>-640</v>
      </c>
      <c r="F73" s="561">
        <v>374</v>
      </c>
      <c r="G73" s="561">
        <v>-238</v>
      </c>
      <c r="H73" s="561">
        <v>-2890</v>
      </c>
      <c r="I73" s="561">
        <v>-2867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23</v>
      </c>
    </row>
    <row r="74" spans="1:20" outlineLevel="1" x14ac:dyDescent="0.35">
      <c r="A74" s="556" t="s">
        <v>1041</v>
      </c>
      <c r="C74" s="561">
        <v>-6004</v>
      </c>
      <c r="D74" s="561">
        <v>-11104</v>
      </c>
      <c r="E74" s="561">
        <v>-15395</v>
      </c>
      <c r="F74" s="561">
        <v>-17228</v>
      </c>
      <c r="G74" s="561">
        <v>-4867</v>
      </c>
      <c r="H74" s="561">
        <v>-8618</v>
      </c>
      <c r="I74" s="561">
        <v>-12823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-4205</v>
      </c>
    </row>
    <row r="75" spans="1:20" outlineLevel="1" x14ac:dyDescent="0.35">
      <c r="A75" s="556" t="s">
        <v>1042</v>
      </c>
      <c r="C75" s="561">
        <v>-19424</v>
      </c>
      <c r="D75" s="561">
        <v>-27279</v>
      </c>
      <c r="E75" s="561">
        <v>-34122</v>
      </c>
      <c r="F75" s="561">
        <v>-42246</v>
      </c>
      <c r="G75" s="561">
        <v>-6026</v>
      </c>
      <c r="H75" s="561">
        <v>-12381</v>
      </c>
      <c r="I75" s="561">
        <v>-18508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-6127</v>
      </c>
    </row>
    <row r="76" spans="1:20" outlineLevel="1" x14ac:dyDescent="0.35">
      <c r="A76" s="556" t="s">
        <v>1043</v>
      </c>
      <c r="C76" s="561">
        <v>0</v>
      </c>
      <c r="D76" s="561">
        <v>0</v>
      </c>
      <c r="E76" s="561">
        <v>0</v>
      </c>
      <c r="F76" s="561">
        <v>0</v>
      </c>
      <c r="G76" s="561">
        <v>0</v>
      </c>
      <c r="H76" s="561">
        <v>0</v>
      </c>
      <c r="I76" s="561">
        <v>0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0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0</v>
      </c>
    </row>
    <row r="78" spans="1:20" x14ac:dyDescent="0.35">
      <c r="A78" s="555" t="s">
        <v>1045</v>
      </c>
      <c r="C78" s="560">
        <f t="shared" ref="C78:H78" si="19">SUM(C79:C80)</f>
        <v>-49451</v>
      </c>
      <c r="D78" s="560">
        <f t="shared" si="19"/>
        <v>-89834</v>
      </c>
      <c r="E78" s="560">
        <f t="shared" si="19"/>
        <v>-120223</v>
      </c>
      <c r="F78" s="560">
        <f t="shared" si="19"/>
        <v>-123023</v>
      </c>
      <c r="G78" s="560">
        <f t="shared" si="19"/>
        <v>-57045</v>
      </c>
      <c r="H78" s="560">
        <f t="shared" si="19"/>
        <v>-80293</v>
      </c>
      <c r="I78" s="560">
        <f>SUM(I79:I80)</f>
        <v>-119940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-39647</v>
      </c>
    </row>
    <row r="79" spans="1:20" outlineLevel="1" x14ac:dyDescent="0.35">
      <c r="A79" s="556" t="s">
        <v>1046</v>
      </c>
      <c r="C79" s="561">
        <v>-1390</v>
      </c>
      <c r="D79" s="561">
        <v>-4512</v>
      </c>
      <c r="E79" s="561">
        <v>-28179</v>
      </c>
      <c r="F79" s="561">
        <v>-32982</v>
      </c>
      <c r="G79" s="561">
        <v>-4880</v>
      </c>
      <c r="H79" s="561">
        <v>-5702</v>
      </c>
      <c r="I79" s="561">
        <v>-7953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-2251</v>
      </c>
    </row>
    <row r="80" spans="1:20" outlineLevel="1" x14ac:dyDescent="0.35">
      <c r="A80" s="556" t="s">
        <v>1047</v>
      </c>
      <c r="C80" s="561">
        <v>-48061</v>
      </c>
      <c r="D80" s="561">
        <v>-85322</v>
      </c>
      <c r="E80" s="561">
        <v>-92044</v>
      </c>
      <c r="F80" s="561">
        <v>-90041</v>
      </c>
      <c r="G80" s="561">
        <v>-52165</v>
      </c>
      <c r="H80" s="561">
        <v>-74591</v>
      </c>
      <c r="I80" s="561">
        <v>-111987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-37396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234230</v>
      </c>
      <c r="D82" s="558">
        <f t="shared" si="21"/>
        <v>421686</v>
      </c>
      <c r="E82" s="558">
        <f t="shared" si="21"/>
        <v>641268</v>
      </c>
      <c r="F82" s="558">
        <f t="shared" si="21"/>
        <v>1179736</v>
      </c>
      <c r="G82" s="558">
        <f t="shared" si="21"/>
        <v>258131</v>
      </c>
      <c r="H82" s="558">
        <f t="shared" si="21"/>
        <v>558505</v>
      </c>
      <c r="I82" s="558">
        <f>I84-I75-I52-I76</f>
        <v>878401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319896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178439</v>
      </c>
      <c r="D84" s="558">
        <f t="shared" si="22"/>
        <v>309777</v>
      </c>
      <c r="E84" s="558">
        <f t="shared" si="22"/>
        <v>472560</v>
      </c>
      <c r="F84" s="558">
        <f t="shared" si="22"/>
        <v>949413</v>
      </c>
      <c r="G84" s="558">
        <f t="shared" si="22"/>
        <v>197555</v>
      </c>
      <c r="H84" s="558">
        <f t="shared" si="22"/>
        <v>440335</v>
      </c>
      <c r="I84" s="558">
        <f>I57+I59</f>
        <v>697758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257423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-16502</v>
      </c>
      <c r="D86" s="558">
        <f t="shared" si="23"/>
        <v>-149500</v>
      </c>
      <c r="E86" s="558">
        <f t="shared" si="23"/>
        <v>-201976</v>
      </c>
      <c r="F86" s="558">
        <f t="shared" si="23"/>
        <v>-209216</v>
      </c>
      <c r="G86" s="558">
        <f t="shared" si="23"/>
        <v>-45487</v>
      </c>
      <c r="H86" s="558">
        <f t="shared" si="23"/>
        <v>-90646</v>
      </c>
      <c r="I86" s="558">
        <f>I88+I97</f>
        <v>-107360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-16714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125367</v>
      </c>
      <c r="D88" s="562">
        <f t="shared" si="24"/>
        <v>184991</v>
      </c>
      <c r="E88" s="562">
        <f t="shared" si="24"/>
        <v>264157</v>
      </c>
      <c r="F88" s="562">
        <f t="shared" si="24"/>
        <v>349198</v>
      </c>
      <c r="G88" s="562">
        <f t="shared" si="24"/>
        <v>93580</v>
      </c>
      <c r="H88" s="562">
        <f t="shared" si="24"/>
        <v>197640</v>
      </c>
      <c r="I88" s="562">
        <f>SUM(I89:I96)</f>
        <v>291237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93597</v>
      </c>
    </row>
    <row r="89" spans="1:20" outlineLevel="1" x14ac:dyDescent="0.35">
      <c r="A89" s="556" t="s">
        <v>1049</v>
      </c>
      <c r="C89" s="561">
        <v>44691</v>
      </c>
      <c r="D89" s="561">
        <v>109146</v>
      </c>
      <c r="E89" s="561">
        <v>172128</v>
      </c>
      <c r="F89" s="561">
        <v>215770</v>
      </c>
      <c r="G89" s="561">
        <v>68024</v>
      </c>
      <c r="H89" s="561">
        <v>107813</v>
      </c>
      <c r="I89" s="561">
        <v>145212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37399</v>
      </c>
    </row>
    <row r="90" spans="1:20" outlineLevel="1" x14ac:dyDescent="0.35">
      <c r="A90" s="556" t="s">
        <v>1050</v>
      </c>
      <c r="C90" s="561">
        <v>-3467</v>
      </c>
      <c r="D90" s="561">
        <v>-7904</v>
      </c>
      <c r="E90" s="561">
        <v>-12190</v>
      </c>
      <c r="F90" s="561">
        <v>-10662</v>
      </c>
      <c r="G90" s="561">
        <v>-2768</v>
      </c>
      <c r="H90" s="561">
        <v>-5472</v>
      </c>
      <c r="I90" s="561">
        <v>-7979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-2507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>
        <v>30185</v>
      </c>
      <c r="D92" s="561">
        <v>61169</v>
      </c>
      <c r="E92" s="561">
        <v>90372</v>
      </c>
      <c r="F92" s="561">
        <v>120180</v>
      </c>
      <c r="G92" s="561">
        <v>17359</v>
      </c>
      <c r="H92" s="561">
        <v>35658</v>
      </c>
      <c r="I92" s="561">
        <v>53426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17768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>
        <v>-348</v>
      </c>
      <c r="D95" s="561">
        <v>-540</v>
      </c>
      <c r="E95" s="561">
        <v>-926</v>
      </c>
      <c r="F95" s="561">
        <v>195</v>
      </c>
      <c r="G95" s="561">
        <v>-248</v>
      </c>
      <c r="H95" s="561">
        <v>-492</v>
      </c>
      <c r="I95" s="561">
        <v>39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531</v>
      </c>
    </row>
    <row r="96" spans="1:20" outlineLevel="1" x14ac:dyDescent="0.35">
      <c r="A96" s="556" t="s">
        <v>1056</v>
      </c>
      <c r="C96" s="561">
        <v>54306</v>
      </c>
      <c r="D96" s="561">
        <v>23120</v>
      </c>
      <c r="E96" s="561">
        <v>14773</v>
      </c>
      <c r="F96" s="561">
        <v>23715</v>
      </c>
      <c r="G96" s="561">
        <v>11213</v>
      </c>
      <c r="H96" s="561">
        <v>60133</v>
      </c>
      <c r="I96" s="561">
        <v>100539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40406</v>
      </c>
    </row>
    <row r="97" spans="1:20" x14ac:dyDescent="0.35">
      <c r="A97" s="555" t="s">
        <v>279</v>
      </c>
      <c r="C97" s="560">
        <f t="shared" ref="C97:H97" si="26">SUM(C98:C106)</f>
        <v>-141869</v>
      </c>
      <c r="D97" s="560">
        <f t="shared" si="26"/>
        <v>-334491</v>
      </c>
      <c r="E97" s="560">
        <f t="shared" si="26"/>
        <v>-466133</v>
      </c>
      <c r="F97" s="560">
        <f t="shared" si="26"/>
        <v>-558414</v>
      </c>
      <c r="G97" s="560">
        <f t="shared" si="26"/>
        <v>-139067</v>
      </c>
      <c r="H97" s="560">
        <f t="shared" si="26"/>
        <v>-288286</v>
      </c>
      <c r="I97" s="560">
        <f>SUM(I98:I106)</f>
        <v>-398597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-110311</v>
      </c>
    </row>
    <row r="98" spans="1:20" outlineLevel="1" x14ac:dyDescent="0.35">
      <c r="A98" s="556" t="s">
        <v>1057</v>
      </c>
      <c r="C98" s="561">
        <v>-28300</v>
      </c>
      <c r="D98" s="561">
        <v>-63219</v>
      </c>
      <c r="E98" s="561">
        <v>-110265</v>
      </c>
      <c r="F98" s="561">
        <v>-136141</v>
      </c>
      <c r="G98" s="561">
        <v>-36423</v>
      </c>
      <c r="H98" s="561">
        <v>-96376</v>
      </c>
      <c r="I98" s="561">
        <v>-184483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-88107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0</v>
      </c>
    </row>
    <row r="100" spans="1:20" outlineLevel="1" x14ac:dyDescent="0.35">
      <c r="A100" s="556" t="s">
        <v>1059</v>
      </c>
      <c r="C100" s="561">
        <v>-91459</v>
      </c>
      <c r="D100" s="561">
        <v>-114804</v>
      </c>
      <c r="E100" s="561">
        <v>-117929</v>
      </c>
      <c r="F100" s="561">
        <v>-144876</v>
      </c>
      <c r="G100" s="561">
        <v>-76734</v>
      </c>
      <c r="H100" s="561">
        <v>-137861</v>
      </c>
      <c r="I100" s="561">
        <v>-142613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-4752</v>
      </c>
    </row>
    <row r="101" spans="1:20" outlineLevel="1" x14ac:dyDescent="0.35">
      <c r="A101" s="556" t="s">
        <v>1060</v>
      </c>
      <c r="C101" s="561">
        <v>0</v>
      </c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0</v>
      </c>
    </row>
    <row r="102" spans="1:20" outlineLevel="1" x14ac:dyDescent="0.35">
      <c r="A102" s="556" t="s">
        <v>1061</v>
      </c>
      <c r="C102" s="561">
        <v>-13139</v>
      </c>
      <c r="D102" s="561">
        <v>-28554</v>
      </c>
      <c r="E102" s="561">
        <v>-36364</v>
      </c>
      <c r="F102" s="561">
        <v>-41750</v>
      </c>
      <c r="G102" s="561">
        <v>-7532</v>
      </c>
      <c r="H102" s="561">
        <v>-16174</v>
      </c>
      <c r="I102" s="561">
        <v>-24876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-8702</v>
      </c>
    </row>
    <row r="103" spans="1:20" outlineLevel="1" x14ac:dyDescent="0.35">
      <c r="A103" s="556" t="s">
        <v>1062</v>
      </c>
      <c r="C103" s="561">
        <v>-425</v>
      </c>
      <c r="D103" s="561">
        <v>-622</v>
      </c>
      <c r="E103" s="561">
        <v>-897</v>
      </c>
      <c r="F103" s="561">
        <v>-1386</v>
      </c>
      <c r="G103" s="561">
        <v>-249</v>
      </c>
      <c r="H103" s="561">
        <v>-394</v>
      </c>
      <c r="I103" s="561">
        <v>-664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-270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>
        <v>-978</v>
      </c>
      <c r="D105" s="561">
        <v>-1545</v>
      </c>
      <c r="E105" s="561">
        <v>-1764</v>
      </c>
      <c r="F105" s="561">
        <v>-1731</v>
      </c>
      <c r="G105" s="561">
        <v>-170</v>
      </c>
      <c r="H105" s="561">
        <v>123</v>
      </c>
      <c r="I105" s="561">
        <v>56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-67</v>
      </c>
    </row>
    <row r="106" spans="1:20" outlineLevel="1" x14ac:dyDescent="0.35">
      <c r="A106" s="556" t="s">
        <v>1065</v>
      </c>
      <c r="C106" s="561">
        <v>-7568</v>
      </c>
      <c r="D106" s="561">
        <v>-125747</v>
      </c>
      <c r="E106" s="561">
        <v>-198914</v>
      </c>
      <c r="F106" s="561">
        <v>-232530</v>
      </c>
      <c r="G106" s="561">
        <v>-17959</v>
      </c>
      <c r="H106" s="561">
        <v>-37604</v>
      </c>
      <c r="I106" s="561">
        <v>-46017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-8413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161937</v>
      </c>
      <c r="D108" s="558">
        <f t="shared" si="28"/>
        <v>160277</v>
      </c>
      <c r="E108" s="558">
        <f t="shared" si="28"/>
        <v>270584</v>
      </c>
      <c r="F108" s="558">
        <f t="shared" si="28"/>
        <v>740197</v>
      </c>
      <c r="G108" s="558">
        <f t="shared" si="28"/>
        <v>152068</v>
      </c>
      <c r="H108" s="558">
        <f t="shared" si="28"/>
        <v>349689</v>
      </c>
      <c r="I108" s="558">
        <f>I84+I86</f>
        <v>590398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240709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H110" si="29">SUM(C112:C115)</f>
        <v>-28839</v>
      </c>
      <c r="D110" s="562">
        <f t="shared" si="29"/>
        <v>2910</v>
      </c>
      <c r="E110" s="562">
        <f t="shared" si="29"/>
        <v>-14449</v>
      </c>
      <c r="F110" s="562">
        <f t="shared" si="29"/>
        <v>-92052</v>
      </c>
      <c r="G110" s="562">
        <f t="shared" si="29"/>
        <v>9599</v>
      </c>
      <c r="H110" s="562">
        <f t="shared" si="29"/>
        <v>-18709</v>
      </c>
      <c r="I110" s="562">
        <f>SUM(I112:I115)</f>
        <v>-56784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-38075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-11934</v>
      </c>
      <c r="D112" s="563">
        <v>-11934</v>
      </c>
      <c r="E112" s="563">
        <v>-22132</v>
      </c>
      <c r="F112" s="563">
        <v>-51322</v>
      </c>
      <c r="G112" s="563">
        <v>-8430</v>
      </c>
      <c r="H112" s="563">
        <v>-28850</v>
      </c>
      <c r="I112" s="563">
        <v>-47065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-18215</v>
      </c>
    </row>
    <row r="113" spans="1:20" x14ac:dyDescent="0.35">
      <c r="A113" s="555" t="s">
        <v>282</v>
      </c>
      <c r="C113" s="563">
        <v>-38334</v>
      </c>
      <c r="D113" s="563">
        <v>-38334</v>
      </c>
      <c r="E113" s="563">
        <v>-67345</v>
      </c>
      <c r="F113" s="563">
        <v>-166188</v>
      </c>
      <c r="G113" s="563">
        <v>-29472</v>
      </c>
      <c r="H113" s="563">
        <v>-92316</v>
      </c>
      <c r="I113" s="563">
        <v>-149234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-56918</v>
      </c>
    </row>
    <row r="114" spans="1:20" x14ac:dyDescent="0.35">
      <c r="A114" s="555" t="s">
        <v>284</v>
      </c>
      <c r="C114" s="563">
        <v>25688</v>
      </c>
      <c r="D114" s="563">
        <v>57612</v>
      </c>
      <c r="E114" s="563">
        <v>85077</v>
      </c>
      <c r="F114" s="563">
        <v>165519</v>
      </c>
      <c r="G114" s="563">
        <v>61691</v>
      </c>
      <c r="H114" s="563">
        <v>101961</v>
      </c>
      <c r="I114" s="563">
        <v>146139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44178</v>
      </c>
    </row>
    <row r="115" spans="1:20" x14ac:dyDescent="0.35">
      <c r="A115" s="555" t="s">
        <v>1068</v>
      </c>
      <c r="C115" s="563">
        <v>-4259</v>
      </c>
      <c r="D115" s="563">
        <v>-4434</v>
      </c>
      <c r="E115" s="563">
        <v>-10049</v>
      </c>
      <c r="F115" s="563">
        <v>-40061</v>
      </c>
      <c r="G115" s="563">
        <v>-14190</v>
      </c>
      <c r="H115" s="563">
        <v>496</v>
      </c>
      <c r="I115" s="563">
        <v>-6624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-7120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H117" si="31">C108+C110</f>
        <v>133098</v>
      </c>
      <c r="D117" s="564">
        <f t="shared" si="31"/>
        <v>163187</v>
      </c>
      <c r="E117" s="564">
        <f t="shared" si="31"/>
        <v>256135</v>
      </c>
      <c r="F117" s="564">
        <f t="shared" si="31"/>
        <v>648145</v>
      </c>
      <c r="G117" s="564">
        <f t="shared" si="31"/>
        <v>161667</v>
      </c>
      <c r="H117" s="564">
        <f t="shared" si="31"/>
        <v>330980</v>
      </c>
      <c r="I117" s="564">
        <f>I108+I110</f>
        <v>533614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202634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H120" si="32">C117-C121</f>
        <v>86658.379756775044</v>
      </c>
      <c r="D120" s="563">
        <f t="shared" si="32"/>
        <v>106248.93700407859</v>
      </c>
      <c r="E120" s="563">
        <f t="shared" si="32"/>
        <v>166766.17303792376</v>
      </c>
      <c r="F120" s="563">
        <f t="shared" si="32"/>
        <v>421998.79447816621</v>
      </c>
      <c r="G120" s="563">
        <f t="shared" si="32"/>
        <v>105259.28473860279</v>
      </c>
      <c r="H120" s="563">
        <f t="shared" si="32"/>
        <v>215496.78080735554</v>
      </c>
      <c r="I120" s="563">
        <f>I117-I121</f>
        <v>347429.14736158145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3">I120-H120</f>
        <v>131932.36655422591</v>
      </c>
    </row>
    <row r="121" spans="1:20" x14ac:dyDescent="0.35">
      <c r="A121" s="555" t="s">
        <v>1072</v>
      </c>
      <c r="C121" s="563">
        <f t="shared" ref="C121:H121" si="34">C117*C126</f>
        <v>46439.620243224948</v>
      </c>
      <c r="D121" s="563">
        <f t="shared" si="34"/>
        <v>56938.06299592142</v>
      </c>
      <c r="E121" s="563">
        <f t="shared" si="34"/>
        <v>89368.826962076229</v>
      </c>
      <c r="F121" s="563">
        <f t="shared" si="34"/>
        <v>226146.20552183379</v>
      </c>
      <c r="G121" s="563">
        <f t="shared" si="34"/>
        <v>56407.715261397221</v>
      </c>
      <c r="H121" s="563">
        <f t="shared" si="34"/>
        <v>115483.21919264446</v>
      </c>
      <c r="I121" s="563">
        <f>I117*I126</f>
        <v>186184.85263841858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3"/>
        <v>70701.633445774118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H123" si="35">SUM(C120:C121)</f>
        <v>133098</v>
      </c>
      <c r="D123" s="564">
        <f t="shared" si="35"/>
        <v>163187</v>
      </c>
      <c r="E123" s="564">
        <f t="shared" si="35"/>
        <v>256135</v>
      </c>
      <c r="F123" s="564">
        <f t="shared" si="35"/>
        <v>648145</v>
      </c>
      <c r="G123" s="564">
        <f t="shared" si="35"/>
        <v>161667</v>
      </c>
      <c r="H123" s="564">
        <f t="shared" si="35"/>
        <v>330980</v>
      </c>
      <c r="I123" s="564">
        <f>SUM(I120:I121)</f>
        <v>533614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202634.00000000003</v>
      </c>
    </row>
    <row r="124" spans="1:20" ht="15" thickTop="1" x14ac:dyDescent="0.35"/>
    <row r="125" spans="1:20" x14ac:dyDescent="0.35">
      <c r="A125" s="569" t="s">
        <v>1086</v>
      </c>
      <c r="C125" s="571">
        <v>0.65108701676039504</v>
      </c>
      <c r="D125" s="571">
        <v>0.65108701676039504</v>
      </c>
      <c r="E125" s="571">
        <v>0.65108701676039504</v>
      </c>
      <c r="F125" s="571">
        <v>0.65108701676039504</v>
      </c>
      <c r="G125" s="571">
        <v>0.65108701676039504</v>
      </c>
      <c r="H125" s="571">
        <v>0.65108701676039504</v>
      </c>
      <c r="I125" s="571">
        <v>0.65108701676039504</v>
      </c>
      <c r="T125" s="571">
        <f>I125</f>
        <v>0.65108701676039504</v>
      </c>
    </row>
    <row r="126" spans="1:20" x14ac:dyDescent="0.35">
      <c r="A126" s="569" t="s">
        <v>1087</v>
      </c>
      <c r="C126" s="571">
        <v>0.34891298323960501</v>
      </c>
      <c r="D126" s="571">
        <v>0.34891298323960501</v>
      </c>
      <c r="E126" s="571">
        <v>0.34891298323960501</v>
      </c>
      <c r="F126" s="571">
        <v>0.34891298323960501</v>
      </c>
      <c r="G126" s="571">
        <v>0.34891298323960501</v>
      </c>
      <c r="H126" s="571">
        <v>0.34891298323960501</v>
      </c>
      <c r="I126" s="571">
        <v>0.34891298323960501</v>
      </c>
      <c r="T126" s="571">
        <f>I126</f>
        <v>0.34891298323960501</v>
      </c>
    </row>
  </sheetData>
  <phoneticPr fontId="30" type="noConversion"/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8955-77B9-46E1-AF74-8D360EBEB6A1}">
  <sheetPr>
    <tabColor theme="9" tint="0.79998168889431442"/>
  </sheetPr>
  <dimension ref="A4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1088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2620387</v>
      </c>
      <c r="D6" s="558">
        <f t="shared" si="0"/>
        <v>5488593</v>
      </c>
      <c r="E6" s="558">
        <f t="shared" si="0"/>
        <v>8190599</v>
      </c>
      <c r="F6" s="558">
        <f t="shared" si="0"/>
        <v>11261796</v>
      </c>
      <c r="G6" s="558">
        <f t="shared" si="0"/>
        <v>2969980</v>
      </c>
      <c r="H6" s="558">
        <f t="shared" si="0"/>
        <v>6032286</v>
      </c>
      <c r="I6" s="558">
        <f t="shared" si="0"/>
        <v>9619611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3587325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1994754</v>
      </c>
      <c r="D8" s="560">
        <f t="shared" si="2"/>
        <v>4137301</v>
      </c>
      <c r="E8" s="560">
        <f t="shared" si="2"/>
        <v>6347686</v>
      </c>
      <c r="F8" s="560">
        <f t="shared" si="2"/>
        <v>8651907</v>
      </c>
      <c r="G8" s="560">
        <f t="shared" si="2"/>
        <v>2196070</v>
      </c>
      <c r="H8" s="560">
        <f t="shared" si="2"/>
        <v>4532160</v>
      </c>
      <c r="I8" s="560">
        <f>SUM(I9:I10)</f>
        <v>7054575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2522415</v>
      </c>
    </row>
    <row r="9" spans="1:20" outlineLevel="1" x14ac:dyDescent="0.35">
      <c r="A9" s="556" t="s">
        <v>996</v>
      </c>
      <c r="C9" s="561">
        <v>1994339</v>
      </c>
      <c r="D9" s="561">
        <v>3969216</v>
      </c>
      <c r="E9" s="561">
        <v>6084513</v>
      </c>
      <c r="F9" s="561">
        <v>8258471</v>
      </c>
      <c r="G9" s="561">
        <v>1988954</v>
      </c>
      <c r="H9" s="561">
        <v>4153291</v>
      </c>
      <c r="I9" s="561">
        <v>6683772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2530481</v>
      </c>
    </row>
    <row r="10" spans="1:20" outlineLevel="1" x14ac:dyDescent="0.35">
      <c r="A10" s="556" t="s">
        <v>997</v>
      </c>
      <c r="C10" s="561">
        <v>415</v>
      </c>
      <c r="D10" s="561">
        <v>168085</v>
      </c>
      <c r="E10" s="561">
        <v>263173</v>
      </c>
      <c r="F10" s="561">
        <v>393436</v>
      </c>
      <c r="G10" s="561">
        <v>207116</v>
      </c>
      <c r="H10" s="561">
        <v>378869</v>
      </c>
      <c r="I10" s="561">
        <v>370803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-8066</v>
      </c>
    </row>
    <row r="11" spans="1:20" x14ac:dyDescent="0.35">
      <c r="A11" s="555" t="s">
        <v>248</v>
      </c>
      <c r="C11" s="560">
        <v>15422</v>
      </c>
      <c r="D11" s="560">
        <v>25213</v>
      </c>
      <c r="E11" s="560">
        <v>26397</v>
      </c>
      <c r="F11" s="560">
        <v>33829</v>
      </c>
      <c r="G11" s="560">
        <v>12636</v>
      </c>
      <c r="H11" s="560">
        <v>16073</v>
      </c>
      <c r="I11" s="560">
        <v>22991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6918</v>
      </c>
    </row>
    <row r="12" spans="1:20" x14ac:dyDescent="0.35">
      <c r="A12" s="555" t="s">
        <v>252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0</v>
      </c>
    </row>
    <row r="13" spans="1:20" x14ac:dyDescent="0.35">
      <c r="A13" s="555" t="s">
        <v>249</v>
      </c>
      <c r="C13" s="560">
        <v>334357</v>
      </c>
      <c r="D13" s="560">
        <v>775002</v>
      </c>
      <c r="E13" s="560">
        <v>1272350</v>
      </c>
      <c r="F13" s="560">
        <v>1836399</v>
      </c>
      <c r="G13" s="560">
        <v>614464</v>
      </c>
      <c r="H13" s="560">
        <v>1092161</v>
      </c>
      <c r="I13" s="560">
        <v>1696083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603922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0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0</v>
      </c>
    </row>
    <row r="17" spans="1:20" x14ac:dyDescent="0.35">
      <c r="A17" s="555" t="s">
        <v>254</v>
      </c>
      <c r="C17" s="560">
        <f t="shared" ref="C17:H17" si="4">SUM(C18:C25)</f>
        <v>275854</v>
      </c>
      <c r="D17" s="560">
        <f t="shared" si="4"/>
        <v>551077</v>
      </c>
      <c r="E17" s="560">
        <f t="shared" si="4"/>
        <v>544166</v>
      </c>
      <c r="F17" s="560">
        <f t="shared" si="4"/>
        <v>739661</v>
      </c>
      <c r="G17" s="560">
        <f t="shared" si="4"/>
        <v>146810</v>
      </c>
      <c r="H17" s="560">
        <f t="shared" si="4"/>
        <v>391892</v>
      </c>
      <c r="I17" s="560">
        <f>SUM(I18:I25)</f>
        <v>845962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454070</v>
      </c>
    </row>
    <row r="18" spans="1:20" outlineLevel="1" x14ac:dyDescent="0.35">
      <c r="A18" s="556" t="s">
        <v>999</v>
      </c>
      <c r="C18" s="561">
        <v>90771</v>
      </c>
      <c r="D18" s="561">
        <v>180327</v>
      </c>
      <c r="E18" s="561">
        <v>285154</v>
      </c>
      <c r="F18" s="561">
        <v>394180</v>
      </c>
      <c r="G18" s="561">
        <v>120831</v>
      </c>
      <c r="H18" s="561">
        <v>217637</v>
      </c>
      <c r="I18" s="561">
        <v>345458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127821</v>
      </c>
    </row>
    <row r="19" spans="1:20" outlineLevel="1" x14ac:dyDescent="0.35">
      <c r="A19" s="556" t="s">
        <v>1000</v>
      </c>
      <c r="C19" s="561">
        <v>83714</v>
      </c>
      <c r="D19" s="561">
        <v>229284</v>
      </c>
      <c r="E19" s="561">
        <v>78426</v>
      </c>
      <c r="F19" s="561">
        <v>123449</v>
      </c>
      <c r="G19" s="561">
        <v>-28603</v>
      </c>
      <c r="H19" s="561">
        <v>54256</v>
      </c>
      <c r="I19" s="561">
        <v>313335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259079</v>
      </c>
    </row>
    <row r="20" spans="1:20" outlineLevel="1" x14ac:dyDescent="0.35">
      <c r="A20" s="556" t="s">
        <v>1001</v>
      </c>
      <c r="C20" s="561">
        <v>0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>
        <v>0</v>
      </c>
      <c r="D21" s="561">
        <v>0</v>
      </c>
      <c r="E21" s="561">
        <v>0</v>
      </c>
      <c r="F21" s="561">
        <v>0</v>
      </c>
      <c r="G21" s="561">
        <v>0</v>
      </c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0</v>
      </c>
    </row>
    <row r="22" spans="1:20" outlineLevel="1" x14ac:dyDescent="0.35">
      <c r="A22" s="556" t="s">
        <v>1003</v>
      </c>
      <c r="C22" s="561">
        <v>0</v>
      </c>
      <c r="D22" s="561">
        <v>0</v>
      </c>
      <c r="E22" s="561">
        <v>0</v>
      </c>
      <c r="F22" s="561">
        <v>0</v>
      </c>
      <c r="G22" s="561">
        <v>0</v>
      </c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0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0</v>
      </c>
    </row>
    <row r="25" spans="1:20" outlineLevel="1" x14ac:dyDescent="0.35">
      <c r="A25" s="556" t="s">
        <v>254</v>
      </c>
      <c r="C25" s="561">
        <v>101369</v>
      </c>
      <c r="D25" s="561">
        <v>141466</v>
      </c>
      <c r="E25" s="561">
        <v>180586</v>
      </c>
      <c r="F25" s="561">
        <v>222032</v>
      </c>
      <c r="G25" s="561">
        <v>54582</v>
      </c>
      <c r="H25" s="561">
        <v>119999</v>
      </c>
      <c r="I25" s="561">
        <v>187169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67170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-749683</v>
      </c>
      <c r="D27" s="558">
        <f t="shared" si="6"/>
        <v>-1476086</v>
      </c>
      <c r="E27" s="558">
        <f t="shared" si="6"/>
        <v>-2117428</v>
      </c>
      <c r="F27" s="558">
        <f t="shared" si="6"/>
        <v>-2748574</v>
      </c>
      <c r="G27" s="558">
        <f t="shared" si="6"/>
        <v>-636024</v>
      </c>
      <c r="H27" s="558">
        <f t="shared" si="6"/>
        <v>-1288400</v>
      </c>
      <c r="I27" s="558">
        <f>SUM(I29:I37)</f>
        <v>-2096548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-808148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-449368</v>
      </c>
      <c r="D29" s="561">
        <v>-865978</v>
      </c>
      <c r="E29" s="561">
        <v>-1170189</v>
      </c>
      <c r="F29" s="561">
        <v>-1484427</v>
      </c>
      <c r="G29" s="561">
        <v>-291462</v>
      </c>
      <c r="H29" s="561">
        <v>-626994</v>
      </c>
      <c r="I29" s="561">
        <v>-1035631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-408637</v>
      </c>
    </row>
    <row r="30" spans="1:20" outlineLevel="1" x14ac:dyDescent="0.35">
      <c r="A30" s="556" t="s">
        <v>1007</v>
      </c>
      <c r="C30" s="561">
        <v>-151274</v>
      </c>
      <c r="D30" s="561">
        <v>-312538</v>
      </c>
      <c r="E30" s="561">
        <v>-508694</v>
      </c>
      <c r="F30" s="561">
        <v>-678977</v>
      </c>
      <c r="G30" s="561">
        <v>-192129</v>
      </c>
      <c r="H30" s="561">
        <v>-356095</v>
      </c>
      <c r="I30" s="561">
        <v>-593894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-237799</v>
      </c>
    </row>
    <row r="31" spans="1:20" outlineLevel="1" x14ac:dyDescent="0.35">
      <c r="A31" s="556" t="s">
        <v>1008</v>
      </c>
      <c r="C31" s="561">
        <v>0</v>
      </c>
      <c r="D31" s="561">
        <v>0</v>
      </c>
      <c r="E31" s="561">
        <v>0</v>
      </c>
      <c r="F31" s="561">
        <v>0</v>
      </c>
      <c r="G31" s="561">
        <v>0</v>
      </c>
      <c r="H31" s="561">
        <v>0</v>
      </c>
      <c r="I31" s="561">
        <v>0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0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0</v>
      </c>
    </row>
    <row r="33" spans="1:20" outlineLevel="1" x14ac:dyDescent="0.35">
      <c r="A33" s="556" t="s">
        <v>1010</v>
      </c>
      <c r="C33" s="561">
        <v>-13512</v>
      </c>
      <c r="D33" s="561">
        <v>-27828</v>
      </c>
      <c r="E33" s="561">
        <v>-43568</v>
      </c>
      <c r="F33" s="561">
        <v>-60517</v>
      </c>
      <c r="G33" s="561">
        <v>-16033</v>
      </c>
      <c r="H33" s="561">
        <v>-32841</v>
      </c>
      <c r="I33" s="561">
        <v>-52386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-19545</v>
      </c>
    </row>
    <row r="34" spans="1:20" outlineLevel="1" x14ac:dyDescent="0.35">
      <c r="A34" s="556" t="s">
        <v>1011</v>
      </c>
      <c r="C34" s="561">
        <v>-2402</v>
      </c>
      <c r="D34" s="561">
        <v>-4803</v>
      </c>
      <c r="E34" s="561">
        <v>-7475</v>
      </c>
      <c r="F34" s="561">
        <v>-10281</v>
      </c>
      <c r="G34" s="561">
        <v>-2806</v>
      </c>
      <c r="H34" s="561">
        <v>-5613</v>
      </c>
      <c r="I34" s="561">
        <v>-8338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-2725</v>
      </c>
    </row>
    <row r="35" spans="1:20" outlineLevel="1" x14ac:dyDescent="0.35">
      <c r="A35" s="556" t="s">
        <v>1012</v>
      </c>
      <c r="C35" s="561">
        <v>-119622</v>
      </c>
      <c r="D35" s="561">
        <v>-237651</v>
      </c>
      <c r="E35" s="561">
        <v>-354884</v>
      </c>
      <c r="F35" s="561">
        <v>-472116</v>
      </c>
      <c r="G35" s="561">
        <v>-124744</v>
      </c>
      <c r="H35" s="561">
        <v>-249109</v>
      </c>
      <c r="I35" s="561">
        <v>-381923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-132814</v>
      </c>
    </row>
    <row r="36" spans="1:20" outlineLevel="1" x14ac:dyDescent="0.35">
      <c r="A36" s="556" t="s">
        <v>1013</v>
      </c>
      <c r="C36" s="561">
        <v>-330</v>
      </c>
      <c r="D36" s="561">
        <v>-707</v>
      </c>
      <c r="E36" s="561">
        <v>-1114</v>
      </c>
      <c r="F36" s="561">
        <v>-1572</v>
      </c>
      <c r="G36" s="561">
        <v>-364</v>
      </c>
      <c r="H36" s="561">
        <v>-762</v>
      </c>
      <c r="I36" s="561">
        <v>-1238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-476</v>
      </c>
    </row>
    <row r="37" spans="1:20" outlineLevel="1" x14ac:dyDescent="0.35">
      <c r="A37" s="556" t="s">
        <v>270</v>
      </c>
      <c r="C37" s="561">
        <v>-13175</v>
      </c>
      <c r="D37" s="561">
        <v>-26581</v>
      </c>
      <c r="E37" s="561">
        <v>-31504</v>
      </c>
      <c r="F37" s="561">
        <v>-40684</v>
      </c>
      <c r="G37" s="561">
        <v>-8486</v>
      </c>
      <c r="H37" s="561">
        <v>-16986</v>
      </c>
      <c r="I37" s="561">
        <v>-23138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-6152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1870704</v>
      </c>
      <c r="D39" s="558">
        <f t="shared" si="8"/>
        <v>4012507</v>
      </c>
      <c r="E39" s="558">
        <f t="shared" si="8"/>
        <v>6073171</v>
      </c>
      <c r="F39" s="558">
        <f t="shared" si="8"/>
        <v>8513222</v>
      </c>
      <c r="G39" s="558">
        <f t="shared" si="8"/>
        <v>2333956</v>
      </c>
      <c r="H39" s="558">
        <f t="shared" si="8"/>
        <v>4743886</v>
      </c>
      <c r="I39" s="558">
        <f>I27+I6</f>
        <v>7523063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2779177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-1214615</v>
      </c>
      <c r="D41" s="562">
        <f t="shared" si="9"/>
        <v>-2544566</v>
      </c>
      <c r="E41" s="562">
        <f t="shared" si="9"/>
        <v>-4000301</v>
      </c>
      <c r="F41" s="562">
        <f t="shared" si="9"/>
        <v>-5588277</v>
      </c>
      <c r="G41" s="562">
        <f t="shared" si="9"/>
        <v>-1662600</v>
      </c>
      <c r="H41" s="562">
        <f t="shared" si="9"/>
        <v>-3198367</v>
      </c>
      <c r="I41" s="562">
        <f>SUM(I43:I48)</f>
        <v>-4877064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-1678697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-735511</v>
      </c>
      <c r="D43" s="560">
        <v>-1468504</v>
      </c>
      <c r="E43" s="560">
        <v>-2272614</v>
      </c>
      <c r="F43" s="560">
        <v>-3118443</v>
      </c>
      <c r="G43" s="560">
        <v>-853306</v>
      </c>
      <c r="H43" s="560">
        <v>-1725753</v>
      </c>
      <c r="I43" s="560">
        <v>-2621027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-895274</v>
      </c>
    </row>
    <row r="44" spans="1:20" x14ac:dyDescent="0.35">
      <c r="A44" s="555" t="s">
        <v>1016</v>
      </c>
      <c r="C44" s="560">
        <v>-334357</v>
      </c>
      <c r="D44" s="560">
        <v>-775002</v>
      </c>
      <c r="E44" s="560">
        <v>-1272350</v>
      </c>
      <c r="F44" s="560">
        <v>-1836399</v>
      </c>
      <c r="G44" s="560">
        <v>-614464</v>
      </c>
      <c r="H44" s="560">
        <v>-1092161</v>
      </c>
      <c r="I44" s="560">
        <v>-1696083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-603922</v>
      </c>
    </row>
    <row r="45" spans="1:20" x14ac:dyDescent="0.35">
      <c r="A45" s="555" t="s">
        <v>312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-144747</v>
      </c>
      <c r="D48" s="560">
        <f t="shared" si="11"/>
        <v>-301060</v>
      </c>
      <c r="E48" s="560">
        <f t="shared" si="11"/>
        <v>-455337</v>
      </c>
      <c r="F48" s="560">
        <f t="shared" si="11"/>
        <v>-633435</v>
      </c>
      <c r="G48" s="560">
        <f t="shared" si="11"/>
        <v>-194830</v>
      </c>
      <c r="H48" s="560">
        <f t="shared" si="11"/>
        <v>-380453</v>
      </c>
      <c r="I48" s="560">
        <f>SUM(I49:I55)</f>
        <v>-559954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-179501</v>
      </c>
    </row>
    <row r="49" spans="1:20" outlineLevel="1" x14ac:dyDescent="0.35">
      <c r="A49" s="556" t="s">
        <v>1019</v>
      </c>
      <c r="C49" s="561">
        <v>-12024</v>
      </c>
      <c r="D49" s="561">
        <v>-24257</v>
      </c>
      <c r="E49" s="561">
        <v>-36269</v>
      </c>
      <c r="F49" s="561">
        <v>-49036</v>
      </c>
      <c r="G49" s="561">
        <v>-13589</v>
      </c>
      <c r="H49" s="561">
        <v>-26965</v>
      </c>
      <c r="I49" s="561">
        <v>-39596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-12631</v>
      </c>
    </row>
    <row r="50" spans="1:20" outlineLevel="1" x14ac:dyDescent="0.35">
      <c r="A50" s="556" t="s">
        <v>1020</v>
      </c>
      <c r="C50" s="561">
        <v>-3183</v>
      </c>
      <c r="D50" s="561">
        <v>-7797</v>
      </c>
      <c r="E50" s="561">
        <v>-11461</v>
      </c>
      <c r="F50" s="561">
        <v>-19861</v>
      </c>
      <c r="G50" s="561">
        <v>-4296</v>
      </c>
      <c r="H50" s="561">
        <v>-6540</v>
      </c>
      <c r="I50" s="561">
        <v>-10927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-4387</v>
      </c>
    </row>
    <row r="51" spans="1:20" outlineLevel="1" x14ac:dyDescent="0.35">
      <c r="A51" s="556" t="s">
        <v>1021</v>
      </c>
      <c r="C51" s="561">
        <v>-56932</v>
      </c>
      <c r="D51" s="561">
        <v>-118182</v>
      </c>
      <c r="E51" s="561">
        <v>-181474</v>
      </c>
      <c r="F51" s="561">
        <v>-255063</v>
      </c>
      <c r="G51" s="561">
        <v>-67340</v>
      </c>
      <c r="H51" s="561">
        <v>-145914</v>
      </c>
      <c r="I51" s="561">
        <v>-229771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-83857</v>
      </c>
    </row>
    <row r="52" spans="1:20" outlineLevel="1" x14ac:dyDescent="0.35">
      <c r="A52" s="556" t="s">
        <v>1022</v>
      </c>
      <c r="C52" s="561">
        <v>-75275</v>
      </c>
      <c r="D52" s="561">
        <v>-155881</v>
      </c>
      <c r="E52" s="561">
        <v>-234452</v>
      </c>
      <c r="F52" s="561">
        <v>-326574</v>
      </c>
      <c r="G52" s="561">
        <v>-104498</v>
      </c>
      <c r="H52" s="561">
        <v>-198164</v>
      </c>
      <c r="I52" s="561">
        <v>-291990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-93826</v>
      </c>
    </row>
    <row r="53" spans="1:20" outlineLevel="1" x14ac:dyDescent="0.35">
      <c r="A53" s="556" t="s">
        <v>1023</v>
      </c>
      <c r="C53" s="561">
        <v>2871</v>
      </c>
      <c r="D53" s="561">
        <v>5392</v>
      </c>
      <c r="E53" s="561">
        <v>8774</v>
      </c>
      <c r="F53" s="561">
        <v>17631</v>
      </c>
      <c r="G53" s="561">
        <v>-4768</v>
      </c>
      <c r="H53" s="561">
        <v>-2269</v>
      </c>
      <c r="I53" s="561">
        <v>11437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13706</v>
      </c>
    </row>
    <row r="54" spans="1:20" outlineLevel="1" x14ac:dyDescent="0.35">
      <c r="A54" s="556" t="s">
        <v>1024</v>
      </c>
      <c r="C54" s="561">
        <v>-387</v>
      </c>
      <c r="D54" s="561">
        <v>-808</v>
      </c>
      <c r="E54" s="561">
        <v>-1373</v>
      </c>
      <c r="F54" s="561">
        <v>-2044</v>
      </c>
      <c r="G54" s="561">
        <v>-634</v>
      </c>
      <c r="H54" s="561">
        <v>-1331</v>
      </c>
      <c r="I54" s="561">
        <v>-2080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-749</v>
      </c>
    </row>
    <row r="55" spans="1:20" outlineLevel="1" x14ac:dyDescent="0.35">
      <c r="A55" s="556" t="s">
        <v>1025</v>
      </c>
      <c r="C55" s="561">
        <v>183</v>
      </c>
      <c r="D55" s="561">
        <v>473</v>
      </c>
      <c r="E55" s="561">
        <v>918</v>
      </c>
      <c r="F55" s="561">
        <v>1512</v>
      </c>
      <c r="G55" s="561">
        <v>295</v>
      </c>
      <c r="H55" s="561">
        <v>730</v>
      </c>
      <c r="I55" s="561">
        <v>2973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2243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656089</v>
      </c>
      <c r="D57" s="558">
        <f t="shared" si="13"/>
        <v>1467941</v>
      </c>
      <c r="E57" s="558">
        <f t="shared" si="13"/>
        <v>2072870</v>
      </c>
      <c r="F57" s="558">
        <f t="shared" si="13"/>
        <v>2924945</v>
      </c>
      <c r="G57" s="558">
        <f t="shared" si="13"/>
        <v>671356</v>
      </c>
      <c r="H57" s="558">
        <f t="shared" si="13"/>
        <v>1545519</v>
      </c>
      <c r="I57" s="558">
        <f>I39+I41</f>
        <v>2645999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1100480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-184112</v>
      </c>
      <c r="D59" s="562">
        <f t="shared" si="14"/>
        <v>-410235</v>
      </c>
      <c r="E59" s="562">
        <f t="shared" si="14"/>
        <v>-601123</v>
      </c>
      <c r="F59" s="562">
        <f t="shared" si="14"/>
        <v>-906335</v>
      </c>
      <c r="G59" s="562">
        <f t="shared" si="14"/>
        <v>-94817</v>
      </c>
      <c r="H59" s="562">
        <f t="shared" si="14"/>
        <v>-229755</v>
      </c>
      <c r="I59" s="562">
        <f>I61+I67+I68+I77+I78</f>
        <v>-441607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-211852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-39253</v>
      </c>
      <c r="D61" s="560">
        <f t="shared" si="15"/>
        <v>-85974</v>
      </c>
      <c r="E61" s="560">
        <f t="shared" si="15"/>
        <v>-131866</v>
      </c>
      <c r="F61" s="560">
        <f t="shared" si="15"/>
        <v>-200564</v>
      </c>
      <c r="G61" s="560">
        <f t="shared" si="15"/>
        <v>-50691</v>
      </c>
      <c r="H61" s="560">
        <f t="shared" si="15"/>
        <v>-104926</v>
      </c>
      <c r="I61" s="560">
        <f>SUM(I62:I66)</f>
        <v>-159569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-54643</v>
      </c>
    </row>
    <row r="62" spans="1:20" outlineLevel="1" x14ac:dyDescent="0.35">
      <c r="A62" s="556" t="s">
        <v>1029</v>
      </c>
      <c r="C62" s="561">
        <v>-6584</v>
      </c>
      <c r="D62" s="561">
        <v>-12888</v>
      </c>
      <c r="E62" s="561">
        <v>-19698</v>
      </c>
      <c r="F62" s="561">
        <v>-24173</v>
      </c>
      <c r="G62" s="561">
        <v>-6554</v>
      </c>
      <c r="H62" s="561">
        <v>-13213</v>
      </c>
      <c r="I62" s="561">
        <v>-20123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-6910</v>
      </c>
    </row>
    <row r="63" spans="1:20" outlineLevel="1" x14ac:dyDescent="0.35">
      <c r="A63" s="556" t="s">
        <v>1030</v>
      </c>
      <c r="C63" s="561">
        <v>-2810</v>
      </c>
      <c r="D63" s="561">
        <v>-5140</v>
      </c>
      <c r="E63" s="561">
        <v>-8194</v>
      </c>
      <c r="F63" s="561">
        <v>-11299</v>
      </c>
      <c r="G63" s="561">
        <v>-2370</v>
      </c>
      <c r="H63" s="561">
        <v>-5082</v>
      </c>
      <c r="I63" s="561">
        <v>-8942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-3860</v>
      </c>
    </row>
    <row r="64" spans="1:20" outlineLevel="1" x14ac:dyDescent="0.35">
      <c r="A64" s="556" t="s">
        <v>1031</v>
      </c>
      <c r="C64" s="561">
        <v>-30299</v>
      </c>
      <c r="D64" s="561">
        <v>-66342</v>
      </c>
      <c r="E64" s="561">
        <v>-103539</v>
      </c>
      <c r="F64" s="561">
        <v>-159206</v>
      </c>
      <c r="G64" s="561">
        <v>-41628</v>
      </c>
      <c r="H64" s="561">
        <v>-84106</v>
      </c>
      <c r="I64" s="561">
        <v>-130044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-45938</v>
      </c>
    </row>
    <row r="65" spans="1:20" outlineLevel="1" x14ac:dyDescent="0.35">
      <c r="A65" s="556" t="s">
        <v>1032</v>
      </c>
      <c r="C65" s="561">
        <v>-905</v>
      </c>
      <c r="D65" s="561">
        <v>-1736</v>
      </c>
      <c r="E65" s="561">
        <v>-2767</v>
      </c>
      <c r="F65" s="561">
        <v>-3866</v>
      </c>
      <c r="G65" s="561">
        <v>-1070</v>
      </c>
      <c r="H65" s="561">
        <v>-2251</v>
      </c>
      <c r="I65" s="561">
        <v>-3416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-1165</v>
      </c>
    </row>
    <row r="66" spans="1:20" outlineLevel="1" x14ac:dyDescent="0.35">
      <c r="A66" s="556" t="s">
        <v>1033</v>
      </c>
      <c r="C66" s="561">
        <v>1345</v>
      </c>
      <c r="D66" s="561">
        <v>132</v>
      </c>
      <c r="E66" s="561">
        <v>2332</v>
      </c>
      <c r="F66" s="561">
        <v>-2020</v>
      </c>
      <c r="G66" s="561">
        <v>931</v>
      </c>
      <c r="H66" s="561">
        <v>-274</v>
      </c>
      <c r="I66" s="561">
        <v>2956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3230</v>
      </c>
    </row>
    <row r="67" spans="1:20" x14ac:dyDescent="0.35">
      <c r="A67" s="555" t="s">
        <v>1034</v>
      </c>
      <c r="C67" s="563">
        <v>-44904</v>
      </c>
      <c r="D67" s="563">
        <v>-79478</v>
      </c>
      <c r="E67" s="563">
        <v>-129421</v>
      </c>
      <c r="F67" s="563">
        <v>-95999</v>
      </c>
      <c r="G67" s="563">
        <v>-31861</v>
      </c>
      <c r="H67" s="563">
        <v>-57500</v>
      </c>
      <c r="I67" s="563">
        <v>-111447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-53947</v>
      </c>
    </row>
    <row r="68" spans="1:20" x14ac:dyDescent="0.35">
      <c r="A68" s="555" t="s">
        <v>1035</v>
      </c>
      <c r="C68" s="560">
        <f t="shared" ref="C68:H68" si="17">SUM(C69:C76)</f>
        <v>-58020</v>
      </c>
      <c r="D68" s="560">
        <f t="shared" si="17"/>
        <v>-125780</v>
      </c>
      <c r="E68" s="560">
        <f t="shared" si="17"/>
        <v>-192203</v>
      </c>
      <c r="F68" s="560">
        <f t="shared" si="17"/>
        <v>-261035</v>
      </c>
      <c r="G68" s="560">
        <f t="shared" si="17"/>
        <v>-37263</v>
      </c>
      <c r="H68" s="560">
        <f t="shared" si="17"/>
        <v>-41615</v>
      </c>
      <c r="I68" s="560">
        <f>SUM(I69:I76)</f>
        <v>-80561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-38946</v>
      </c>
    </row>
    <row r="69" spans="1:20" outlineLevel="1" x14ac:dyDescent="0.35">
      <c r="A69" s="556" t="s">
        <v>1036</v>
      </c>
      <c r="C69" s="561">
        <v>-22111</v>
      </c>
      <c r="D69" s="561">
        <v>-47008</v>
      </c>
      <c r="E69" s="561">
        <v>-71763</v>
      </c>
      <c r="F69" s="561">
        <v>-104755</v>
      </c>
      <c r="G69" s="561">
        <v>-27735</v>
      </c>
      <c r="H69" s="561">
        <v>-52759</v>
      </c>
      <c r="I69" s="561">
        <v>-74904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-22145</v>
      </c>
    </row>
    <row r="70" spans="1:20" outlineLevel="1" x14ac:dyDescent="0.35">
      <c r="A70" s="556" t="s">
        <v>1037</v>
      </c>
      <c r="C70" s="561">
        <v>-279</v>
      </c>
      <c r="D70" s="561">
        <v>-594</v>
      </c>
      <c r="E70" s="561">
        <v>-1100</v>
      </c>
      <c r="F70" s="561">
        <v>1016</v>
      </c>
      <c r="G70" s="561">
        <v>103</v>
      </c>
      <c r="H70" s="561">
        <v>1475</v>
      </c>
      <c r="I70" s="561">
        <v>4491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3016</v>
      </c>
    </row>
    <row r="71" spans="1:20" outlineLevel="1" x14ac:dyDescent="0.35">
      <c r="A71" s="556" t="s">
        <v>1038</v>
      </c>
      <c r="C71" s="561">
        <v>-18907</v>
      </c>
      <c r="D71" s="561">
        <v>-45237</v>
      </c>
      <c r="E71" s="561">
        <v>-65268</v>
      </c>
      <c r="F71" s="561">
        <v>-88874</v>
      </c>
      <c r="G71" s="561">
        <v>7789</v>
      </c>
      <c r="H71" s="561">
        <v>41535</v>
      </c>
      <c r="I71" s="561">
        <v>33958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-7577</v>
      </c>
    </row>
    <row r="72" spans="1:20" outlineLevel="1" x14ac:dyDescent="0.35">
      <c r="A72" s="556" t="s">
        <v>1039</v>
      </c>
      <c r="C72" s="561">
        <v>192</v>
      </c>
      <c r="D72" s="561">
        <v>487</v>
      </c>
      <c r="E72" s="561">
        <v>390</v>
      </c>
      <c r="F72" s="561">
        <v>-229</v>
      </c>
      <c r="G72" s="561">
        <v>-78</v>
      </c>
      <c r="H72" s="561">
        <v>-214</v>
      </c>
      <c r="I72" s="561">
        <v>-331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-117</v>
      </c>
    </row>
    <row r="73" spans="1:20" outlineLevel="1" x14ac:dyDescent="0.35">
      <c r="A73" s="556" t="s">
        <v>1040</v>
      </c>
      <c r="C73" s="561">
        <v>-958</v>
      </c>
      <c r="D73" s="561">
        <v>-1139</v>
      </c>
      <c r="E73" s="561">
        <v>-1652</v>
      </c>
      <c r="F73" s="561">
        <v>4695</v>
      </c>
      <c r="G73" s="561">
        <v>-1315</v>
      </c>
      <c r="H73" s="561">
        <v>1247</v>
      </c>
      <c r="I73" s="561">
        <v>247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-1000</v>
      </c>
    </row>
    <row r="74" spans="1:20" outlineLevel="1" x14ac:dyDescent="0.35">
      <c r="A74" s="556" t="s">
        <v>1041</v>
      </c>
      <c r="C74" s="561">
        <v>-4486</v>
      </c>
      <c r="D74" s="561">
        <v>-7036</v>
      </c>
      <c r="E74" s="561">
        <v>-12293</v>
      </c>
      <c r="F74" s="561">
        <v>-19057</v>
      </c>
      <c r="G74" s="561">
        <v>-5630</v>
      </c>
      <c r="H74" s="561">
        <v>-11486</v>
      </c>
      <c r="I74" s="561">
        <v>-12653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-1167</v>
      </c>
    </row>
    <row r="75" spans="1:20" outlineLevel="1" x14ac:dyDescent="0.35">
      <c r="A75" s="556" t="s">
        <v>1042</v>
      </c>
      <c r="C75" s="561">
        <v>-11471</v>
      </c>
      <c r="D75" s="561">
        <v>-25253</v>
      </c>
      <c r="E75" s="561">
        <v>-40517</v>
      </c>
      <c r="F75" s="561">
        <v>-53831</v>
      </c>
      <c r="G75" s="561">
        <v>-10397</v>
      </c>
      <c r="H75" s="561">
        <v>-21413</v>
      </c>
      <c r="I75" s="561">
        <v>-31369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-9956</v>
      </c>
    </row>
    <row r="76" spans="1:20" outlineLevel="1" x14ac:dyDescent="0.35">
      <c r="A76" s="556" t="s">
        <v>1043</v>
      </c>
      <c r="C76" s="561">
        <v>0</v>
      </c>
      <c r="D76" s="561">
        <v>0</v>
      </c>
      <c r="E76" s="561">
        <v>0</v>
      </c>
      <c r="F76" s="561">
        <v>0</v>
      </c>
      <c r="G76" s="561">
        <v>0</v>
      </c>
      <c r="H76" s="561">
        <v>0</v>
      </c>
      <c r="I76" s="561">
        <v>0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0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0</v>
      </c>
    </row>
    <row r="78" spans="1:20" x14ac:dyDescent="0.35">
      <c r="A78" s="555" t="s">
        <v>1045</v>
      </c>
      <c r="C78" s="560">
        <f t="shared" ref="C78:H78" si="19">SUM(C79:C80)</f>
        <v>-41935</v>
      </c>
      <c r="D78" s="560">
        <f t="shared" si="19"/>
        <v>-119003</v>
      </c>
      <c r="E78" s="560">
        <f t="shared" si="19"/>
        <v>-147633</v>
      </c>
      <c r="F78" s="560">
        <f t="shared" si="19"/>
        <v>-348737</v>
      </c>
      <c r="G78" s="560">
        <f t="shared" si="19"/>
        <v>24998</v>
      </c>
      <c r="H78" s="560">
        <f t="shared" si="19"/>
        <v>-25714</v>
      </c>
      <c r="I78" s="560">
        <f>SUM(I79:I80)</f>
        <v>-90030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-64316</v>
      </c>
    </row>
    <row r="79" spans="1:20" outlineLevel="1" x14ac:dyDescent="0.35">
      <c r="A79" s="556" t="s">
        <v>1046</v>
      </c>
      <c r="C79" s="561">
        <v>-2613</v>
      </c>
      <c r="D79" s="561">
        <v>-5508</v>
      </c>
      <c r="E79" s="561">
        <v>-10537</v>
      </c>
      <c r="F79" s="561">
        <v>-18778</v>
      </c>
      <c r="G79" s="561">
        <v>-3129</v>
      </c>
      <c r="H79" s="561">
        <v>-5210</v>
      </c>
      <c r="I79" s="561">
        <v>-7775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-2565</v>
      </c>
    </row>
    <row r="80" spans="1:20" outlineLevel="1" x14ac:dyDescent="0.35">
      <c r="A80" s="556" t="s">
        <v>1047</v>
      </c>
      <c r="C80" s="561">
        <v>-39322</v>
      </c>
      <c r="D80" s="561">
        <v>-113495</v>
      </c>
      <c r="E80" s="561">
        <v>-137096</v>
      </c>
      <c r="F80" s="561">
        <v>-329959</v>
      </c>
      <c r="G80" s="561">
        <v>28127</v>
      </c>
      <c r="H80" s="561">
        <v>-20504</v>
      </c>
      <c r="I80" s="561">
        <v>-82255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-61751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558723</v>
      </c>
      <c r="D82" s="558">
        <f t="shared" si="21"/>
        <v>1238840</v>
      </c>
      <c r="E82" s="558">
        <f t="shared" si="21"/>
        <v>1746716</v>
      </c>
      <c r="F82" s="558">
        <f t="shared" si="21"/>
        <v>2399015</v>
      </c>
      <c r="G82" s="558">
        <f t="shared" si="21"/>
        <v>691434</v>
      </c>
      <c r="H82" s="558">
        <f t="shared" si="21"/>
        <v>1535341</v>
      </c>
      <c r="I82" s="558">
        <f>I84-I75-I52-I76</f>
        <v>2527751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992410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471977</v>
      </c>
      <c r="D84" s="558">
        <f t="shared" si="22"/>
        <v>1057706</v>
      </c>
      <c r="E84" s="558">
        <f t="shared" si="22"/>
        <v>1471747</v>
      </c>
      <c r="F84" s="558">
        <f t="shared" si="22"/>
        <v>2018610</v>
      </c>
      <c r="G84" s="558">
        <f t="shared" si="22"/>
        <v>576539</v>
      </c>
      <c r="H84" s="558">
        <f t="shared" si="22"/>
        <v>1315764</v>
      </c>
      <c r="I84" s="558">
        <f>I57+I59</f>
        <v>2204392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888628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-90043</v>
      </c>
      <c r="D86" s="558">
        <f t="shared" si="23"/>
        <v>-200252</v>
      </c>
      <c r="E86" s="558">
        <f t="shared" si="23"/>
        <v>-213768</v>
      </c>
      <c r="F86" s="558">
        <f t="shared" si="23"/>
        <v>-282902</v>
      </c>
      <c r="G86" s="558">
        <f t="shared" si="23"/>
        <v>-103294</v>
      </c>
      <c r="H86" s="558">
        <f t="shared" si="23"/>
        <v>-213058</v>
      </c>
      <c r="I86" s="558">
        <f>I88+I97</f>
        <v>-253692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-40634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264290</v>
      </c>
      <c r="D88" s="562">
        <f t="shared" si="24"/>
        <v>494975</v>
      </c>
      <c r="E88" s="562">
        <f t="shared" si="24"/>
        <v>669794</v>
      </c>
      <c r="F88" s="562">
        <f t="shared" si="24"/>
        <v>850279</v>
      </c>
      <c r="G88" s="562">
        <f t="shared" si="24"/>
        <v>147081</v>
      </c>
      <c r="H88" s="562">
        <f t="shared" si="24"/>
        <v>432645</v>
      </c>
      <c r="I88" s="562">
        <f>SUM(I89:I96)</f>
        <v>511423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78778</v>
      </c>
    </row>
    <row r="89" spans="1:20" outlineLevel="1" x14ac:dyDescent="0.35">
      <c r="A89" s="556" t="s">
        <v>1049</v>
      </c>
      <c r="C89" s="561">
        <v>108133</v>
      </c>
      <c r="D89" s="561">
        <v>228022</v>
      </c>
      <c r="E89" s="561">
        <v>363286</v>
      </c>
      <c r="F89" s="561">
        <v>471296</v>
      </c>
      <c r="G89" s="561">
        <v>110268</v>
      </c>
      <c r="H89" s="561">
        <v>270731</v>
      </c>
      <c r="I89" s="561">
        <v>361802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91071</v>
      </c>
    </row>
    <row r="90" spans="1:20" outlineLevel="1" x14ac:dyDescent="0.35">
      <c r="A90" s="556" t="s">
        <v>1050</v>
      </c>
      <c r="C90" s="561">
        <v>-4961</v>
      </c>
      <c r="D90" s="561">
        <v>-11782</v>
      </c>
      <c r="E90" s="561">
        <v>-18508</v>
      </c>
      <c r="F90" s="561">
        <v>-25847</v>
      </c>
      <c r="G90" s="561">
        <v>-6307</v>
      </c>
      <c r="H90" s="561">
        <v>-11807</v>
      </c>
      <c r="I90" s="561">
        <v>-16980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-5173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>
        <v>46381</v>
      </c>
      <c r="D92" s="561">
        <v>94008</v>
      </c>
      <c r="E92" s="561">
        <v>137923</v>
      </c>
      <c r="F92" s="561">
        <v>187158</v>
      </c>
      <c r="G92" s="561">
        <v>25377</v>
      </c>
      <c r="H92" s="561">
        <v>54488</v>
      </c>
      <c r="I92" s="561">
        <v>82450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27962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>
        <v>4182</v>
      </c>
      <c r="D95" s="561">
        <v>6586</v>
      </c>
      <c r="E95" s="561">
        <v>8934</v>
      </c>
      <c r="F95" s="561">
        <v>9171</v>
      </c>
      <c r="G95" s="561">
        <v>-717</v>
      </c>
      <c r="H95" s="561">
        <v>1057</v>
      </c>
      <c r="I95" s="561">
        <v>-2609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-3666</v>
      </c>
    </row>
    <row r="96" spans="1:20" outlineLevel="1" x14ac:dyDescent="0.35">
      <c r="A96" s="556" t="s">
        <v>1056</v>
      </c>
      <c r="C96" s="561">
        <v>110555</v>
      </c>
      <c r="D96" s="561">
        <v>178141</v>
      </c>
      <c r="E96" s="561">
        <v>178159</v>
      </c>
      <c r="F96" s="561">
        <v>208501</v>
      </c>
      <c r="G96" s="561">
        <v>18460</v>
      </c>
      <c r="H96" s="561">
        <v>118176</v>
      </c>
      <c r="I96" s="561">
        <v>86760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-31416</v>
      </c>
    </row>
    <row r="97" spans="1:20" x14ac:dyDescent="0.35">
      <c r="A97" s="555" t="s">
        <v>279</v>
      </c>
      <c r="C97" s="560">
        <f t="shared" ref="C97:H97" si="26">SUM(C98:C106)</f>
        <v>-354333</v>
      </c>
      <c r="D97" s="560">
        <f t="shared" si="26"/>
        <v>-695227</v>
      </c>
      <c r="E97" s="560">
        <f t="shared" si="26"/>
        <v>-883562</v>
      </c>
      <c r="F97" s="560">
        <f t="shared" si="26"/>
        <v>-1133181</v>
      </c>
      <c r="G97" s="560">
        <f t="shared" si="26"/>
        <v>-250375</v>
      </c>
      <c r="H97" s="560">
        <f t="shared" si="26"/>
        <v>-645703</v>
      </c>
      <c r="I97" s="560">
        <f>SUM(I98:I106)</f>
        <v>-765115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-119412</v>
      </c>
    </row>
    <row r="98" spans="1:20" outlineLevel="1" x14ac:dyDescent="0.35">
      <c r="A98" s="556" t="s">
        <v>1057</v>
      </c>
      <c r="C98" s="561">
        <v>-67687</v>
      </c>
      <c r="D98" s="561">
        <v>-257034</v>
      </c>
      <c r="E98" s="561">
        <v>-348149</v>
      </c>
      <c r="F98" s="561">
        <v>-420533</v>
      </c>
      <c r="G98" s="561">
        <v>-91611</v>
      </c>
      <c r="H98" s="561">
        <v>-199720</v>
      </c>
      <c r="I98" s="561">
        <v>-286715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-86995</v>
      </c>
    </row>
    <row r="99" spans="1:20" outlineLevel="1" x14ac:dyDescent="0.35">
      <c r="A99" s="556" t="s">
        <v>1058</v>
      </c>
      <c r="C99" s="561">
        <v>-12994</v>
      </c>
      <c r="D99" s="561">
        <v>-25917</v>
      </c>
      <c r="E99" s="561">
        <v>-39073</v>
      </c>
      <c r="F99" s="561">
        <v>-52072</v>
      </c>
      <c r="G99" s="561">
        <v>-12439</v>
      </c>
      <c r="H99" s="561">
        <v>-24618</v>
      </c>
      <c r="I99" s="561">
        <v>-37277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-12659</v>
      </c>
    </row>
    <row r="100" spans="1:20" outlineLevel="1" x14ac:dyDescent="0.35">
      <c r="A100" s="556" t="s">
        <v>1059</v>
      </c>
      <c r="C100" s="561">
        <v>-221345</v>
      </c>
      <c r="D100" s="561">
        <v>-298491</v>
      </c>
      <c r="E100" s="561">
        <v>-328612</v>
      </c>
      <c r="F100" s="561">
        <v>-382710</v>
      </c>
      <c r="G100" s="561">
        <v>-110837</v>
      </c>
      <c r="H100" s="561">
        <v>-313166</v>
      </c>
      <c r="I100" s="561">
        <v>-306955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6211</v>
      </c>
    </row>
    <row r="101" spans="1:20" outlineLevel="1" x14ac:dyDescent="0.35">
      <c r="A101" s="556" t="s">
        <v>1060</v>
      </c>
      <c r="C101" s="561">
        <v>-2005</v>
      </c>
      <c r="D101" s="561">
        <v>-3420</v>
      </c>
      <c r="E101" s="561">
        <v>-5463</v>
      </c>
      <c r="F101" s="561">
        <v>-6879</v>
      </c>
      <c r="G101" s="561">
        <v>-1984</v>
      </c>
      <c r="H101" s="561">
        <v>-3361</v>
      </c>
      <c r="I101" s="561">
        <v>-5061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-1700</v>
      </c>
    </row>
    <row r="102" spans="1:20" outlineLevel="1" x14ac:dyDescent="0.35">
      <c r="A102" s="556" t="s">
        <v>1061</v>
      </c>
      <c r="C102" s="561">
        <v>-19613</v>
      </c>
      <c r="D102" s="561">
        <v>-44638</v>
      </c>
      <c r="E102" s="561">
        <v>-55989</v>
      </c>
      <c r="F102" s="561">
        <v>-61614</v>
      </c>
      <c r="G102" s="561">
        <v>-9451</v>
      </c>
      <c r="H102" s="561">
        <v>-20734</v>
      </c>
      <c r="I102" s="561">
        <v>-34123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-13389</v>
      </c>
    </row>
    <row r="103" spans="1:20" outlineLevel="1" x14ac:dyDescent="0.35">
      <c r="A103" s="556" t="s">
        <v>1062</v>
      </c>
      <c r="C103" s="561">
        <v>-268</v>
      </c>
      <c r="D103" s="561">
        <v>-3385</v>
      </c>
      <c r="E103" s="561">
        <v>-2061</v>
      </c>
      <c r="F103" s="561">
        <v>-2091</v>
      </c>
      <c r="G103" s="561">
        <v>-107</v>
      </c>
      <c r="H103" s="561">
        <v>-586</v>
      </c>
      <c r="I103" s="561">
        <v>-648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-62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>
        <v>-1301</v>
      </c>
      <c r="D105" s="561">
        <v>-1742</v>
      </c>
      <c r="E105" s="561">
        <v>-2032</v>
      </c>
      <c r="F105" s="561">
        <v>-2302</v>
      </c>
      <c r="G105" s="561">
        <v>-13</v>
      </c>
      <c r="H105" s="561">
        <v>-19</v>
      </c>
      <c r="I105" s="561">
        <v>-126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-107</v>
      </c>
    </row>
    <row r="106" spans="1:20" outlineLevel="1" x14ac:dyDescent="0.35">
      <c r="A106" s="556" t="s">
        <v>1065</v>
      </c>
      <c r="C106" s="561">
        <v>-29120</v>
      </c>
      <c r="D106" s="561">
        <v>-60600</v>
      </c>
      <c r="E106" s="561">
        <v>-102183</v>
      </c>
      <c r="F106" s="561">
        <v>-204980</v>
      </c>
      <c r="G106" s="561">
        <v>-23933</v>
      </c>
      <c r="H106" s="561">
        <v>-83499</v>
      </c>
      <c r="I106" s="561">
        <v>-94210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-10711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381934</v>
      </c>
      <c r="D108" s="558">
        <f t="shared" si="28"/>
        <v>857454</v>
      </c>
      <c r="E108" s="558">
        <f t="shared" si="28"/>
        <v>1257979</v>
      </c>
      <c r="F108" s="558">
        <f t="shared" si="28"/>
        <v>1735708</v>
      </c>
      <c r="G108" s="558">
        <f t="shared" si="28"/>
        <v>473245</v>
      </c>
      <c r="H108" s="558">
        <f t="shared" si="28"/>
        <v>1102706</v>
      </c>
      <c r="I108" s="558">
        <f>I84+I86</f>
        <v>1950700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847994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I110" si="29">SUM(C112:C115)</f>
        <v>-67131</v>
      </c>
      <c r="D110" s="562">
        <f t="shared" si="29"/>
        <v>-157398</v>
      </c>
      <c r="E110" s="562">
        <f t="shared" si="29"/>
        <v>-189808</v>
      </c>
      <c r="F110" s="562">
        <f t="shared" si="29"/>
        <v>-179309</v>
      </c>
      <c r="G110" s="562">
        <f t="shared" si="29"/>
        <v>-48273</v>
      </c>
      <c r="H110" s="562">
        <f t="shared" si="29"/>
        <v>-158478</v>
      </c>
      <c r="I110" s="562">
        <f t="shared" si="29"/>
        <v>-328818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-170340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-44200</v>
      </c>
      <c r="D112" s="563">
        <v>-75407</v>
      </c>
      <c r="E112" s="563">
        <v>-129288</v>
      </c>
      <c r="F112" s="563">
        <v>-170333</v>
      </c>
      <c r="G112" s="563">
        <v>-49808</v>
      </c>
      <c r="H112" s="563">
        <v>-110431</v>
      </c>
      <c r="I112" s="563">
        <v>-161407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-50976</v>
      </c>
    </row>
    <row r="113" spans="1:20" x14ac:dyDescent="0.35">
      <c r="A113" s="555" t="s">
        <v>282</v>
      </c>
      <c r="C113" s="563">
        <v>-125980</v>
      </c>
      <c r="D113" s="563">
        <v>-214302</v>
      </c>
      <c r="E113" s="563">
        <v>-368854</v>
      </c>
      <c r="F113" s="563">
        <v>-489309</v>
      </c>
      <c r="G113" s="563">
        <v>-142848</v>
      </c>
      <c r="H113" s="563">
        <v>-314843</v>
      </c>
      <c r="I113" s="563">
        <v>-461312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-146469</v>
      </c>
    </row>
    <row r="114" spans="1:20" x14ac:dyDescent="0.35">
      <c r="A114" s="555" t="s">
        <v>284</v>
      </c>
      <c r="C114" s="563">
        <v>62623</v>
      </c>
      <c r="D114" s="563">
        <v>134243</v>
      </c>
      <c r="E114" s="563">
        <v>240397</v>
      </c>
      <c r="F114" s="563">
        <v>393033</v>
      </c>
      <c r="G114" s="563">
        <v>109829</v>
      </c>
      <c r="H114" s="563">
        <v>213031</v>
      </c>
      <c r="I114" s="563">
        <v>331041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118010</v>
      </c>
    </row>
    <row r="115" spans="1:20" x14ac:dyDescent="0.35">
      <c r="A115" s="555" t="s">
        <v>1068</v>
      </c>
      <c r="C115" s="563">
        <v>40426</v>
      </c>
      <c r="D115" s="563">
        <v>-1932</v>
      </c>
      <c r="E115" s="563">
        <v>67937</v>
      </c>
      <c r="F115" s="563">
        <v>87300</v>
      </c>
      <c r="G115" s="563">
        <v>34554</v>
      </c>
      <c r="H115" s="563">
        <v>53765</v>
      </c>
      <c r="I115" s="563">
        <v>-37140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-90905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I117" si="31">C108+C110</f>
        <v>314803</v>
      </c>
      <c r="D117" s="564">
        <f t="shared" si="31"/>
        <v>700056</v>
      </c>
      <c r="E117" s="564">
        <f t="shared" si="31"/>
        <v>1068171</v>
      </c>
      <c r="F117" s="564">
        <f t="shared" si="31"/>
        <v>1556399</v>
      </c>
      <c r="G117" s="564">
        <f t="shared" si="31"/>
        <v>424972</v>
      </c>
      <c r="H117" s="564">
        <f t="shared" si="31"/>
        <v>944228</v>
      </c>
      <c r="I117" s="564">
        <f t="shared" si="31"/>
        <v>1621882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677654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I120" si="32">C117-C121</f>
        <v>303782.37812032929</v>
      </c>
      <c r="D120" s="563">
        <f t="shared" si="32"/>
        <v>675548.44298626517</v>
      </c>
      <c r="E120" s="563">
        <f t="shared" si="32"/>
        <v>1030776.4748721272</v>
      </c>
      <c r="F120" s="563">
        <f t="shared" si="32"/>
        <v>1501912.5914432276</v>
      </c>
      <c r="G120" s="563">
        <f t="shared" si="32"/>
        <v>410094.58230878547</v>
      </c>
      <c r="H120" s="563">
        <f t="shared" si="32"/>
        <v>911172.47080809996</v>
      </c>
      <c r="I120" s="563">
        <f t="shared" si="32"/>
        <v>1565103.1629004676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3">I120-H120</f>
        <v>653930.69209236768</v>
      </c>
    </row>
    <row r="121" spans="1:20" x14ac:dyDescent="0.35">
      <c r="A121" s="555" t="s">
        <v>1072</v>
      </c>
      <c r="C121" s="563">
        <f t="shared" ref="C121:I121" si="34">C117*C126</f>
        <v>11020.621879670702</v>
      </c>
      <c r="D121" s="563">
        <f t="shared" si="34"/>
        <v>24507.55701373479</v>
      </c>
      <c r="E121" s="563">
        <f t="shared" si="34"/>
        <v>37394.525127872774</v>
      </c>
      <c r="F121" s="563">
        <f t="shared" si="34"/>
        <v>54486.40855677233</v>
      </c>
      <c r="G121" s="563">
        <f t="shared" si="34"/>
        <v>14877.417691214561</v>
      </c>
      <c r="H121" s="563">
        <f t="shared" si="34"/>
        <v>33055.529191900037</v>
      </c>
      <c r="I121" s="563">
        <f t="shared" si="34"/>
        <v>56778.837099532335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3"/>
        <v>23723.307907632297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I123" si="35">SUM(C120:C121)</f>
        <v>314803</v>
      </c>
      <c r="D123" s="564">
        <f t="shared" si="35"/>
        <v>700056</v>
      </c>
      <c r="E123" s="564">
        <f t="shared" si="35"/>
        <v>1068171</v>
      </c>
      <c r="F123" s="564">
        <f t="shared" si="35"/>
        <v>1556399</v>
      </c>
      <c r="G123" s="564">
        <f t="shared" si="35"/>
        <v>424972</v>
      </c>
      <c r="H123" s="564">
        <f t="shared" si="35"/>
        <v>944228</v>
      </c>
      <c r="I123" s="564">
        <f t="shared" si="35"/>
        <v>1621882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677654</v>
      </c>
    </row>
    <row r="124" spans="1:20" ht="15" thickTop="1" x14ac:dyDescent="0.35"/>
    <row r="125" spans="1:20" x14ac:dyDescent="0.35">
      <c r="A125" s="569" t="s">
        <v>1086</v>
      </c>
      <c r="C125" s="571">
        <v>0.96499200490570103</v>
      </c>
      <c r="D125" s="571">
        <v>0.96499200490570103</v>
      </c>
      <c r="E125" s="571">
        <v>0.96499200490570103</v>
      </c>
      <c r="F125" s="571">
        <v>0.96499200490570103</v>
      </c>
      <c r="G125" s="571">
        <v>0.96499200490570103</v>
      </c>
      <c r="H125" s="571">
        <v>0.96499200490570103</v>
      </c>
      <c r="I125" s="571">
        <v>0.96499200490570103</v>
      </c>
      <c r="T125" s="571">
        <f>I125</f>
        <v>0.96499200490570103</v>
      </c>
    </row>
    <row r="126" spans="1:20" x14ac:dyDescent="0.35">
      <c r="A126" s="569" t="s">
        <v>1087</v>
      </c>
      <c r="C126" s="571">
        <v>3.5007995094299298E-2</v>
      </c>
      <c r="D126" s="571">
        <v>3.5007995094299298E-2</v>
      </c>
      <c r="E126" s="571">
        <v>3.5007995094299298E-2</v>
      </c>
      <c r="F126" s="571">
        <v>3.5007995094299298E-2</v>
      </c>
      <c r="G126" s="571">
        <v>3.5007995094299298E-2</v>
      </c>
      <c r="H126" s="571">
        <v>3.5007995094299298E-2</v>
      </c>
      <c r="I126" s="571">
        <v>3.5007995094299298E-2</v>
      </c>
      <c r="T126" s="571">
        <f>I126</f>
        <v>3.5007995094299298E-2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D6437-A87E-4059-AA19-2404CDADCC55}">
  <sheetPr>
    <tabColor theme="9" tint="0.79998168889431442"/>
  </sheetPr>
  <dimension ref="A4:T126"/>
  <sheetViews>
    <sheetView showGridLines="0" zoomScale="70" zoomScaleNormal="70" workbookViewId="0">
      <selection activeCell="A3" sqref="A3"/>
    </sheetView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1089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890407</v>
      </c>
      <c r="D6" s="558">
        <f t="shared" si="0"/>
        <v>1883170</v>
      </c>
      <c r="E6" s="558">
        <f t="shared" si="0"/>
        <v>2935071</v>
      </c>
      <c r="F6" s="558">
        <f t="shared" si="0"/>
        <v>4018724</v>
      </c>
      <c r="G6" s="558">
        <f t="shared" si="0"/>
        <v>1038321</v>
      </c>
      <c r="H6" s="558">
        <f t="shared" si="0"/>
        <v>2270917</v>
      </c>
      <c r="I6" s="558">
        <f t="shared" si="0"/>
        <v>3373927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1103010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723232</v>
      </c>
      <c r="D8" s="560">
        <f t="shared" si="2"/>
        <v>1455016</v>
      </c>
      <c r="E8" s="560">
        <f t="shared" si="2"/>
        <v>2235121</v>
      </c>
      <c r="F8" s="560">
        <f t="shared" si="2"/>
        <v>3026897</v>
      </c>
      <c r="G8" s="560">
        <f t="shared" si="2"/>
        <v>797387</v>
      </c>
      <c r="H8" s="560">
        <f t="shared" si="2"/>
        <v>1673221</v>
      </c>
      <c r="I8" s="560">
        <f>SUM(I9:I10)</f>
        <v>2555795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882574</v>
      </c>
    </row>
    <row r="9" spans="1:20" outlineLevel="1" x14ac:dyDescent="0.35">
      <c r="A9" s="556" t="s">
        <v>996</v>
      </c>
      <c r="C9" s="561">
        <v>734525</v>
      </c>
      <c r="D9" s="561">
        <v>1427358</v>
      </c>
      <c r="E9" s="561">
        <v>2097918</v>
      </c>
      <c r="F9" s="561">
        <v>2828658</v>
      </c>
      <c r="G9" s="561">
        <v>731621</v>
      </c>
      <c r="H9" s="561">
        <v>1559863</v>
      </c>
      <c r="I9" s="561">
        <v>2432063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872200</v>
      </c>
    </row>
    <row r="10" spans="1:20" outlineLevel="1" x14ac:dyDescent="0.35">
      <c r="A10" s="556" t="s">
        <v>997</v>
      </c>
      <c r="C10" s="561">
        <v>-11293</v>
      </c>
      <c r="D10" s="561">
        <v>27658</v>
      </c>
      <c r="E10" s="561">
        <v>137203</v>
      </c>
      <c r="F10" s="561">
        <v>198239</v>
      </c>
      <c r="G10" s="561">
        <v>65766</v>
      </c>
      <c r="H10" s="561">
        <v>113358</v>
      </c>
      <c r="I10" s="561">
        <v>123732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10374</v>
      </c>
    </row>
    <row r="11" spans="1:20" x14ac:dyDescent="0.35">
      <c r="A11" s="555" t="s">
        <v>248</v>
      </c>
      <c r="C11" s="560">
        <v>5957</v>
      </c>
      <c r="D11" s="560">
        <v>17053</v>
      </c>
      <c r="E11" s="560">
        <v>22901</v>
      </c>
      <c r="F11" s="560">
        <v>27695</v>
      </c>
      <c r="G11" s="560">
        <v>11032</v>
      </c>
      <c r="H11" s="560">
        <v>19465</v>
      </c>
      <c r="I11" s="560">
        <v>27120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7655</v>
      </c>
    </row>
    <row r="12" spans="1:20" x14ac:dyDescent="0.35">
      <c r="A12" s="555" t="s">
        <v>252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0</v>
      </c>
    </row>
    <row r="13" spans="1:20" x14ac:dyDescent="0.35">
      <c r="A13" s="555" t="s">
        <v>249</v>
      </c>
      <c r="C13" s="560">
        <v>90999</v>
      </c>
      <c r="D13" s="560">
        <v>248057</v>
      </c>
      <c r="E13" s="560">
        <v>481311</v>
      </c>
      <c r="F13" s="560">
        <v>732174</v>
      </c>
      <c r="G13" s="560">
        <v>179768</v>
      </c>
      <c r="H13" s="560">
        <v>454778</v>
      </c>
      <c r="I13" s="560">
        <v>605202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150424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0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0</v>
      </c>
    </row>
    <row r="17" spans="1:20" x14ac:dyDescent="0.35">
      <c r="A17" s="555" t="s">
        <v>254</v>
      </c>
      <c r="C17" s="560">
        <f t="shared" ref="C17:H17" si="4">SUM(C18:C25)</f>
        <v>70219</v>
      </c>
      <c r="D17" s="560">
        <f t="shared" si="4"/>
        <v>163044</v>
      </c>
      <c r="E17" s="560">
        <f t="shared" si="4"/>
        <v>195738</v>
      </c>
      <c r="F17" s="560">
        <f t="shared" si="4"/>
        <v>231958</v>
      </c>
      <c r="G17" s="560">
        <f t="shared" si="4"/>
        <v>50134</v>
      </c>
      <c r="H17" s="560">
        <f t="shared" si="4"/>
        <v>123453</v>
      </c>
      <c r="I17" s="560">
        <f>SUM(I18:I25)</f>
        <v>185810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62357</v>
      </c>
    </row>
    <row r="18" spans="1:20" outlineLevel="1" x14ac:dyDescent="0.35">
      <c r="A18" s="556" t="s">
        <v>999</v>
      </c>
      <c r="C18" s="561">
        <v>26453</v>
      </c>
      <c r="D18" s="561">
        <v>53892</v>
      </c>
      <c r="E18" s="561">
        <v>76377</v>
      </c>
      <c r="F18" s="561">
        <v>96126</v>
      </c>
      <c r="G18" s="561">
        <v>29496</v>
      </c>
      <c r="H18" s="561">
        <v>60643</v>
      </c>
      <c r="I18" s="561">
        <v>93801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33158</v>
      </c>
    </row>
    <row r="19" spans="1:20" outlineLevel="1" x14ac:dyDescent="0.35">
      <c r="A19" s="556" t="s">
        <v>1000</v>
      </c>
      <c r="C19" s="561">
        <v>1214</v>
      </c>
      <c r="D19" s="561">
        <v>3243</v>
      </c>
      <c r="E19" s="561">
        <v>201</v>
      </c>
      <c r="F19" s="561">
        <v>1129</v>
      </c>
      <c r="G19" s="561">
        <v>2219</v>
      </c>
      <c r="H19" s="561">
        <v>3116</v>
      </c>
      <c r="I19" s="561">
        <v>4423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1307</v>
      </c>
    </row>
    <row r="20" spans="1:20" outlineLevel="1" x14ac:dyDescent="0.35">
      <c r="A20" s="556" t="s">
        <v>1001</v>
      </c>
      <c r="C20" s="561">
        <v>0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>
        <v>0</v>
      </c>
      <c r="D21" s="561">
        <v>0</v>
      </c>
      <c r="E21" s="561">
        <v>0</v>
      </c>
      <c r="F21" s="561">
        <v>0</v>
      </c>
      <c r="G21" s="561">
        <v>0</v>
      </c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0</v>
      </c>
    </row>
    <row r="22" spans="1:20" outlineLevel="1" x14ac:dyDescent="0.35">
      <c r="A22" s="556" t="s">
        <v>1003</v>
      </c>
      <c r="C22" s="561">
        <v>0</v>
      </c>
      <c r="D22" s="561">
        <v>0</v>
      </c>
      <c r="E22" s="561">
        <v>0</v>
      </c>
      <c r="F22" s="561">
        <v>0</v>
      </c>
      <c r="G22" s="561">
        <v>0</v>
      </c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0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0</v>
      </c>
    </row>
    <row r="25" spans="1:20" outlineLevel="1" x14ac:dyDescent="0.35">
      <c r="A25" s="556" t="s">
        <v>254</v>
      </c>
      <c r="C25" s="561">
        <v>42552</v>
      </c>
      <c r="D25" s="561">
        <v>105909</v>
      </c>
      <c r="E25" s="561">
        <v>119160</v>
      </c>
      <c r="F25" s="561">
        <v>134703</v>
      </c>
      <c r="G25" s="561">
        <v>18419</v>
      </c>
      <c r="H25" s="561">
        <v>59694</v>
      </c>
      <c r="I25" s="561">
        <v>87586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27892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-302491</v>
      </c>
      <c r="D27" s="558">
        <f t="shared" si="6"/>
        <v>-581007</v>
      </c>
      <c r="E27" s="558">
        <f t="shared" si="6"/>
        <v>-835521</v>
      </c>
      <c r="F27" s="558">
        <f t="shared" si="6"/>
        <v>-1075047</v>
      </c>
      <c r="G27" s="558">
        <f t="shared" si="6"/>
        <v>-259237</v>
      </c>
      <c r="H27" s="558">
        <f t="shared" si="6"/>
        <v>-585471</v>
      </c>
      <c r="I27" s="558">
        <f>SUM(I29:I37)</f>
        <v>-913148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-327677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-181039</v>
      </c>
      <c r="D29" s="561">
        <v>-347249</v>
      </c>
      <c r="E29" s="561">
        <v>-478138</v>
      </c>
      <c r="F29" s="561">
        <v>-598820</v>
      </c>
      <c r="G29" s="561">
        <v>-138211</v>
      </c>
      <c r="H29" s="561">
        <v>-330662</v>
      </c>
      <c r="I29" s="561">
        <v>-541090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-210428</v>
      </c>
    </row>
    <row r="30" spans="1:20" outlineLevel="1" x14ac:dyDescent="0.35">
      <c r="A30" s="556" t="s">
        <v>1007</v>
      </c>
      <c r="C30" s="561">
        <v>-58324</v>
      </c>
      <c r="D30" s="561">
        <v>-111394</v>
      </c>
      <c r="E30" s="561">
        <v>-175965</v>
      </c>
      <c r="F30" s="561">
        <v>-234533</v>
      </c>
      <c r="G30" s="561">
        <v>-59538</v>
      </c>
      <c r="H30" s="561">
        <v>-129112</v>
      </c>
      <c r="I30" s="561">
        <v>-187016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-57904</v>
      </c>
    </row>
    <row r="31" spans="1:20" outlineLevel="1" x14ac:dyDescent="0.35">
      <c r="A31" s="556" t="s">
        <v>1008</v>
      </c>
      <c r="C31" s="561">
        <v>0</v>
      </c>
      <c r="D31" s="561">
        <v>0</v>
      </c>
      <c r="E31" s="561">
        <v>0</v>
      </c>
      <c r="F31" s="561">
        <v>0</v>
      </c>
      <c r="G31" s="561">
        <v>0</v>
      </c>
      <c r="H31" s="561">
        <v>0</v>
      </c>
      <c r="I31" s="561">
        <v>0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0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0</v>
      </c>
    </row>
    <row r="33" spans="1:20" outlineLevel="1" x14ac:dyDescent="0.35">
      <c r="A33" s="556" t="s">
        <v>1010</v>
      </c>
      <c r="C33" s="561">
        <v>-4757</v>
      </c>
      <c r="D33" s="561">
        <v>-10085</v>
      </c>
      <c r="E33" s="561">
        <v>-15509</v>
      </c>
      <c r="F33" s="561">
        <v>-21313</v>
      </c>
      <c r="G33" s="561">
        <v>-5736</v>
      </c>
      <c r="H33" s="561">
        <v>-11603</v>
      </c>
      <c r="I33" s="561">
        <v>-17453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-5850</v>
      </c>
    </row>
    <row r="34" spans="1:20" outlineLevel="1" x14ac:dyDescent="0.35">
      <c r="A34" s="556" t="s">
        <v>1011</v>
      </c>
      <c r="C34" s="561">
        <v>-923</v>
      </c>
      <c r="D34" s="561">
        <v>-1801</v>
      </c>
      <c r="E34" s="561">
        <v>-2678</v>
      </c>
      <c r="F34" s="561">
        <v>-3559</v>
      </c>
      <c r="G34" s="561">
        <v>-889</v>
      </c>
      <c r="H34" s="561">
        <v>-1777</v>
      </c>
      <c r="I34" s="561">
        <v>-2666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-889</v>
      </c>
    </row>
    <row r="35" spans="1:20" outlineLevel="1" x14ac:dyDescent="0.35">
      <c r="A35" s="556" t="s">
        <v>1012</v>
      </c>
      <c r="C35" s="561">
        <v>-49192</v>
      </c>
      <c r="D35" s="561">
        <v>-97696</v>
      </c>
      <c r="E35" s="561">
        <v>-145855</v>
      </c>
      <c r="F35" s="561">
        <v>-194015</v>
      </c>
      <c r="G35" s="561">
        <v>-48820</v>
      </c>
      <c r="H35" s="561">
        <v>-97490</v>
      </c>
      <c r="I35" s="561">
        <v>-146160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-48670</v>
      </c>
    </row>
    <row r="36" spans="1:20" outlineLevel="1" x14ac:dyDescent="0.35">
      <c r="A36" s="556" t="s">
        <v>1013</v>
      </c>
      <c r="C36" s="561">
        <v>-122</v>
      </c>
      <c r="D36" s="561">
        <v>-296</v>
      </c>
      <c r="E36" s="561">
        <v>-369</v>
      </c>
      <c r="F36" s="561">
        <v>-549</v>
      </c>
      <c r="G36" s="561">
        <v>-50</v>
      </c>
      <c r="H36" s="561">
        <v>-174</v>
      </c>
      <c r="I36" s="561">
        <v>-231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-57</v>
      </c>
    </row>
    <row r="37" spans="1:20" outlineLevel="1" x14ac:dyDescent="0.35">
      <c r="A37" s="556" t="s">
        <v>270</v>
      </c>
      <c r="C37" s="561">
        <v>-8134</v>
      </c>
      <c r="D37" s="561">
        <v>-12486</v>
      </c>
      <c r="E37" s="561">
        <v>-17007</v>
      </c>
      <c r="F37" s="561">
        <v>-22258</v>
      </c>
      <c r="G37" s="561">
        <v>-5993</v>
      </c>
      <c r="H37" s="561">
        <v>-14653</v>
      </c>
      <c r="I37" s="561">
        <v>-18532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-3879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587916</v>
      </c>
      <c r="D39" s="558">
        <f t="shared" si="8"/>
        <v>1302163</v>
      </c>
      <c r="E39" s="558">
        <f t="shared" si="8"/>
        <v>2099550</v>
      </c>
      <c r="F39" s="558">
        <f t="shared" si="8"/>
        <v>2943677</v>
      </c>
      <c r="G39" s="558">
        <f t="shared" si="8"/>
        <v>779084</v>
      </c>
      <c r="H39" s="558">
        <f t="shared" si="8"/>
        <v>1685446</v>
      </c>
      <c r="I39" s="558">
        <f>I27+I6</f>
        <v>2460779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775333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-409926</v>
      </c>
      <c r="D41" s="562">
        <f t="shared" si="9"/>
        <v>-918065</v>
      </c>
      <c r="E41" s="562">
        <f t="shared" si="9"/>
        <v>-1521777</v>
      </c>
      <c r="F41" s="562">
        <f t="shared" si="9"/>
        <v>-2163328</v>
      </c>
      <c r="G41" s="562">
        <f t="shared" si="9"/>
        <v>-569208</v>
      </c>
      <c r="H41" s="562">
        <f t="shared" si="9"/>
        <v>-1231632</v>
      </c>
      <c r="I41" s="562">
        <f>SUM(I43:I48)</f>
        <v>-1785154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-553522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-269185</v>
      </c>
      <c r="D43" s="560">
        <v>-571606</v>
      </c>
      <c r="E43" s="560">
        <v>-890263</v>
      </c>
      <c r="F43" s="560">
        <v>-1208408</v>
      </c>
      <c r="G43" s="560">
        <v>-332629</v>
      </c>
      <c r="H43" s="560">
        <v>-653685</v>
      </c>
      <c r="I43" s="560">
        <v>-991899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-338214</v>
      </c>
    </row>
    <row r="44" spans="1:20" x14ac:dyDescent="0.35">
      <c r="A44" s="555" t="s">
        <v>1016</v>
      </c>
      <c r="C44" s="560">
        <v>-90999</v>
      </c>
      <c r="D44" s="560">
        <v>-248057</v>
      </c>
      <c r="E44" s="560">
        <v>-481311</v>
      </c>
      <c r="F44" s="560">
        <v>-732174</v>
      </c>
      <c r="G44" s="560">
        <v>-179768</v>
      </c>
      <c r="H44" s="560">
        <v>-454778</v>
      </c>
      <c r="I44" s="560">
        <v>-605202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-150424</v>
      </c>
    </row>
    <row r="45" spans="1:20" x14ac:dyDescent="0.35">
      <c r="A45" s="555" t="s">
        <v>312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-49742</v>
      </c>
      <c r="D48" s="560">
        <f t="shared" si="11"/>
        <v>-98402</v>
      </c>
      <c r="E48" s="560">
        <f t="shared" si="11"/>
        <v>-150203</v>
      </c>
      <c r="F48" s="560">
        <f t="shared" si="11"/>
        <v>-222746</v>
      </c>
      <c r="G48" s="560">
        <f t="shared" si="11"/>
        <v>-56811</v>
      </c>
      <c r="H48" s="560">
        <f t="shared" si="11"/>
        <v>-123169</v>
      </c>
      <c r="I48" s="560">
        <f>SUM(I49:I55)</f>
        <v>-188053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-64884</v>
      </c>
    </row>
    <row r="49" spans="1:20" outlineLevel="1" x14ac:dyDescent="0.35">
      <c r="A49" s="556" t="s">
        <v>1019</v>
      </c>
      <c r="C49" s="561">
        <v>-4042</v>
      </c>
      <c r="D49" s="561">
        <v>-8630</v>
      </c>
      <c r="E49" s="561">
        <v>-14116</v>
      </c>
      <c r="F49" s="561">
        <v>-20537</v>
      </c>
      <c r="G49" s="561">
        <v>-4929</v>
      </c>
      <c r="H49" s="561">
        <v>-10143</v>
      </c>
      <c r="I49" s="561">
        <v>-15577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-5434</v>
      </c>
    </row>
    <row r="50" spans="1:20" outlineLevel="1" x14ac:dyDescent="0.35">
      <c r="A50" s="556" t="s">
        <v>1020</v>
      </c>
      <c r="C50" s="561">
        <v>-2931</v>
      </c>
      <c r="D50" s="561">
        <v>-4602</v>
      </c>
      <c r="E50" s="561">
        <v>-6066</v>
      </c>
      <c r="F50" s="561">
        <v>-9226</v>
      </c>
      <c r="G50" s="561">
        <v>-1214</v>
      </c>
      <c r="H50" s="561">
        <v>-3034</v>
      </c>
      <c r="I50" s="561">
        <v>-4925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-1891</v>
      </c>
    </row>
    <row r="51" spans="1:20" outlineLevel="1" x14ac:dyDescent="0.35">
      <c r="A51" s="556" t="s">
        <v>1021</v>
      </c>
      <c r="C51" s="561">
        <v>-24288</v>
      </c>
      <c r="D51" s="561">
        <v>-47874</v>
      </c>
      <c r="E51" s="561">
        <v>-73144</v>
      </c>
      <c r="F51" s="561">
        <v>-99482</v>
      </c>
      <c r="G51" s="561">
        <v>-31705</v>
      </c>
      <c r="H51" s="561">
        <v>-63139</v>
      </c>
      <c r="I51" s="561">
        <v>-90166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-27027</v>
      </c>
    </row>
    <row r="52" spans="1:20" outlineLevel="1" x14ac:dyDescent="0.35">
      <c r="A52" s="556" t="s">
        <v>1022</v>
      </c>
      <c r="C52" s="561">
        <v>-18440</v>
      </c>
      <c r="D52" s="561">
        <v>-37327</v>
      </c>
      <c r="E52" s="561">
        <v>-57017</v>
      </c>
      <c r="F52" s="561">
        <v>-93794</v>
      </c>
      <c r="G52" s="561">
        <v>-19078</v>
      </c>
      <c r="H52" s="561">
        <v>-47323</v>
      </c>
      <c r="I52" s="561">
        <v>-78032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-30709</v>
      </c>
    </row>
    <row r="53" spans="1:20" outlineLevel="1" x14ac:dyDescent="0.35">
      <c r="A53" s="556" t="s">
        <v>1023</v>
      </c>
      <c r="C53" s="561">
        <v>0</v>
      </c>
      <c r="D53" s="561">
        <v>0</v>
      </c>
      <c r="E53" s="561">
        <v>0</v>
      </c>
      <c r="F53" s="561">
        <v>0</v>
      </c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0</v>
      </c>
    </row>
    <row r="54" spans="1:20" outlineLevel="1" x14ac:dyDescent="0.35">
      <c r="A54" s="556" t="s">
        <v>1024</v>
      </c>
      <c r="C54" s="561">
        <v>-58</v>
      </c>
      <c r="D54" s="561">
        <v>-32</v>
      </c>
      <c r="E54" s="561">
        <v>-113</v>
      </c>
      <c r="F54" s="561">
        <v>-230</v>
      </c>
      <c r="G54" s="561">
        <v>-53</v>
      </c>
      <c r="H54" s="561">
        <v>-123</v>
      </c>
      <c r="I54" s="561">
        <v>-204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-81</v>
      </c>
    </row>
    <row r="55" spans="1:20" outlineLevel="1" x14ac:dyDescent="0.35">
      <c r="A55" s="556" t="s">
        <v>1025</v>
      </c>
      <c r="C55" s="561">
        <v>17</v>
      </c>
      <c r="D55" s="561">
        <v>63</v>
      </c>
      <c r="E55" s="561">
        <v>253</v>
      </c>
      <c r="F55" s="561">
        <v>523</v>
      </c>
      <c r="G55" s="561">
        <v>168</v>
      </c>
      <c r="H55" s="561">
        <v>593</v>
      </c>
      <c r="I55" s="561">
        <v>851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258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177990</v>
      </c>
      <c r="D57" s="558">
        <f t="shared" si="13"/>
        <v>384098</v>
      </c>
      <c r="E57" s="558">
        <f t="shared" si="13"/>
        <v>577773</v>
      </c>
      <c r="F57" s="558">
        <f t="shared" si="13"/>
        <v>780349</v>
      </c>
      <c r="G57" s="558">
        <f t="shared" si="13"/>
        <v>209876</v>
      </c>
      <c r="H57" s="558">
        <f t="shared" si="13"/>
        <v>453814</v>
      </c>
      <c r="I57" s="558">
        <f>I39+I41</f>
        <v>675625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221811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-70694</v>
      </c>
      <c r="D59" s="562">
        <f t="shared" si="14"/>
        <v>-180559</v>
      </c>
      <c r="E59" s="562">
        <f t="shared" si="14"/>
        <v>-253140</v>
      </c>
      <c r="F59" s="562">
        <f t="shared" si="14"/>
        <v>-368161</v>
      </c>
      <c r="G59" s="562">
        <f t="shared" si="14"/>
        <v>-82936</v>
      </c>
      <c r="H59" s="562">
        <f t="shared" si="14"/>
        <v>-152184</v>
      </c>
      <c r="I59" s="562">
        <f>I61+I67+I68+I77+I78</f>
        <v>-230299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-78115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-25875</v>
      </c>
      <c r="D61" s="560">
        <f t="shared" si="15"/>
        <v>-51062</v>
      </c>
      <c r="E61" s="560">
        <f t="shared" si="15"/>
        <v>-77304</v>
      </c>
      <c r="F61" s="560">
        <f t="shared" si="15"/>
        <v>-104138</v>
      </c>
      <c r="G61" s="560">
        <f t="shared" si="15"/>
        <v>-24315</v>
      </c>
      <c r="H61" s="560">
        <f t="shared" si="15"/>
        <v>-49551</v>
      </c>
      <c r="I61" s="560">
        <f>SUM(I62:I66)</f>
        <v>-74580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-25029</v>
      </c>
    </row>
    <row r="62" spans="1:20" outlineLevel="1" x14ac:dyDescent="0.35">
      <c r="A62" s="556" t="s">
        <v>1029</v>
      </c>
      <c r="C62" s="561">
        <v>-5443</v>
      </c>
      <c r="D62" s="561">
        <v>-10608</v>
      </c>
      <c r="E62" s="561">
        <v>-13420</v>
      </c>
      <c r="F62" s="561">
        <v>-19582</v>
      </c>
      <c r="G62" s="561">
        <v>-4213</v>
      </c>
      <c r="H62" s="561">
        <v>-8763</v>
      </c>
      <c r="I62" s="561">
        <v>-12882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-4119</v>
      </c>
    </row>
    <row r="63" spans="1:20" outlineLevel="1" x14ac:dyDescent="0.35">
      <c r="A63" s="556" t="s">
        <v>1030</v>
      </c>
      <c r="C63" s="561">
        <v>-555</v>
      </c>
      <c r="D63" s="561">
        <v>-1229</v>
      </c>
      <c r="E63" s="561">
        <v>-2086</v>
      </c>
      <c r="F63" s="561">
        <v>-3320</v>
      </c>
      <c r="G63" s="561">
        <v>-1051</v>
      </c>
      <c r="H63" s="561">
        <v>-3126</v>
      </c>
      <c r="I63" s="561">
        <v>-4388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-1262</v>
      </c>
    </row>
    <row r="64" spans="1:20" outlineLevel="1" x14ac:dyDescent="0.35">
      <c r="A64" s="556" t="s">
        <v>1031</v>
      </c>
      <c r="C64" s="561">
        <v>-18980</v>
      </c>
      <c r="D64" s="561">
        <v>-37732</v>
      </c>
      <c r="E64" s="561">
        <v>-59633</v>
      </c>
      <c r="F64" s="561">
        <v>-78566</v>
      </c>
      <c r="G64" s="561">
        <v>-18431</v>
      </c>
      <c r="H64" s="561">
        <v>-36444</v>
      </c>
      <c r="I64" s="561">
        <v>-55556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-19112</v>
      </c>
    </row>
    <row r="65" spans="1:20" outlineLevel="1" x14ac:dyDescent="0.35">
      <c r="A65" s="556" t="s">
        <v>1032</v>
      </c>
      <c r="C65" s="561">
        <v>-631</v>
      </c>
      <c r="D65" s="561">
        <v>-1131</v>
      </c>
      <c r="E65" s="561">
        <v>-1847</v>
      </c>
      <c r="F65" s="561">
        <v>-2567</v>
      </c>
      <c r="G65" s="561">
        <v>-611</v>
      </c>
      <c r="H65" s="561">
        <v>-1041</v>
      </c>
      <c r="I65" s="561">
        <v>-1748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-707</v>
      </c>
    </row>
    <row r="66" spans="1:20" outlineLevel="1" x14ac:dyDescent="0.35">
      <c r="A66" s="556" t="s">
        <v>1033</v>
      </c>
      <c r="C66" s="561">
        <v>-266</v>
      </c>
      <c r="D66" s="561">
        <v>-362</v>
      </c>
      <c r="E66" s="561">
        <v>-318</v>
      </c>
      <c r="F66" s="561">
        <v>-103</v>
      </c>
      <c r="G66" s="561">
        <v>-9</v>
      </c>
      <c r="H66" s="561">
        <v>-177</v>
      </c>
      <c r="I66" s="561">
        <v>-6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171</v>
      </c>
    </row>
    <row r="67" spans="1:20" x14ac:dyDescent="0.35">
      <c r="A67" s="555" t="s">
        <v>1034</v>
      </c>
      <c r="C67" s="563">
        <v>-10332</v>
      </c>
      <c r="D67" s="563">
        <v>-22012</v>
      </c>
      <c r="E67" s="563">
        <v>-33891</v>
      </c>
      <c r="F67" s="563">
        <v>-73796</v>
      </c>
      <c r="G67" s="563">
        <v>-18889</v>
      </c>
      <c r="H67" s="563">
        <v>-22928</v>
      </c>
      <c r="I67" s="563">
        <v>-28617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-5689</v>
      </c>
    </row>
    <row r="68" spans="1:20" x14ac:dyDescent="0.35">
      <c r="A68" s="555" t="s">
        <v>1035</v>
      </c>
      <c r="C68" s="560">
        <f t="shared" ref="C68:H68" si="17">SUM(C69:C76)</f>
        <v>-31925</v>
      </c>
      <c r="D68" s="560">
        <f t="shared" si="17"/>
        <v>-68700</v>
      </c>
      <c r="E68" s="560">
        <f t="shared" si="17"/>
        <v>-98245</v>
      </c>
      <c r="F68" s="560">
        <f t="shared" si="17"/>
        <v>-139700</v>
      </c>
      <c r="G68" s="560">
        <f t="shared" si="17"/>
        <v>-22698</v>
      </c>
      <c r="H68" s="560">
        <f t="shared" si="17"/>
        <v>-45830</v>
      </c>
      <c r="I68" s="560">
        <f>SUM(I69:I76)</f>
        <v>-76893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-31063</v>
      </c>
    </row>
    <row r="69" spans="1:20" outlineLevel="1" x14ac:dyDescent="0.35">
      <c r="A69" s="556" t="s">
        <v>1036</v>
      </c>
      <c r="C69" s="561">
        <v>-11305</v>
      </c>
      <c r="D69" s="561">
        <v>-21388</v>
      </c>
      <c r="E69" s="561">
        <v>-32009</v>
      </c>
      <c r="F69" s="561">
        <v>-46787</v>
      </c>
      <c r="G69" s="561">
        <v>-11860</v>
      </c>
      <c r="H69" s="561">
        <v>-28101</v>
      </c>
      <c r="I69" s="561">
        <v>-44920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-16819</v>
      </c>
    </row>
    <row r="70" spans="1:20" outlineLevel="1" x14ac:dyDescent="0.35">
      <c r="A70" s="556" t="s">
        <v>1037</v>
      </c>
      <c r="C70" s="561">
        <v>-150</v>
      </c>
      <c r="D70" s="561">
        <v>-1010</v>
      </c>
      <c r="E70" s="561">
        <v>-3245</v>
      </c>
      <c r="F70" s="561">
        <v>-3559</v>
      </c>
      <c r="G70" s="561">
        <v>-226</v>
      </c>
      <c r="H70" s="561">
        <v>356</v>
      </c>
      <c r="I70" s="561">
        <v>1759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1403</v>
      </c>
    </row>
    <row r="71" spans="1:20" outlineLevel="1" x14ac:dyDescent="0.35">
      <c r="A71" s="556" t="s">
        <v>1038</v>
      </c>
      <c r="C71" s="561">
        <v>-13589</v>
      </c>
      <c r="D71" s="561">
        <v>-33108</v>
      </c>
      <c r="E71" s="561">
        <v>-41538</v>
      </c>
      <c r="F71" s="561">
        <v>-68798</v>
      </c>
      <c r="G71" s="561">
        <v>-5518</v>
      </c>
      <c r="H71" s="561">
        <v>-2964</v>
      </c>
      <c r="I71" s="561">
        <v>-13218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-10254</v>
      </c>
    </row>
    <row r="72" spans="1:20" outlineLevel="1" x14ac:dyDescent="0.35">
      <c r="A72" s="556" t="s">
        <v>1039</v>
      </c>
      <c r="C72" s="561">
        <v>-184</v>
      </c>
      <c r="D72" s="561">
        <v>-198</v>
      </c>
      <c r="E72" s="561">
        <v>-152</v>
      </c>
      <c r="F72" s="561">
        <v>235</v>
      </c>
      <c r="G72" s="561">
        <v>3</v>
      </c>
      <c r="H72" s="561">
        <v>64</v>
      </c>
      <c r="I72" s="561">
        <v>119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55</v>
      </c>
    </row>
    <row r="73" spans="1:20" outlineLevel="1" x14ac:dyDescent="0.35">
      <c r="A73" s="556" t="s">
        <v>1040</v>
      </c>
      <c r="C73" s="561">
        <v>362</v>
      </c>
      <c r="D73" s="561">
        <v>445</v>
      </c>
      <c r="E73" s="561">
        <v>452</v>
      </c>
      <c r="F73" s="561">
        <v>199</v>
      </c>
      <c r="G73" s="561">
        <v>-90</v>
      </c>
      <c r="H73" s="561">
        <v>-965</v>
      </c>
      <c r="I73" s="561">
        <v>-913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52</v>
      </c>
    </row>
    <row r="74" spans="1:20" outlineLevel="1" x14ac:dyDescent="0.35">
      <c r="A74" s="556" t="s">
        <v>1041</v>
      </c>
      <c r="C74" s="561">
        <v>-2852</v>
      </c>
      <c r="D74" s="561">
        <v>-1153</v>
      </c>
      <c r="E74" s="561">
        <v>-2753</v>
      </c>
      <c r="F74" s="561">
        <v>-3859</v>
      </c>
      <c r="G74" s="561">
        <v>-1653</v>
      </c>
      <c r="H74" s="561">
        <v>-2840</v>
      </c>
      <c r="I74" s="561">
        <v>-2343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497</v>
      </c>
    </row>
    <row r="75" spans="1:20" outlineLevel="1" x14ac:dyDescent="0.35">
      <c r="A75" s="556" t="s">
        <v>1042</v>
      </c>
      <c r="C75" s="561">
        <v>-4207</v>
      </c>
      <c r="D75" s="561">
        <v>-12288</v>
      </c>
      <c r="E75" s="561">
        <v>-19000</v>
      </c>
      <c r="F75" s="561">
        <v>-17131</v>
      </c>
      <c r="G75" s="561">
        <v>-3354</v>
      </c>
      <c r="H75" s="561">
        <v>-11380</v>
      </c>
      <c r="I75" s="561">
        <v>-17377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-5997</v>
      </c>
    </row>
    <row r="76" spans="1:20" outlineLevel="1" x14ac:dyDescent="0.35">
      <c r="A76" s="556" t="s">
        <v>1043</v>
      </c>
      <c r="C76" s="561">
        <v>0</v>
      </c>
      <c r="D76" s="561">
        <v>0</v>
      </c>
      <c r="E76" s="561">
        <v>0</v>
      </c>
      <c r="F76" s="561">
        <v>0</v>
      </c>
      <c r="G76" s="561">
        <v>0</v>
      </c>
      <c r="H76" s="561">
        <v>0</v>
      </c>
      <c r="I76" s="561">
        <v>0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0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0</v>
      </c>
    </row>
    <row r="78" spans="1:20" x14ac:dyDescent="0.35">
      <c r="A78" s="555" t="s">
        <v>1045</v>
      </c>
      <c r="C78" s="560">
        <f t="shared" ref="C78:H78" si="19">SUM(C79:C80)</f>
        <v>-2562</v>
      </c>
      <c r="D78" s="560">
        <f t="shared" si="19"/>
        <v>-38785</v>
      </c>
      <c r="E78" s="560">
        <f t="shared" si="19"/>
        <v>-43700</v>
      </c>
      <c r="F78" s="560">
        <f t="shared" si="19"/>
        <v>-50527</v>
      </c>
      <c r="G78" s="560">
        <f t="shared" si="19"/>
        <v>-17034</v>
      </c>
      <c r="H78" s="560">
        <f t="shared" si="19"/>
        <v>-33875</v>
      </c>
      <c r="I78" s="560">
        <f>SUM(I79:I80)</f>
        <v>-50209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-16334</v>
      </c>
    </row>
    <row r="79" spans="1:20" outlineLevel="1" x14ac:dyDescent="0.35">
      <c r="A79" s="556" t="s">
        <v>1046</v>
      </c>
      <c r="C79" s="561">
        <v>-970</v>
      </c>
      <c r="D79" s="561">
        <v>-2499</v>
      </c>
      <c r="E79" s="561">
        <v>-4677</v>
      </c>
      <c r="F79" s="561">
        <v>-7444</v>
      </c>
      <c r="G79" s="561">
        <v>-1159</v>
      </c>
      <c r="H79" s="561">
        <v>9395</v>
      </c>
      <c r="I79" s="561">
        <v>7480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-1915</v>
      </c>
    </row>
    <row r="80" spans="1:20" outlineLevel="1" x14ac:dyDescent="0.35">
      <c r="A80" s="556" t="s">
        <v>1047</v>
      </c>
      <c r="C80" s="561">
        <v>-1592</v>
      </c>
      <c r="D80" s="561">
        <v>-36286</v>
      </c>
      <c r="E80" s="561">
        <v>-39023</v>
      </c>
      <c r="F80" s="561">
        <v>-43083</v>
      </c>
      <c r="G80" s="561">
        <v>-15875</v>
      </c>
      <c r="H80" s="561">
        <v>-43270</v>
      </c>
      <c r="I80" s="561">
        <v>-57689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-14419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129943</v>
      </c>
      <c r="D82" s="558">
        <f t="shared" si="21"/>
        <v>253154</v>
      </c>
      <c r="E82" s="558">
        <f t="shared" si="21"/>
        <v>400650</v>
      </c>
      <c r="F82" s="558">
        <f t="shared" si="21"/>
        <v>523113</v>
      </c>
      <c r="G82" s="558">
        <f t="shared" si="21"/>
        <v>149372</v>
      </c>
      <c r="H82" s="558">
        <f t="shared" si="21"/>
        <v>360333</v>
      </c>
      <c r="I82" s="558">
        <f>I84-I75-I52-I76</f>
        <v>540735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180402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107296</v>
      </c>
      <c r="D84" s="558">
        <f t="shared" si="22"/>
        <v>203539</v>
      </c>
      <c r="E84" s="558">
        <f t="shared" si="22"/>
        <v>324633</v>
      </c>
      <c r="F84" s="558">
        <f t="shared" si="22"/>
        <v>412188</v>
      </c>
      <c r="G84" s="558">
        <f t="shared" si="22"/>
        <v>126940</v>
      </c>
      <c r="H84" s="558">
        <f t="shared" si="22"/>
        <v>301630</v>
      </c>
      <c r="I84" s="558">
        <f>I57+I59</f>
        <v>445326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143696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-36490</v>
      </c>
      <c r="D86" s="558">
        <f t="shared" si="23"/>
        <v>-101105</v>
      </c>
      <c r="E86" s="558">
        <f t="shared" si="23"/>
        <v>-133339</v>
      </c>
      <c r="F86" s="558">
        <f t="shared" si="23"/>
        <v>-157586</v>
      </c>
      <c r="G86" s="558">
        <f t="shared" si="23"/>
        <v>-94132</v>
      </c>
      <c r="H86" s="558">
        <f t="shared" si="23"/>
        <v>-181742</v>
      </c>
      <c r="I86" s="558">
        <f>I88+I97</f>
        <v>-250870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-69128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226125</v>
      </c>
      <c r="D88" s="562">
        <f t="shared" si="24"/>
        <v>398501</v>
      </c>
      <c r="E88" s="562">
        <f t="shared" si="24"/>
        <v>469753</v>
      </c>
      <c r="F88" s="562">
        <f t="shared" si="24"/>
        <v>565487</v>
      </c>
      <c r="G88" s="562">
        <f t="shared" si="24"/>
        <v>127593</v>
      </c>
      <c r="H88" s="562">
        <f t="shared" si="24"/>
        <v>256053</v>
      </c>
      <c r="I88" s="562">
        <f>SUM(I89:I96)</f>
        <v>355574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99521</v>
      </c>
    </row>
    <row r="89" spans="1:20" outlineLevel="1" x14ac:dyDescent="0.35">
      <c r="A89" s="556" t="s">
        <v>1049</v>
      </c>
      <c r="C89" s="561">
        <v>67337</v>
      </c>
      <c r="D89" s="561">
        <v>192661</v>
      </c>
      <c r="E89" s="561">
        <v>248230</v>
      </c>
      <c r="F89" s="561">
        <v>317109</v>
      </c>
      <c r="G89" s="561">
        <v>78904</v>
      </c>
      <c r="H89" s="561">
        <v>109384</v>
      </c>
      <c r="I89" s="561">
        <v>139571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30187</v>
      </c>
    </row>
    <row r="90" spans="1:20" outlineLevel="1" x14ac:dyDescent="0.35">
      <c r="A90" s="556" t="s">
        <v>1050</v>
      </c>
      <c r="C90" s="561">
        <v>-4140</v>
      </c>
      <c r="D90" s="561">
        <v>-8149</v>
      </c>
      <c r="E90" s="561">
        <v>-12280</v>
      </c>
      <c r="F90" s="561">
        <v>-15740</v>
      </c>
      <c r="G90" s="561">
        <v>-1894</v>
      </c>
      <c r="H90" s="561">
        <v>-3832</v>
      </c>
      <c r="I90" s="561">
        <v>-5670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-1838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>
        <v>21183</v>
      </c>
      <c r="D92" s="561">
        <v>42120</v>
      </c>
      <c r="E92" s="561">
        <v>73513</v>
      </c>
      <c r="F92" s="561">
        <v>88319</v>
      </c>
      <c r="G92" s="561">
        <v>8544</v>
      </c>
      <c r="H92" s="561">
        <v>18230</v>
      </c>
      <c r="I92" s="561">
        <v>31727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13497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>
        <v>2092</v>
      </c>
      <c r="D95" s="561">
        <v>0</v>
      </c>
      <c r="E95" s="561">
        <v>1183</v>
      </c>
      <c r="F95" s="561">
        <v>0</v>
      </c>
      <c r="G95" s="561">
        <v>0</v>
      </c>
      <c r="H95" s="561">
        <v>0</v>
      </c>
      <c r="I95" s="561">
        <v>0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0</v>
      </c>
    </row>
    <row r="96" spans="1:20" outlineLevel="1" x14ac:dyDescent="0.35">
      <c r="A96" s="556" t="s">
        <v>1056</v>
      </c>
      <c r="C96" s="561">
        <v>139653</v>
      </c>
      <c r="D96" s="561">
        <v>171869</v>
      </c>
      <c r="E96" s="561">
        <v>159107</v>
      </c>
      <c r="F96" s="561">
        <v>175799</v>
      </c>
      <c r="G96" s="561">
        <v>42039</v>
      </c>
      <c r="H96" s="561">
        <v>132271</v>
      </c>
      <c r="I96" s="561">
        <v>189946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57675</v>
      </c>
    </row>
    <row r="97" spans="1:20" x14ac:dyDescent="0.35">
      <c r="A97" s="555" t="s">
        <v>279</v>
      </c>
      <c r="C97" s="560">
        <f t="shared" ref="C97:H97" si="26">SUM(C98:C106)</f>
        <v>-262615</v>
      </c>
      <c r="D97" s="560">
        <f t="shared" si="26"/>
        <v>-499606</v>
      </c>
      <c r="E97" s="560">
        <f t="shared" si="26"/>
        <v>-603092</v>
      </c>
      <c r="F97" s="560">
        <f t="shared" si="26"/>
        <v>-723073</v>
      </c>
      <c r="G97" s="560">
        <f t="shared" si="26"/>
        <v>-221725</v>
      </c>
      <c r="H97" s="560">
        <f t="shared" si="26"/>
        <v>-437795</v>
      </c>
      <c r="I97" s="560">
        <f>SUM(I98:I106)</f>
        <v>-606444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-168649</v>
      </c>
    </row>
    <row r="98" spans="1:20" outlineLevel="1" x14ac:dyDescent="0.35">
      <c r="A98" s="556" t="s">
        <v>1057</v>
      </c>
      <c r="C98" s="561">
        <v>-67731</v>
      </c>
      <c r="D98" s="561">
        <v>-207218</v>
      </c>
      <c r="E98" s="561">
        <v>-280779</v>
      </c>
      <c r="F98" s="561">
        <v>-344850</v>
      </c>
      <c r="G98" s="561">
        <v>-77745</v>
      </c>
      <c r="H98" s="561">
        <v>-193830</v>
      </c>
      <c r="I98" s="561">
        <v>-334699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-140869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0</v>
      </c>
    </row>
    <row r="100" spans="1:20" outlineLevel="1" x14ac:dyDescent="0.35">
      <c r="A100" s="556" t="s">
        <v>1059</v>
      </c>
      <c r="C100" s="561">
        <v>-177266</v>
      </c>
      <c r="D100" s="561">
        <v>-244564</v>
      </c>
      <c r="E100" s="561">
        <v>-247347</v>
      </c>
      <c r="F100" s="561">
        <v>-284237</v>
      </c>
      <c r="G100" s="561">
        <v>-113461</v>
      </c>
      <c r="H100" s="561">
        <v>-184368</v>
      </c>
      <c r="I100" s="561">
        <v>-184777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-409</v>
      </c>
    </row>
    <row r="101" spans="1:20" outlineLevel="1" x14ac:dyDescent="0.35">
      <c r="A101" s="556" t="s">
        <v>1060</v>
      </c>
      <c r="C101" s="561">
        <v>0</v>
      </c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0</v>
      </c>
    </row>
    <row r="102" spans="1:20" outlineLevel="1" x14ac:dyDescent="0.35">
      <c r="A102" s="556" t="s">
        <v>1061</v>
      </c>
      <c r="C102" s="561">
        <v>-5535</v>
      </c>
      <c r="D102" s="561">
        <v>-13990</v>
      </c>
      <c r="E102" s="561">
        <v>-29078</v>
      </c>
      <c r="F102" s="561">
        <v>-38889</v>
      </c>
      <c r="G102" s="561">
        <v>-4256</v>
      </c>
      <c r="H102" s="561">
        <v>-8399</v>
      </c>
      <c r="I102" s="561">
        <v>-12012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-3613</v>
      </c>
    </row>
    <row r="103" spans="1:20" outlineLevel="1" x14ac:dyDescent="0.35">
      <c r="A103" s="556" t="s">
        <v>1062</v>
      </c>
      <c r="C103" s="561">
        <v>-492</v>
      </c>
      <c r="D103" s="561">
        <v>-1385</v>
      </c>
      <c r="E103" s="561">
        <v>-2117</v>
      </c>
      <c r="F103" s="561">
        <v>-2830</v>
      </c>
      <c r="G103" s="561">
        <v>-1082</v>
      </c>
      <c r="H103" s="561">
        <v>-2480</v>
      </c>
      <c r="I103" s="561">
        <v>-3432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-952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>
        <v>-693</v>
      </c>
      <c r="D105" s="561">
        <v>-1329</v>
      </c>
      <c r="E105" s="561">
        <v>-2704</v>
      </c>
      <c r="F105" s="561">
        <v>-2337</v>
      </c>
      <c r="G105" s="561">
        <v>-503</v>
      </c>
      <c r="H105" s="561">
        <v>-816</v>
      </c>
      <c r="I105" s="561">
        <v>-1275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-459</v>
      </c>
    </row>
    <row r="106" spans="1:20" outlineLevel="1" x14ac:dyDescent="0.35">
      <c r="A106" s="556" t="s">
        <v>1065</v>
      </c>
      <c r="C106" s="561">
        <v>-10898</v>
      </c>
      <c r="D106" s="561">
        <v>-31120</v>
      </c>
      <c r="E106" s="561">
        <v>-41067</v>
      </c>
      <c r="F106" s="561">
        <v>-49930</v>
      </c>
      <c r="G106" s="561">
        <v>-24678</v>
      </c>
      <c r="H106" s="561">
        <v>-47902</v>
      </c>
      <c r="I106" s="561">
        <v>-70249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-22347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70806</v>
      </c>
      <c r="D108" s="558">
        <f t="shared" si="28"/>
        <v>102434</v>
      </c>
      <c r="E108" s="558">
        <f t="shared" si="28"/>
        <v>191294</v>
      </c>
      <c r="F108" s="558">
        <f t="shared" si="28"/>
        <v>254602</v>
      </c>
      <c r="G108" s="558">
        <f t="shared" si="28"/>
        <v>32808</v>
      </c>
      <c r="H108" s="558">
        <f t="shared" si="28"/>
        <v>119888</v>
      </c>
      <c r="I108" s="558">
        <f>I84+I86</f>
        <v>194456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74568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I110" si="29">SUM(C112:C115)</f>
        <v>-3286</v>
      </c>
      <c r="D110" s="562">
        <f t="shared" si="29"/>
        <v>-15154</v>
      </c>
      <c r="E110" s="562">
        <f t="shared" si="29"/>
        <v>-32238</v>
      </c>
      <c r="F110" s="562">
        <f t="shared" si="29"/>
        <v>-29344</v>
      </c>
      <c r="G110" s="562">
        <f t="shared" si="29"/>
        <v>-3836</v>
      </c>
      <c r="H110" s="562">
        <f t="shared" si="29"/>
        <v>-17360</v>
      </c>
      <c r="I110" s="562">
        <f t="shared" si="29"/>
        <v>-30042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-12682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-10609</v>
      </c>
      <c r="D112" s="563">
        <v>-13348</v>
      </c>
      <c r="E112" s="563">
        <v>-18690</v>
      </c>
      <c r="F112" s="563">
        <v>-22549</v>
      </c>
      <c r="G112" s="563">
        <v>-4491</v>
      </c>
      <c r="H112" s="563">
        <v>-11131</v>
      </c>
      <c r="I112" s="563">
        <v>-15998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-4867</v>
      </c>
    </row>
    <row r="113" spans="1:20" x14ac:dyDescent="0.35">
      <c r="A113" s="555" t="s">
        <v>282</v>
      </c>
      <c r="C113" s="563">
        <v>-29620</v>
      </c>
      <c r="D113" s="563">
        <v>-37195</v>
      </c>
      <c r="E113" s="563">
        <v>-52406</v>
      </c>
      <c r="F113" s="563">
        <v>-63552</v>
      </c>
      <c r="G113" s="563">
        <v>-12586</v>
      </c>
      <c r="H113" s="563">
        <v>-31222</v>
      </c>
      <c r="I113" s="563">
        <v>-44924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-13702</v>
      </c>
    </row>
    <row r="114" spans="1:20" x14ac:dyDescent="0.35">
      <c r="A114" s="555" t="s">
        <v>284</v>
      </c>
      <c r="C114" s="563">
        <v>12873</v>
      </c>
      <c r="D114" s="563">
        <v>20358</v>
      </c>
      <c r="E114" s="563">
        <v>34429</v>
      </c>
      <c r="F114" s="563">
        <v>52060</v>
      </c>
      <c r="G114" s="563">
        <v>8602</v>
      </c>
      <c r="H114" s="563">
        <v>25307</v>
      </c>
      <c r="I114" s="563">
        <v>38395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13088</v>
      </c>
    </row>
    <row r="115" spans="1:20" x14ac:dyDescent="0.35">
      <c r="A115" s="555" t="s">
        <v>1068</v>
      </c>
      <c r="C115" s="563">
        <v>24070</v>
      </c>
      <c r="D115" s="563">
        <v>15031</v>
      </c>
      <c r="E115" s="563">
        <v>4429</v>
      </c>
      <c r="F115" s="563">
        <v>4697</v>
      </c>
      <c r="G115" s="563">
        <v>4639</v>
      </c>
      <c r="H115" s="563">
        <v>-314</v>
      </c>
      <c r="I115" s="563">
        <v>-7515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-7201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I117" si="31">C108+C110</f>
        <v>67520</v>
      </c>
      <c r="D117" s="564">
        <f t="shared" si="31"/>
        <v>87280</v>
      </c>
      <c r="E117" s="564">
        <f t="shared" si="31"/>
        <v>159056</v>
      </c>
      <c r="F117" s="564">
        <f t="shared" si="31"/>
        <v>225258</v>
      </c>
      <c r="G117" s="564">
        <f t="shared" si="31"/>
        <v>28972</v>
      </c>
      <c r="H117" s="564">
        <f t="shared" si="31"/>
        <v>102528</v>
      </c>
      <c r="I117" s="564">
        <f t="shared" si="31"/>
        <v>164414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61886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I120" si="32">C117-C121</f>
        <v>64100.773885142757</v>
      </c>
      <c r="D120" s="563">
        <f t="shared" si="32"/>
        <v>82860.12358849615</v>
      </c>
      <c r="E120" s="563">
        <f t="shared" si="32"/>
        <v>151001.37279436117</v>
      </c>
      <c r="F120" s="563">
        <f t="shared" si="32"/>
        <v>213850.89045941184</v>
      </c>
      <c r="G120" s="563">
        <f t="shared" si="32"/>
        <v>27504.852206758827</v>
      </c>
      <c r="H120" s="563">
        <f t="shared" si="32"/>
        <v>97335.961861610151</v>
      </c>
      <c r="I120" s="563">
        <f t="shared" si="32"/>
        <v>156088.04261777046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3">I120-H120</f>
        <v>58752.080756160314</v>
      </c>
    </row>
    <row r="121" spans="1:20" x14ac:dyDescent="0.35">
      <c r="A121" s="555" t="s">
        <v>1072</v>
      </c>
      <c r="C121" s="563">
        <f t="shared" ref="C121:I121" si="34">C117*C126</f>
        <v>3419.2261148572397</v>
      </c>
      <c r="D121" s="563">
        <f t="shared" si="34"/>
        <v>4419.8764115038493</v>
      </c>
      <c r="E121" s="563">
        <f t="shared" si="34"/>
        <v>8054.6272056388198</v>
      </c>
      <c r="F121" s="563">
        <f t="shared" si="34"/>
        <v>11407.109540588153</v>
      </c>
      <c r="G121" s="563">
        <f t="shared" si="34"/>
        <v>1467.1477932411722</v>
      </c>
      <c r="H121" s="563">
        <f t="shared" si="34"/>
        <v>5192.0381383898557</v>
      </c>
      <c r="I121" s="563">
        <f t="shared" si="34"/>
        <v>8325.9573822295351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3"/>
        <v>3133.9192438396794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I123" si="35">SUM(C120:C121)</f>
        <v>67520</v>
      </c>
      <c r="D123" s="564">
        <f t="shared" si="35"/>
        <v>87280</v>
      </c>
      <c r="E123" s="564">
        <f t="shared" si="35"/>
        <v>159056</v>
      </c>
      <c r="F123" s="564">
        <f t="shared" si="35"/>
        <v>225258</v>
      </c>
      <c r="G123" s="564">
        <f t="shared" si="35"/>
        <v>28972</v>
      </c>
      <c r="H123" s="564">
        <f t="shared" si="35"/>
        <v>102528</v>
      </c>
      <c r="I123" s="564">
        <f t="shared" si="35"/>
        <v>164414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61885.999999999993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>
        <v>0.94935980280128496</v>
      </c>
      <c r="D125" s="571">
        <v>0.94935980280128496</v>
      </c>
      <c r="E125" s="571">
        <v>0.94935980280128496</v>
      </c>
      <c r="F125" s="571">
        <v>0.94935980280128496</v>
      </c>
      <c r="G125" s="571">
        <v>0.94935980280128496</v>
      </c>
      <c r="H125" s="571">
        <v>0.94935980280128496</v>
      </c>
      <c r="I125" s="571">
        <v>0.94935980280128496</v>
      </c>
      <c r="T125" s="571">
        <f>I125</f>
        <v>0.94935980280128496</v>
      </c>
    </row>
    <row r="126" spans="1:20" s="570" customFormat="1" ht="10.5" x14ac:dyDescent="0.25">
      <c r="A126" s="569" t="s">
        <v>1087</v>
      </c>
      <c r="C126" s="571">
        <v>5.0640197198715042E-2</v>
      </c>
      <c r="D126" s="571">
        <v>5.0640197198715042E-2</v>
      </c>
      <c r="E126" s="571">
        <v>5.0640197198715042E-2</v>
      </c>
      <c r="F126" s="571">
        <v>5.0640197198715042E-2</v>
      </c>
      <c r="G126" s="571">
        <v>5.0640197198715042E-2</v>
      </c>
      <c r="H126" s="571">
        <v>5.0640197198715042E-2</v>
      </c>
      <c r="I126" s="571">
        <v>5.0640197198715042E-2</v>
      </c>
      <c r="T126" s="571">
        <f>I126</f>
        <v>5.0640197198715042E-2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D5E39-42C5-4E2C-8324-BA42C78990D6}">
  <sheetPr>
    <tabColor theme="9" tint="0.79998168889431442"/>
  </sheetPr>
  <dimension ref="A4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1090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" si="0">SUM(C8,C11:C17)</f>
        <v>912420</v>
      </c>
      <c r="D6" s="558">
        <f t="shared" ref="D6:I6" si="1">SUM(D8,D11:D17)</f>
        <v>1864992</v>
      </c>
      <c r="E6" s="558">
        <f t="shared" si="1"/>
        <v>2717846</v>
      </c>
      <c r="F6" s="558">
        <f t="shared" si="1"/>
        <v>3702051</v>
      </c>
      <c r="G6" s="558">
        <f t="shared" si="1"/>
        <v>965315</v>
      </c>
      <c r="H6" s="558">
        <f t="shared" si="1"/>
        <v>1981897</v>
      </c>
      <c r="I6" s="558">
        <f t="shared" si="1"/>
        <v>3061322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2">SUM(T8,T11:T17)</f>
        <v>1079425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" si="3">SUM(C9:C10)</f>
        <v>770238</v>
      </c>
      <c r="D8" s="560">
        <f t="shared" ref="D8:H8" si="4">SUM(D9:D10)</f>
        <v>1532927</v>
      </c>
      <c r="E8" s="560">
        <f t="shared" si="4"/>
        <v>2200279</v>
      </c>
      <c r="F8" s="560">
        <f t="shared" si="4"/>
        <v>2973637</v>
      </c>
      <c r="G8" s="560">
        <f t="shared" si="4"/>
        <v>777512</v>
      </c>
      <c r="H8" s="560">
        <f t="shared" si="4"/>
        <v>1550975</v>
      </c>
      <c r="I8" s="560">
        <f>SUM(I9:I10)</f>
        <v>2365677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814702</v>
      </c>
    </row>
    <row r="9" spans="1:20" outlineLevel="1" x14ac:dyDescent="0.35">
      <c r="A9" s="556" t="s">
        <v>996</v>
      </c>
      <c r="C9" s="561">
        <v>787969</v>
      </c>
      <c r="D9" s="561">
        <v>1486340</v>
      </c>
      <c r="E9" s="561">
        <v>2112884</v>
      </c>
      <c r="F9" s="561">
        <v>2866104</v>
      </c>
      <c r="G9" s="561">
        <v>775339</v>
      </c>
      <c r="H9" s="561">
        <v>1552191</v>
      </c>
      <c r="I9" s="561">
        <v>2330175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777984</v>
      </c>
    </row>
    <row r="10" spans="1:20" outlineLevel="1" x14ac:dyDescent="0.35">
      <c r="A10" s="556" t="s">
        <v>997</v>
      </c>
      <c r="C10" s="561">
        <v>-17731</v>
      </c>
      <c r="D10" s="561">
        <v>46587</v>
      </c>
      <c r="E10" s="561">
        <v>87395</v>
      </c>
      <c r="F10" s="561">
        <v>107533</v>
      </c>
      <c r="G10" s="561">
        <v>2173</v>
      </c>
      <c r="H10" s="561">
        <v>-1216</v>
      </c>
      <c r="I10" s="561">
        <v>35502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5">I10-H10</f>
        <v>36718</v>
      </c>
    </row>
    <row r="11" spans="1:20" x14ac:dyDescent="0.35">
      <c r="A11" s="555" t="s">
        <v>248</v>
      </c>
      <c r="C11" s="560">
        <v>13455</v>
      </c>
      <c r="D11" s="560">
        <v>29326</v>
      </c>
      <c r="E11" s="560">
        <v>57572</v>
      </c>
      <c r="F11" s="560">
        <v>76855</v>
      </c>
      <c r="G11" s="560">
        <v>4076</v>
      </c>
      <c r="H11" s="560">
        <v>9064</v>
      </c>
      <c r="I11" s="560">
        <v>25183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5"/>
        <v>16119</v>
      </c>
    </row>
    <row r="12" spans="1:20" x14ac:dyDescent="0.35">
      <c r="A12" s="555" t="s">
        <v>252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5"/>
        <v>0</v>
      </c>
    </row>
    <row r="13" spans="1:20" x14ac:dyDescent="0.35">
      <c r="A13" s="555" t="s">
        <v>249</v>
      </c>
      <c r="C13" s="560">
        <v>70196</v>
      </c>
      <c r="D13" s="560">
        <v>174684</v>
      </c>
      <c r="E13" s="560">
        <v>284629</v>
      </c>
      <c r="F13" s="560">
        <v>426115</v>
      </c>
      <c r="G13" s="560">
        <v>120198</v>
      </c>
      <c r="H13" s="560">
        <v>288401</v>
      </c>
      <c r="I13" s="560">
        <v>454369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5"/>
        <v>165968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5"/>
        <v>0</v>
      </c>
    </row>
    <row r="15" spans="1:20" x14ac:dyDescent="0.35">
      <c r="A15" s="555" t="s">
        <v>998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5"/>
        <v>0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5"/>
        <v>0</v>
      </c>
    </row>
    <row r="17" spans="1:20" x14ac:dyDescent="0.35">
      <c r="A17" s="555" t="s">
        <v>254</v>
      </c>
      <c r="C17" s="560">
        <f t="shared" ref="C17" si="6">SUM(C18:C25)</f>
        <v>58531</v>
      </c>
      <c r="D17" s="560">
        <f t="shared" ref="D17:H17" si="7">SUM(D18:D25)</f>
        <v>128055</v>
      </c>
      <c r="E17" s="560">
        <f t="shared" si="7"/>
        <v>175366</v>
      </c>
      <c r="F17" s="560">
        <f t="shared" si="7"/>
        <v>225444</v>
      </c>
      <c r="G17" s="560">
        <f t="shared" si="7"/>
        <v>63529</v>
      </c>
      <c r="H17" s="560">
        <f t="shared" si="7"/>
        <v>133457</v>
      </c>
      <c r="I17" s="560">
        <f>SUM(I18:I25)</f>
        <v>216093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82636</v>
      </c>
    </row>
    <row r="18" spans="1:20" outlineLevel="1" x14ac:dyDescent="0.35">
      <c r="A18" s="556" t="s">
        <v>999</v>
      </c>
      <c r="C18" s="561">
        <v>37310</v>
      </c>
      <c r="D18" s="561">
        <v>79465</v>
      </c>
      <c r="E18" s="561">
        <v>116181</v>
      </c>
      <c r="F18" s="561">
        <v>156213</v>
      </c>
      <c r="G18" s="561">
        <v>41848</v>
      </c>
      <c r="H18" s="561">
        <v>90246</v>
      </c>
      <c r="I18" s="561">
        <v>151509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8">I18-H18</f>
        <v>61263</v>
      </c>
    </row>
    <row r="19" spans="1:20" outlineLevel="1" x14ac:dyDescent="0.35">
      <c r="A19" s="556" t="s">
        <v>1000</v>
      </c>
      <c r="C19" s="561">
        <v>313</v>
      </c>
      <c r="D19" s="561">
        <v>2659</v>
      </c>
      <c r="E19" s="561">
        <v>2265</v>
      </c>
      <c r="F19" s="561">
        <v>1587</v>
      </c>
      <c r="G19" s="561">
        <v>2387</v>
      </c>
      <c r="H19" s="561">
        <v>3236</v>
      </c>
      <c r="I19" s="561">
        <v>4189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8"/>
        <v>953</v>
      </c>
    </row>
    <row r="20" spans="1:20" outlineLevel="1" x14ac:dyDescent="0.35">
      <c r="A20" s="556" t="s">
        <v>1001</v>
      </c>
      <c r="C20" s="561">
        <v>0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8"/>
        <v>0</v>
      </c>
    </row>
    <row r="21" spans="1:20" outlineLevel="1" x14ac:dyDescent="0.35">
      <c r="A21" s="556" t="s">
        <v>1002</v>
      </c>
      <c r="C21" s="561">
        <v>0</v>
      </c>
      <c r="D21" s="561">
        <v>0</v>
      </c>
      <c r="E21" s="561">
        <v>0</v>
      </c>
      <c r="F21" s="561">
        <v>0</v>
      </c>
      <c r="G21" s="561">
        <v>0</v>
      </c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8"/>
        <v>0</v>
      </c>
    </row>
    <row r="22" spans="1:20" outlineLevel="1" x14ac:dyDescent="0.35">
      <c r="A22" s="556" t="s">
        <v>1003</v>
      </c>
      <c r="C22" s="561">
        <v>0</v>
      </c>
      <c r="D22" s="561">
        <v>0</v>
      </c>
      <c r="E22" s="561">
        <v>0</v>
      </c>
      <c r="F22" s="561">
        <v>0</v>
      </c>
      <c r="G22" s="561">
        <v>0</v>
      </c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8"/>
        <v>0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8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8"/>
        <v>0</v>
      </c>
    </row>
    <row r="25" spans="1:20" outlineLevel="1" x14ac:dyDescent="0.35">
      <c r="A25" s="556" t="s">
        <v>254</v>
      </c>
      <c r="C25" s="561">
        <v>20908</v>
      </c>
      <c r="D25" s="561">
        <v>45931</v>
      </c>
      <c r="E25" s="561">
        <v>56920</v>
      </c>
      <c r="F25" s="561">
        <v>67644</v>
      </c>
      <c r="G25" s="561">
        <v>19294</v>
      </c>
      <c r="H25" s="561">
        <v>39975</v>
      </c>
      <c r="I25" s="561">
        <v>60395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8"/>
        <v>20420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" si="9">SUM(C29:C37)</f>
        <v>-330329</v>
      </c>
      <c r="D27" s="558">
        <f t="shared" ref="D27:H27" si="10">SUM(D29:D37)</f>
        <v>-661019</v>
      </c>
      <c r="E27" s="558">
        <f t="shared" si="10"/>
        <v>-890660</v>
      </c>
      <c r="F27" s="558">
        <f t="shared" si="10"/>
        <v>-1145729</v>
      </c>
      <c r="G27" s="558">
        <f t="shared" si="10"/>
        <v>-262443</v>
      </c>
      <c r="H27" s="558">
        <f t="shared" si="10"/>
        <v>-563709</v>
      </c>
      <c r="I27" s="558">
        <f>SUM(I29:I37)</f>
        <v>-870274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-306565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-169058</v>
      </c>
      <c r="D29" s="561">
        <v>-325257</v>
      </c>
      <c r="E29" s="561">
        <v>-428417</v>
      </c>
      <c r="F29" s="561">
        <v>-549391</v>
      </c>
      <c r="G29" s="561">
        <v>-126714</v>
      </c>
      <c r="H29" s="561">
        <v>-270854</v>
      </c>
      <c r="I29" s="561">
        <v>-409511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11">I29-H29</f>
        <v>-138657</v>
      </c>
    </row>
    <row r="30" spans="1:20" outlineLevel="1" x14ac:dyDescent="0.35">
      <c r="A30" s="556" t="s">
        <v>1007</v>
      </c>
      <c r="C30" s="561">
        <v>-83730</v>
      </c>
      <c r="D30" s="561">
        <v>-140606</v>
      </c>
      <c r="E30" s="561">
        <v>-196833</v>
      </c>
      <c r="F30" s="561">
        <v>-260714</v>
      </c>
      <c r="G30" s="561">
        <v>-62940</v>
      </c>
      <c r="H30" s="561">
        <v>-123957</v>
      </c>
      <c r="I30" s="561">
        <v>-185882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11"/>
        <v>-61925</v>
      </c>
    </row>
    <row r="31" spans="1:20" outlineLevel="1" x14ac:dyDescent="0.35">
      <c r="A31" s="556" t="s">
        <v>1008</v>
      </c>
      <c r="C31" s="561">
        <v>0</v>
      </c>
      <c r="D31" s="561">
        <v>0</v>
      </c>
      <c r="E31" s="561">
        <v>0</v>
      </c>
      <c r="F31" s="561">
        <v>0</v>
      </c>
      <c r="G31" s="561">
        <v>0</v>
      </c>
      <c r="H31" s="561">
        <v>0</v>
      </c>
      <c r="I31" s="561">
        <v>0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11"/>
        <v>0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11"/>
        <v>0</v>
      </c>
    </row>
    <row r="33" spans="1:20" outlineLevel="1" x14ac:dyDescent="0.35">
      <c r="A33" s="556" t="s">
        <v>1010</v>
      </c>
      <c r="C33" s="561">
        <v>-4947</v>
      </c>
      <c r="D33" s="561">
        <v>-9789</v>
      </c>
      <c r="E33" s="561">
        <v>-14765</v>
      </c>
      <c r="F33" s="561">
        <v>-20374</v>
      </c>
      <c r="G33" s="561">
        <v>-5483</v>
      </c>
      <c r="H33" s="561">
        <v>-10623</v>
      </c>
      <c r="I33" s="561">
        <v>-16343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11"/>
        <v>-5720</v>
      </c>
    </row>
    <row r="34" spans="1:20" outlineLevel="1" x14ac:dyDescent="0.35">
      <c r="A34" s="556" t="s">
        <v>1011</v>
      </c>
      <c r="C34" s="561">
        <v>-612</v>
      </c>
      <c r="D34" s="561">
        <v>-1250</v>
      </c>
      <c r="E34" s="561">
        <v>-1970</v>
      </c>
      <c r="F34" s="561">
        <v>-2662</v>
      </c>
      <c r="G34" s="561">
        <v>-692</v>
      </c>
      <c r="H34" s="561">
        <v>-1401</v>
      </c>
      <c r="I34" s="561">
        <v>-2160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11"/>
        <v>-759</v>
      </c>
    </row>
    <row r="35" spans="1:20" outlineLevel="1" x14ac:dyDescent="0.35">
      <c r="A35" s="556" t="s">
        <v>1012</v>
      </c>
      <c r="C35" s="561">
        <v>-62615</v>
      </c>
      <c r="D35" s="561">
        <v>-124527</v>
      </c>
      <c r="E35" s="561">
        <v>-186085</v>
      </c>
      <c r="F35" s="561">
        <v>-247644</v>
      </c>
      <c r="G35" s="561">
        <v>-63377</v>
      </c>
      <c r="H35" s="561">
        <v>-148493</v>
      </c>
      <c r="I35" s="561">
        <v>-244558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11"/>
        <v>-96065</v>
      </c>
    </row>
    <row r="36" spans="1:20" outlineLevel="1" x14ac:dyDescent="0.35">
      <c r="A36" s="556" t="s">
        <v>1013</v>
      </c>
      <c r="C36" s="561">
        <v>-369</v>
      </c>
      <c r="D36" s="561">
        <v>-572</v>
      </c>
      <c r="E36" s="561">
        <v>-729</v>
      </c>
      <c r="F36" s="561">
        <v>-904</v>
      </c>
      <c r="G36" s="561">
        <v>-283</v>
      </c>
      <c r="H36" s="561">
        <v>-471</v>
      </c>
      <c r="I36" s="561">
        <v>-678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11"/>
        <v>-207</v>
      </c>
    </row>
    <row r="37" spans="1:20" outlineLevel="1" x14ac:dyDescent="0.35">
      <c r="A37" s="556" t="s">
        <v>270</v>
      </c>
      <c r="C37" s="561">
        <v>-8998</v>
      </c>
      <c r="D37" s="561">
        <v>-59018</v>
      </c>
      <c r="E37" s="561">
        <v>-61861</v>
      </c>
      <c r="F37" s="561">
        <v>-64040</v>
      </c>
      <c r="G37" s="561">
        <v>-2954</v>
      </c>
      <c r="H37" s="561">
        <v>-7910</v>
      </c>
      <c r="I37" s="561">
        <v>-11142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11"/>
        <v>-3232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" si="12">C27+C6</f>
        <v>582091</v>
      </c>
      <c r="D39" s="558">
        <f t="shared" ref="D39:H39" si="13">D27+D6</f>
        <v>1203973</v>
      </c>
      <c r="E39" s="558">
        <f t="shared" si="13"/>
        <v>1827186</v>
      </c>
      <c r="F39" s="558">
        <f t="shared" si="13"/>
        <v>2556322</v>
      </c>
      <c r="G39" s="558">
        <f t="shared" si="13"/>
        <v>702872</v>
      </c>
      <c r="H39" s="558">
        <f t="shared" si="13"/>
        <v>1418188</v>
      </c>
      <c r="I39" s="558">
        <f>I27+I6</f>
        <v>2191048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772860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" si="14">SUM(C43:C48)</f>
        <v>-418272</v>
      </c>
      <c r="D41" s="562">
        <f t="shared" ref="D41:H41" si="15">SUM(D43:D48)</f>
        <v>-857706</v>
      </c>
      <c r="E41" s="562">
        <f t="shared" si="15"/>
        <v>-1318448</v>
      </c>
      <c r="F41" s="562">
        <f t="shared" si="15"/>
        <v>-1837564</v>
      </c>
      <c r="G41" s="562">
        <f t="shared" si="15"/>
        <v>-484274</v>
      </c>
      <c r="H41" s="562">
        <f t="shared" si="15"/>
        <v>-1032457</v>
      </c>
      <c r="I41" s="562">
        <f>SUM(I43:I48)</f>
        <v>-1572314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-539857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-319672</v>
      </c>
      <c r="D43" s="560">
        <v>-625069</v>
      </c>
      <c r="E43" s="560">
        <v>-938703</v>
      </c>
      <c r="F43" s="560">
        <v>-1277954</v>
      </c>
      <c r="G43" s="560">
        <v>-334591</v>
      </c>
      <c r="H43" s="560">
        <v>-664881</v>
      </c>
      <c r="I43" s="560">
        <v>-998819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6">I43-H43</f>
        <v>-333938</v>
      </c>
    </row>
    <row r="44" spans="1:20" x14ac:dyDescent="0.35">
      <c r="A44" s="555" t="s">
        <v>1016</v>
      </c>
      <c r="C44" s="560">
        <v>-70196</v>
      </c>
      <c r="D44" s="560">
        <v>-174684</v>
      </c>
      <c r="E44" s="560">
        <v>-284629</v>
      </c>
      <c r="F44" s="560">
        <v>-426115</v>
      </c>
      <c r="G44" s="560">
        <v>-120198</v>
      </c>
      <c r="H44" s="560">
        <v>-288401</v>
      </c>
      <c r="I44" s="560">
        <v>-454369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6"/>
        <v>-165968</v>
      </c>
    </row>
    <row r="45" spans="1:20" x14ac:dyDescent="0.35">
      <c r="A45" s="555" t="s">
        <v>312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6"/>
        <v>0</v>
      </c>
    </row>
    <row r="46" spans="1:20" x14ac:dyDescent="0.35">
      <c r="A46" s="555" t="s">
        <v>1017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6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6"/>
        <v>0</v>
      </c>
    </row>
    <row r="48" spans="1:20" x14ac:dyDescent="0.35">
      <c r="A48" s="555" t="s">
        <v>1018</v>
      </c>
      <c r="C48" s="560">
        <f t="shared" ref="C48" si="17">SUM(C49:C55)</f>
        <v>-28404</v>
      </c>
      <c r="D48" s="560">
        <f t="shared" ref="D48:H48" si="18">SUM(D49:D55)</f>
        <v>-57953</v>
      </c>
      <c r="E48" s="560">
        <f t="shared" si="18"/>
        <v>-95116</v>
      </c>
      <c r="F48" s="560">
        <f t="shared" si="18"/>
        <v>-133495</v>
      </c>
      <c r="G48" s="560">
        <f t="shared" si="18"/>
        <v>-29485</v>
      </c>
      <c r="H48" s="560">
        <f t="shared" si="18"/>
        <v>-79175</v>
      </c>
      <c r="I48" s="560">
        <f>SUM(I49:I55)</f>
        <v>-119126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-39951</v>
      </c>
    </row>
    <row r="49" spans="1:20" outlineLevel="1" x14ac:dyDescent="0.35">
      <c r="A49" s="556" t="s">
        <v>1019</v>
      </c>
      <c r="C49" s="561">
        <v>-2375</v>
      </c>
      <c r="D49" s="561">
        <v>-5620</v>
      </c>
      <c r="E49" s="561">
        <v>-9333</v>
      </c>
      <c r="F49" s="561">
        <v>-8872</v>
      </c>
      <c r="G49" s="561">
        <v>-4721</v>
      </c>
      <c r="H49" s="561">
        <v>-8722</v>
      </c>
      <c r="I49" s="561">
        <v>-12520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9">I49-H49</f>
        <v>-3798</v>
      </c>
    </row>
    <row r="50" spans="1:20" outlineLevel="1" x14ac:dyDescent="0.35">
      <c r="A50" s="556" t="s">
        <v>1020</v>
      </c>
      <c r="C50" s="561">
        <v>-560</v>
      </c>
      <c r="D50" s="561">
        <v>-1477</v>
      </c>
      <c r="E50" s="561">
        <v>-2395</v>
      </c>
      <c r="F50" s="561">
        <v>-4206</v>
      </c>
      <c r="G50" s="561">
        <v>-1136</v>
      </c>
      <c r="H50" s="561">
        <v>-2583</v>
      </c>
      <c r="I50" s="561">
        <v>-3587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9"/>
        <v>-1004</v>
      </c>
    </row>
    <row r="51" spans="1:20" outlineLevel="1" x14ac:dyDescent="0.35">
      <c r="A51" s="556" t="s">
        <v>1021</v>
      </c>
      <c r="C51" s="561">
        <v>-8859</v>
      </c>
      <c r="D51" s="561">
        <v>-20203</v>
      </c>
      <c r="E51" s="561">
        <v>-31674</v>
      </c>
      <c r="F51" s="561">
        <v>-48912</v>
      </c>
      <c r="G51" s="561">
        <v>-16720</v>
      </c>
      <c r="H51" s="561">
        <v>-41547</v>
      </c>
      <c r="I51" s="561">
        <v>-62302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9"/>
        <v>-20755</v>
      </c>
    </row>
    <row r="52" spans="1:20" outlineLevel="1" x14ac:dyDescent="0.35">
      <c r="A52" s="556" t="s">
        <v>1022</v>
      </c>
      <c r="C52" s="561">
        <v>-16591</v>
      </c>
      <c r="D52" s="561">
        <v>-30486</v>
      </c>
      <c r="E52" s="561">
        <v>-51620</v>
      </c>
      <c r="F52" s="561">
        <v>-71669</v>
      </c>
      <c r="G52" s="561">
        <v>-7078</v>
      </c>
      <c r="H52" s="561">
        <v>-26646</v>
      </c>
      <c r="I52" s="561">
        <v>-41300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9"/>
        <v>-14654</v>
      </c>
    </row>
    <row r="53" spans="1:20" outlineLevel="1" x14ac:dyDescent="0.35">
      <c r="A53" s="556" t="s">
        <v>1023</v>
      </c>
      <c r="C53" s="561">
        <v>0</v>
      </c>
      <c r="D53" s="561">
        <v>0</v>
      </c>
      <c r="E53" s="561">
        <v>0</v>
      </c>
      <c r="F53" s="561">
        <v>0</v>
      </c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9"/>
        <v>0</v>
      </c>
    </row>
    <row r="54" spans="1:20" outlineLevel="1" x14ac:dyDescent="0.35">
      <c r="A54" s="556" t="s">
        <v>1024</v>
      </c>
      <c r="C54" s="561">
        <v>-18</v>
      </c>
      <c r="D54" s="561">
        <v>-181</v>
      </c>
      <c r="E54" s="561">
        <v>-288</v>
      </c>
      <c r="F54" s="561">
        <v>-388</v>
      </c>
      <c r="G54" s="561">
        <v>-28</v>
      </c>
      <c r="H54" s="561">
        <v>-53</v>
      </c>
      <c r="I54" s="561">
        <v>-79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9"/>
        <v>-26</v>
      </c>
    </row>
    <row r="55" spans="1:20" outlineLevel="1" x14ac:dyDescent="0.35">
      <c r="A55" s="556" t="s">
        <v>1025</v>
      </c>
      <c r="C55" s="561">
        <v>-1</v>
      </c>
      <c r="D55" s="561">
        <v>14</v>
      </c>
      <c r="E55" s="561">
        <v>194</v>
      </c>
      <c r="F55" s="561">
        <v>552</v>
      </c>
      <c r="G55" s="561">
        <v>198</v>
      </c>
      <c r="H55" s="561">
        <v>376</v>
      </c>
      <c r="I55" s="561">
        <v>662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9"/>
        <v>286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" si="20">C39+C41</f>
        <v>163819</v>
      </c>
      <c r="D57" s="558">
        <f t="shared" ref="D57:H57" si="21">D39+D41</f>
        <v>346267</v>
      </c>
      <c r="E57" s="558">
        <f t="shared" si="21"/>
        <v>508738</v>
      </c>
      <c r="F57" s="558">
        <f t="shared" si="21"/>
        <v>718758</v>
      </c>
      <c r="G57" s="558">
        <f t="shared" si="21"/>
        <v>218598</v>
      </c>
      <c r="H57" s="558">
        <f t="shared" si="21"/>
        <v>385731</v>
      </c>
      <c r="I57" s="558">
        <f>I39+I41</f>
        <v>618734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233003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" si="22">C61+C67+C68+C77+C78</f>
        <v>-73631</v>
      </c>
      <c r="D59" s="562">
        <f t="shared" ref="D59:H59" si="23">D61+D67+D68+D77+D78</f>
        <v>-138133</v>
      </c>
      <c r="E59" s="562">
        <f t="shared" si="23"/>
        <v>-216470</v>
      </c>
      <c r="F59" s="562">
        <f t="shared" si="23"/>
        <v>-323798</v>
      </c>
      <c r="G59" s="562">
        <f t="shared" si="23"/>
        <v>-69415</v>
      </c>
      <c r="H59" s="562">
        <f t="shared" si="23"/>
        <v>-105742</v>
      </c>
      <c r="I59" s="562">
        <f>I61+I67+I68+I77+I78</f>
        <v>-174395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-68653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" si="24">SUM(C62:C66)</f>
        <v>-26024</v>
      </c>
      <c r="D61" s="560">
        <f t="shared" ref="D61:H61" si="25">SUM(D62:D66)</f>
        <v>-52184</v>
      </c>
      <c r="E61" s="560">
        <f t="shared" si="25"/>
        <v>-85683</v>
      </c>
      <c r="F61" s="560">
        <f t="shared" si="25"/>
        <v>-123721</v>
      </c>
      <c r="G61" s="560">
        <f t="shared" si="25"/>
        <v>-28087</v>
      </c>
      <c r="H61" s="560">
        <f t="shared" si="25"/>
        <v>-44480</v>
      </c>
      <c r="I61" s="560">
        <f>SUM(I62:I66)</f>
        <v>-66869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-22389</v>
      </c>
    </row>
    <row r="62" spans="1:20" outlineLevel="1" x14ac:dyDescent="0.35">
      <c r="A62" s="556" t="s">
        <v>1029</v>
      </c>
      <c r="C62" s="561">
        <v>-4395</v>
      </c>
      <c r="D62" s="561">
        <v>-9513</v>
      </c>
      <c r="E62" s="561">
        <v>-13999</v>
      </c>
      <c r="F62" s="561">
        <v>-19555</v>
      </c>
      <c r="G62" s="561">
        <v>-4504</v>
      </c>
      <c r="H62" s="561">
        <v>-7777</v>
      </c>
      <c r="I62" s="561">
        <v>-10805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26">I62-H62</f>
        <v>-3028</v>
      </c>
    </row>
    <row r="63" spans="1:20" outlineLevel="1" x14ac:dyDescent="0.35">
      <c r="A63" s="556" t="s">
        <v>1030</v>
      </c>
      <c r="C63" s="561">
        <v>-602</v>
      </c>
      <c r="D63" s="561">
        <v>-1670</v>
      </c>
      <c r="E63" s="561">
        <v>-3246</v>
      </c>
      <c r="F63" s="561">
        <v>-4479</v>
      </c>
      <c r="G63" s="561">
        <v>-1130</v>
      </c>
      <c r="H63" s="561">
        <v>-2321</v>
      </c>
      <c r="I63" s="561">
        <v>-3639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26"/>
        <v>-1318</v>
      </c>
    </row>
    <row r="64" spans="1:20" outlineLevel="1" x14ac:dyDescent="0.35">
      <c r="A64" s="556" t="s">
        <v>1031</v>
      </c>
      <c r="C64" s="561">
        <v>-20429</v>
      </c>
      <c r="D64" s="561">
        <v>-40057</v>
      </c>
      <c r="E64" s="561">
        <v>-67052</v>
      </c>
      <c r="F64" s="561">
        <v>-98031</v>
      </c>
      <c r="G64" s="561">
        <v>-22160</v>
      </c>
      <c r="H64" s="561">
        <v>-33841</v>
      </c>
      <c r="I64" s="561">
        <v>-51713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26"/>
        <v>-17872</v>
      </c>
    </row>
    <row r="65" spans="1:20" outlineLevel="1" x14ac:dyDescent="0.35">
      <c r="A65" s="556" t="s">
        <v>1032</v>
      </c>
      <c r="C65" s="561">
        <v>-228</v>
      </c>
      <c r="D65" s="561">
        <v>-419</v>
      </c>
      <c r="E65" s="561">
        <v>-801</v>
      </c>
      <c r="F65" s="561">
        <v>-1132</v>
      </c>
      <c r="G65" s="561">
        <v>-305</v>
      </c>
      <c r="H65" s="561">
        <v>-604</v>
      </c>
      <c r="I65" s="561">
        <v>-896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26"/>
        <v>-292</v>
      </c>
    </row>
    <row r="66" spans="1:20" outlineLevel="1" x14ac:dyDescent="0.35">
      <c r="A66" s="556" t="s">
        <v>1033</v>
      </c>
      <c r="C66" s="561">
        <v>-370</v>
      </c>
      <c r="D66" s="561">
        <v>-525</v>
      </c>
      <c r="E66" s="561">
        <v>-585</v>
      </c>
      <c r="F66" s="561">
        <v>-524</v>
      </c>
      <c r="G66" s="561">
        <v>12</v>
      </c>
      <c r="H66" s="561">
        <v>63</v>
      </c>
      <c r="I66" s="561">
        <v>184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26"/>
        <v>121</v>
      </c>
    </row>
    <row r="67" spans="1:20" x14ac:dyDescent="0.35">
      <c r="A67" s="555" t="s">
        <v>1034</v>
      </c>
      <c r="C67" s="563">
        <v>-15467</v>
      </c>
      <c r="D67" s="563">
        <v>-20090</v>
      </c>
      <c r="E67" s="563">
        <v>-35044</v>
      </c>
      <c r="F67" s="563">
        <v>-48348</v>
      </c>
      <c r="G67" s="563">
        <v>-12595</v>
      </c>
      <c r="H67" s="563">
        <v>-11796</v>
      </c>
      <c r="I67" s="563">
        <v>-15780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26"/>
        <v>-3984</v>
      </c>
    </row>
    <row r="68" spans="1:20" x14ac:dyDescent="0.35">
      <c r="A68" s="555" t="s">
        <v>1035</v>
      </c>
      <c r="C68" s="560">
        <f t="shared" ref="C68" si="27">SUM(C69:C76)</f>
        <v>-30745</v>
      </c>
      <c r="D68" s="560">
        <f t="shared" ref="D68:H68" si="28">SUM(D69:D76)</f>
        <v>-58843</v>
      </c>
      <c r="E68" s="560">
        <f t="shared" si="28"/>
        <v>-73299</v>
      </c>
      <c r="F68" s="560">
        <f t="shared" si="28"/>
        <v>-123852</v>
      </c>
      <c r="G68" s="560">
        <f t="shared" si="28"/>
        <v>-18876</v>
      </c>
      <c r="H68" s="560">
        <f t="shared" si="28"/>
        <v>-37325</v>
      </c>
      <c r="I68" s="560">
        <f>SUM(I69:I76)</f>
        <v>-68398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-31073</v>
      </c>
    </row>
    <row r="69" spans="1:20" outlineLevel="1" x14ac:dyDescent="0.35">
      <c r="A69" s="556" t="s">
        <v>1036</v>
      </c>
      <c r="C69" s="561">
        <v>-10812</v>
      </c>
      <c r="D69" s="561">
        <v>-19265</v>
      </c>
      <c r="E69" s="561">
        <v>-29618</v>
      </c>
      <c r="F69" s="561">
        <v>-46711</v>
      </c>
      <c r="G69" s="561">
        <v>-9984</v>
      </c>
      <c r="H69" s="561">
        <v>-23448</v>
      </c>
      <c r="I69" s="561">
        <v>-37603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29">I69-H69</f>
        <v>-14155</v>
      </c>
    </row>
    <row r="70" spans="1:20" outlineLevel="1" x14ac:dyDescent="0.35">
      <c r="A70" s="556" t="s">
        <v>1037</v>
      </c>
      <c r="C70" s="561">
        <v>-3641</v>
      </c>
      <c r="D70" s="561">
        <v>-3950</v>
      </c>
      <c r="E70" s="561">
        <v>-3799</v>
      </c>
      <c r="F70" s="561">
        <v>-4329</v>
      </c>
      <c r="G70" s="561">
        <v>-133</v>
      </c>
      <c r="H70" s="561">
        <v>810</v>
      </c>
      <c r="I70" s="561">
        <v>1380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29"/>
        <v>570</v>
      </c>
    </row>
    <row r="71" spans="1:20" outlineLevel="1" x14ac:dyDescent="0.35">
      <c r="A71" s="556" t="s">
        <v>1038</v>
      </c>
      <c r="C71" s="561">
        <v>-10882</v>
      </c>
      <c r="D71" s="561">
        <v>-22761</v>
      </c>
      <c r="E71" s="561">
        <v>-26251</v>
      </c>
      <c r="F71" s="561">
        <v>-52898</v>
      </c>
      <c r="G71" s="561">
        <v>-4380</v>
      </c>
      <c r="H71" s="561">
        <v>-6118</v>
      </c>
      <c r="I71" s="561">
        <v>-13700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29"/>
        <v>-7582</v>
      </c>
    </row>
    <row r="72" spans="1:20" outlineLevel="1" x14ac:dyDescent="0.35">
      <c r="A72" s="556" t="s">
        <v>1039</v>
      </c>
      <c r="C72" s="561">
        <v>-101</v>
      </c>
      <c r="D72" s="561">
        <v>-85</v>
      </c>
      <c r="E72" s="561">
        <v>60</v>
      </c>
      <c r="F72" s="561">
        <v>19</v>
      </c>
      <c r="G72" s="561">
        <v>-66</v>
      </c>
      <c r="H72" s="561">
        <v>-274</v>
      </c>
      <c r="I72" s="561">
        <v>-390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29"/>
        <v>-116</v>
      </c>
    </row>
    <row r="73" spans="1:20" outlineLevel="1" x14ac:dyDescent="0.35">
      <c r="A73" s="556" t="s">
        <v>1040</v>
      </c>
      <c r="C73" s="561">
        <v>-183</v>
      </c>
      <c r="D73" s="561">
        <v>998</v>
      </c>
      <c r="E73" s="561">
        <v>1782</v>
      </c>
      <c r="F73" s="561">
        <v>3516</v>
      </c>
      <c r="G73" s="561">
        <v>226</v>
      </c>
      <c r="H73" s="561">
        <v>1391</v>
      </c>
      <c r="I73" s="561">
        <v>2521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29"/>
        <v>1130</v>
      </c>
    </row>
    <row r="74" spans="1:20" outlineLevel="1" x14ac:dyDescent="0.35">
      <c r="A74" s="556" t="s">
        <v>1041</v>
      </c>
      <c r="C74" s="561">
        <v>-2698</v>
      </c>
      <c r="D74" s="561">
        <v>-5664</v>
      </c>
      <c r="E74" s="561">
        <v>-8529</v>
      </c>
      <c r="F74" s="561">
        <v>-11881</v>
      </c>
      <c r="G74" s="561">
        <v>-2061</v>
      </c>
      <c r="H74" s="561">
        <v>-4876</v>
      </c>
      <c r="I74" s="561">
        <v>-6811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29"/>
        <v>-1935</v>
      </c>
    </row>
    <row r="75" spans="1:20" outlineLevel="1" x14ac:dyDescent="0.35">
      <c r="A75" s="556" t="s">
        <v>1042</v>
      </c>
      <c r="C75" s="561">
        <v>-2428</v>
      </c>
      <c r="D75" s="561">
        <v>-8116</v>
      </c>
      <c r="E75" s="561">
        <v>-6944</v>
      </c>
      <c r="F75" s="561">
        <v>-11568</v>
      </c>
      <c r="G75" s="561">
        <v>-2478</v>
      </c>
      <c r="H75" s="561">
        <v>-4810</v>
      </c>
      <c r="I75" s="561">
        <v>-13795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29"/>
        <v>-8985</v>
      </c>
    </row>
    <row r="76" spans="1:20" outlineLevel="1" x14ac:dyDescent="0.35">
      <c r="A76" s="556" t="s">
        <v>1043</v>
      </c>
      <c r="C76" s="561">
        <v>0</v>
      </c>
      <c r="D76" s="561">
        <v>0</v>
      </c>
      <c r="E76" s="561">
        <v>0</v>
      </c>
      <c r="F76" s="561">
        <v>0</v>
      </c>
      <c r="G76" s="561">
        <v>0</v>
      </c>
      <c r="H76" s="561">
        <v>0</v>
      </c>
      <c r="I76" s="561">
        <v>0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29"/>
        <v>0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29"/>
        <v>0</v>
      </c>
    </row>
    <row r="78" spans="1:20" x14ac:dyDescent="0.35">
      <c r="A78" s="555" t="s">
        <v>1045</v>
      </c>
      <c r="C78" s="560">
        <f t="shared" ref="C78" si="30">SUM(C79:C80)</f>
        <v>-1395</v>
      </c>
      <c r="D78" s="560">
        <f t="shared" ref="D78:H78" si="31">SUM(D79:D80)</f>
        <v>-7016</v>
      </c>
      <c r="E78" s="560">
        <f t="shared" si="31"/>
        <v>-22444</v>
      </c>
      <c r="F78" s="560">
        <f t="shared" si="31"/>
        <v>-27877</v>
      </c>
      <c r="G78" s="560">
        <f t="shared" si="31"/>
        <v>-9857</v>
      </c>
      <c r="H78" s="560">
        <f t="shared" si="31"/>
        <v>-12141</v>
      </c>
      <c r="I78" s="560">
        <f>SUM(I79:I80)</f>
        <v>-23348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-11207</v>
      </c>
    </row>
    <row r="79" spans="1:20" outlineLevel="1" x14ac:dyDescent="0.35">
      <c r="A79" s="556" t="s">
        <v>1046</v>
      </c>
      <c r="C79" s="561">
        <v>-1048</v>
      </c>
      <c r="D79" s="561">
        <v>-2571</v>
      </c>
      <c r="E79" s="561">
        <v>-4472</v>
      </c>
      <c r="F79" s="561">
        <v>-8143</v>
      </c>
      <c r="G79" s="561">
        <v>-1080</v>
      </c>
      <c r="H79" s="561">
        <v>-2288</v>
      </c>
      <c r="I79" s="561">
        <v>-3704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32">I79-H79</f>
        <v>-1416</v>
      </c>
    </row>
    <row r="80" spans="1:20" outlineLevel="1" x14ac:dyDescent="0.35">
      <c r="A80" s="556" t="s">
        <v>1047</v>
      </c>
      <c r="C80" s="561">
        <v>-347</v>
      </c>
      <c r="D80" s="561">
        <v>-4445</v>
      </c>
      <c r="E80" s="561">
        <v>-17972</v>
      </c>
      <c r="F80" s="561">
        <v>-19734</v>
      </c>
      <c r="G80" s="561">
        <v>-8777</v>
      </c>
      <c r="H80" s="561">
        <v>-9853</v>
      </c>
      <c r="I80" s="561">
        <v>-19644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32"/>
        <v>-9791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" si="33">C84-C75-C52-C76</f>
        <v>109207</v>
      </c>
      <c r="D82" s="558">
        <f t="shared" ref="D82:H82" si="34">D84-D75-D52-D76</f>
        <v>246736</v>
      </c>
      <c r="E82" s="558">
        <f t="shared" si="34"/>
        <v>350832</v>
      </c>
      <c r="F82" s="558">
        <f t="shared" si="34"/>
        <v>478197</v>
      </c>
      <c r="G82" s="558">
        <f t="shared" si="34"/>
        <v>158739</v>
      </c>
      <c r="H82" s="558">
        <f t="shared" si="34"/>
        <v>311445</v>
      </c>
      <c r="I82" s="558">
        <f>I84-I75-I52-I76</f>
        <v>499434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187989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" si="35">C57+C59</f>
        <v>90188</v>
      </c>
      <c r="D84" s="558">
        <f t="shared" ref="D84:H84" si="36">D57+D59</f>
        <v>208134</v>
      </c>
      <c r="E84" s="558">
        <f t="shared" si="36"/>
        <v>292268</v>
      </c>
      <c r="F84" s="558">
        <f t="shared" si="36"/>
        <v>394960</v>
      </c>
      <c r="G84" s="558">
        <f t="shared" si="36"/>
        <v>149183</v>
      </c>
      <c r="H84" s="558">
        <f t="shared" si="36"/>
        <v>279989</v>
      </c>
      <c r="I84" s="558">
        <f>I57+I59</f>
        <v>444339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164350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" si="37">C88+C97</f>
        <v>2149</v>
      </c>
      <c r="D86" s="558">
        <f t="shared" ref="D86:H86" si="38">D88+D97</f>
        <v>7818</v>
      </c>
      <c r="E86" s="558">
        <f t="shared" si="38"/>
        <v>13080</v>
      </c>
      <c r="F86" s="558">
        <f t="shared" si="38"/>
        <v>-5843</v>
      </c>
      <c r="G86" s="558">
        <f t="shared" si="38"/>
        <v>-45066</v>
      </c>
      <c r="H86" s="558">
        <f t="shared" si="38"/>
        <v>-82271</v>
      </c>
      <c r="I86" s="558">
        <f>I88+I97</f>
        <v>-104906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-22635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" si="39">SUM(C89:C96)</f>
        <v>58418</v>
      </c>
      <c r="D88" s="562">
        <f t="shared" ref="D88:H88" si="40">SUM(D89:D96)</f>
        <v>134329</v>
      </c>
      <c r="E88" s="562">
        <f t="shared" si="40"/>
        <v>188138</v>
      </c>
      <c r="F88" s="562">
        <f t="shared" si="40"/>
        <v>242264</v>
      </c>
      <c r="G88" s="562">
        <f t="shared" si="40"/>
        <v>45786</v>
      </c>
      <c r="H88" s="562">
        <f t="shared" si="40"/>
        <v>92020</v>
      </c>
      <c r="I88" s="562">
        <f>SUM(I89:I96)</f>
        <v>108267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16247</v>
      </c>
    </row>
    <row r="89" spans="1:20" outlineLevel="1" x14ac:dyDescent="0.35">
      <c r="A89" s="556" t="s">
        <v>1049</v>
      </c>
      <c r="C89" s="561">
        <v>36123</v>
      </c>
      <c r="D89" s="561">
        <v>80689</v>
      </c>
      <c r="E89" s="561">
        <v>124221</v>
      </c>
      <c r="F89" s="561">
        <v>168283</v>
      </c>
      <c r="G89" s="561">
        <v>36063</v>
      </c>
      <c r="H89" s="561">
        <v>56978</v>
      </c>
      <c r="I89" s="561">
        <v>76543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41">I89-H89</f>
        <v>19565</v>
      </c>
    </row>
    <row r="90" spans="1:20" outlineLevel="1" x14ac:dyDescent="0.35">
      <c r="A90" s="556" t="s">
        <v>1050</v>
      </c>
      <c r="C90" s="561">
        <v>-2847</v>
      </c>
      <c r="D90" s="561">
        <v>-6547</v>
      </c>
      <c r="E90" s="561">
        <v>-9148</v>
      </c>
      <c r="F90" s="561">
        <v>-11616</v>
      </c>
      <c r="G90" s="561">
        <v>-1597</v>
      </c>
      <c r="H90" s="561">
        <v>-3026</v>
      </c>
      <c r="I90" s="561">
        <v>-4244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41"/>
        <v>-1218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41"/>
        <v>0</v>
      </c>
    </row>
    <row r="92" spans="1:20" outlineLevel="1" x14ac:dyDescent="0.35">
      <c r="A92" s="556" t="s">
        <v>1052</v>
      </c>
      <c r="C92" s="561">
        <v>25142</v>
      </c>
      <c r="D92" s="561">
        <v>60187</v>
      </c>
      <c r="E92" s="561">
        <v>73065</v>
      </c>
      <c r="F92" s="561">
        <v>82076</v>
      </c>
      <c r="G92" s="561">
        <v>6491</v>
      </c>
      <c r="H92" s="561">
        <v>16470</v>
      </c>
      <c r="I92" s="561">
        <v>24237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41"/>
        <v>7767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41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41"/>
        <v>0</v>
      </c>
    </row>
    <row r="95" spans="1:20" outlineLevel="1" x14ac:dyDescent="0.35">
      <c r="A95" s="556" t="s">
        <v>1055</v>
      </c>
      <c r="C95" s="561">
        <v>0</v>
      </c>
      <c r="D95" s="561">
        <v>0</v>
      </c>
      <c r="E95" s="561">
        <v>0</v>
      </c>
      <c r="F95" s="561">
        <v>0</v>
      </c>
      <c r="G95" s="561">
        <v>0</v>
      </c>
      <c r="H95" s="561">
        <v>0</v>
      </c>
      <c r="I95" s="561">
        <v>0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41"/>
        <v>0</v>
      </c>
    </row>
    <row r="96" spans="1:20" outlineLevel="1" x14ac:dyDescent="0.35">
      <c r="A96" s="556" t="s">
        <v>1056</v>
      </c>
      <c r="C96" s="561">
        <v>0</v>
      </c>
      <c r="D96" s="561">
        <v>0</v>
      </c>
      <c r="E96" s="561">
        <v>0</v>
      </c>
      <c r="F96" s="561">
        <v>3521</v>
      </c>
      <c r="G96" s="561">
        <v>4829</v>
      </c>
      <c r="H96" s="561">
        <v>21598</v>
      </c>
      <c r="I96" s="561">
        <v>11731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41"/>
        <v>-9867</v>
      </c>
    </row>
    <row r="97" spans="1:20" x14ac:dyDescent="0.35">
      <c r="A97" s="555" t="s">
        <v>279</v>
      </c>
      <c r="C97" s="560">
        <f t="shared" ref="C97" si="42">SUM(C98:C106)</f>
        <v>-56269</v>
      </c>
      <c r="D97" s="560">
        <f t="shared" ref="D97:H97" si="43">SUM(D98:D106)</f>
        <v>-126511</v>
      </c>
      <c r="E97" s="560">
        <f t="shared" si="43"/>
        <v>-175058</v>
      </c>
      <c r="F97" s="560">
        <f t="shared" si="43"/>
        <v>-248107</v>
      </c>
      <c r="G97" s="560">
        <f t="shared" si="43"/>
        <v>-90852</v>
      </c>
      <c r="H97" s="560">
        <f t="shared" si="43"/>
        <v>-174291</v>
      </c>
      <c r="I97" s="560">
        <f>SUM(I98:I106)</f>
        <v>-213173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-38882</v>
      </c>
    </row>
    <row r="98" spans="1:20" outlineLevel="1" x14ac:dyDescent="0.35">
      <c r="A98" s="556" t="s">
        <v>1057</v>
      </c>
      <c r="C98" s="561">
        <v>-30083</v>
      </c>
      <c r="D98" s="561">
        <v>-67833</v>
      </c>
      <c r="E98" s="561">
        <v>-110339</v>
      </c>
      <c r="F98" s="561">
        <v>-156986</v>
      </c>
      <c r="G98" s="561">
        <v>-36166</v>
      </c>
      <c r="H98" s="561">
        <v>-69179</v>
      </c>
      <c r="I98" s="561">
        <v>-98095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44">I98-H98</f>
        <v>-28916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44"/>
        <v>0</v>
      </c>
    </row>
    <row r="100" spans="1:20" outlineLevel="1" x14ac:dyDescent="0.35">
      <c r="A100" s="556" t="s">
        <v>1059</v>
      </c>
      <c r="C100" s="561">
        <v>-10291</v>
      </c>
      <c r="D100" s="561">
        <v>-29772</v>
      </c>
      <c r="E100" s="561">
        <v>-30035</v>
      </c>
      <c r="F100" s="561">
        <v>-41792</v>
      </c>
      <c r="G100" s="561">
        <v>-34377</v>
      </c>
      <c r="H100" s="561">
        <v>-72893</v>
      </c>
      <c r="I100" s="561">
        <v>-74882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44"/>
        <v>-1989</v>
      </c>
    </row>
    <row r="101" spans="1:20" outlineLevel="1" x14ac:dyDescent="0.35">
      <c r="A101" s="556" t="s">
        <v>1060</v>
      </c>
      <c r="C101" s="561">
        <v>0</v>
      </c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44"/>
        <v>0</v>
      </c>
    </row>
    <row r="102" spans="1:20" outlineLevel="1" x14ac:dyDescent="0.35">
      <c r="A102" s="556" t="s">
        <v>1061</v>
      </c>
      <c r="C102" s="561">
        <v>-8717</v>
      </c>
      <c r="D102" s="561">
        <v>-12686</v>
      </c>
      <c r="E102" s="561">
        <v>-17310</v>
      </c>
      <c r="F102" s="561">
        <v>-20967</v>
      </c>
      <c r="G102" s="561">
        <v>-8702</v>
      </c>
      <c r="H102" s="561">
        <v>-16453</v>
      </c>
      <c r="I102" s="561">
        <v>-18798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44"/>
        <v>-2345</v>
      </c>
    </row>
    <row r="103" spans="1:20" outlineLevel="1" x14ac:dyDescent="0.35">
      <c r="A103" s="556" t="s">
        <v>1062</v>
      </c>
      <c r="C103" s="561">
        <v>-29</v>
      </c>
      <c r="D103" s="561">
        <v>-88</v>
      </c>
      <c r="E103" s="561">
        <v>-271</v>
      </c>
      <c r="F103" s="561">
        <v>-292</v>
      </c>
      <c r="G103" s="561">
        <v>-6</v>
      </c>
      <c r="H103" s="561">
        <v>-11</v>
      </c>
      <c r="I103" s="561">
        <v>-17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44"/>
        <v>-6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44"/>
        <v>0</v>
      </c>
    </row>
    <row r="105" spans="1:20" outlineLevel="1" x14ac:dyDescent="0.35">
      <c r="A105" s="556" t="s">
        <v>1064</v>
      </c>
      <c r="C105" s="561">
        <v>-258</v>
      </c>
      <c r="D105" s="561">
        <v>-752</v>
      </c>
      <c r="E105" s="561">
        <v>-984</v>
      </c>
      <c r="F105" s="561">
        <v>-1112</v>
      </c>
      <c r="G105" s="561">
        <v>-161</v>
      </c>
      <c r="H105" s="561">
        <v>-225</v>
      </c>
      <c r="I105" s="561">
        <v>-382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44"/>
        <v>-157</v>
      </c>
    </row>
    <row r="106" spans="1:20" outlineLevel="1" x14ac:dyDescent="0.35">
      <c r="A106" s="556" t="s">
        <v>1065</v>
      </c>
      <c r="C106" s="561">
        <v>-6891</v>
      </c>
      <c r="D106" s="561">
        <v>-15380</v>
      </c>
      <c r="E106" s="561">
        <v>-16119</v>
      </c>
      <c r="F106" s="561">
        <v>-26958</v>
      </c>
      <c r="G106" s="561">
        <v>-11440</v>
      </c>
      <c r="H106" s="561">
        <v>-15530</v>
      </c>
      <c r="I106" s="561">
        <v>-20999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44"/>
        <v>-5469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" si="45">C84+C86</f>
        <v>92337</v>
      </c>
      <c r="D108" s="558">
        <f t="shared" ref="D108:H108" si="46">D84+D86</f>
        <v>215952</v>
      </c>
      <c r="E108" s="558">
        <f t="shared" si="46"/>
        <v>305348</v>
      </c>
      <c r="F108" s="558">
        <f t="shared" si="46"/>
        <v>389117</v>
      </c>
      <c r="G108" s="558">
        <f t="shared" si="46"/>
        <v>104117</v>
      </c>
      <c r="H108" s="558">
        <f t="shared" si="46"/>
        <v>197718</v>
      </c>
      <c r="I108" s="558">
        <f>I84+I86</f>
        <v>339433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141715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" si="47">SUM(C112:C115)</f>
        <v>-18765</v>
      </c>
      <c r="D110" s="562">
        <f t="shared" ref="D110:I110" si="48">SUM(D112:D115)</f>
        <v>-45131</v>
      </c>
      <c r="E110" s="562">
        <f t="shared" si="48"/>
        <v>-58740</v>
      </c>
      <c r="F110" s="562">
        <f t="shared" si="48"/>
        <v>-69366</v>
      </c>
      <c r="G110" s="562">
        <f t="shared" si="48"/>
        <v>-18423</v>
      </c>
      <c r="H110" s="562">
        <f t="shared" si="48"/>
        <v>-34515</v>
      </c>
      <c r="I110" s="562">
        <f t="shared" si="48"/>
        <v>-59700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-25185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-3209</v>
      </c>
      <c r="D112" s="563">
        <v>-10337</v>
      </c>
      <c r="E112" s="563">
        <v>-16176</v>
      </c>
      <c r="F112" s="563">
        <v>-23877</v>
      </c>
      <c r="G112" s="563">
        <v>-6750</v>
      </c>
      <c r="H112" s="563">
        <v>-12885</v>
      </c>
      <c r="I112" s="563">
        <v>-20846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49">I112-H112</f>
        <v>-7961</v>
      </c>
    </row>
    <row r="113" spans="1:20" x14ac:dyDescent="0.35">
      <c r="A113" s="555" t="s">
        <v>282</v>
      </c>
      <c r="C113" s="563">
        <v>-12800</v>
      </c>
      <c r="D113" s="563">
        <v>-28616</v>
      </c>
      <c r="E113" s="563">
        <v>-44937</v>
      </c>
      <c r="F113" s="563">
        <v>-65244</v>
      </c>
      <c r="G113" s="563">
        <v>-18787</v>
      </c>
      <c r="H113" s="563">
        <v>-35825</v>
      </c>
      <c r="I113" s="563">
        <v>-58060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49"/>
        <v>-22235</v>
      </c>
    </row>
    <row r="114" spans="1:20" x14ac:dyDescent="0.35">
      <c r="A114" s="555" t="s">
        <v>284</v>
      </c>
      <c r="C114" s="563">
        <v>12772</v>
      </c>
      <c r="D114" s="563">
        <v>28616</v>
      </c>
      <c r="E114" s="563">
        <v>44937</v>
      </c>
      <c r="F114" s="563">
        <v>61794</v>
      </c>
      <c r="G114" s="563">
        <v>16820</v>
      </c>
      <c r="H114" s="563">
        <v>32695</v>
      </c>
      <c r="I114" s="563">
        <v>55484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49"/>
        <v>22789</v>
      </c>
    </row>
    <row r="115" spans="1:20" x14ac:dyDescent="0.35">
      <c r="A115" s="555" t="s">
        <v>1068</v>
      </c>
      <c r="C115" s="563">
        <v>-15528</v>
      </c>
      <c r="D115" s="563">
        <v>-34794</v>
      </c>
      <c r="E115" s="563">
        <v>-42564</v>
      </c>
      <c r="F115" s="563">
        <v>-42039</v>
      </c>
      <c r="G115" s="563">
        <v>-9706</v>
      </c>
      <c r="H115" s="563">
        <v>-18500</v>
      </c>
      <c r="I115" s="563">
        <v>-36278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49"/>
        <v>-17778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" si="50">C108+C110</f>
        <v>73572</v>
      </c>
      <c r="D117" s="564">
        <f t="shared" ref="D117:I117" si="51">D108+D110</f>
        <v>170821</v>
      </c>
      <c r="E117" s="564">
        <f t="shared" si="51"/>
        <v>246608</v>
      </c>
      <c r="F117" s="564">
        <f t="shared" si="51"/>
        <v>319751</v>
      </c>
      <c r="G117" s="564">
        <f t="shared" si="51"/>
        <v>85694</v>
      </c>
      <c r="H117" s="564">
        <f t="shared" si="51"/>
        <v>163203</v>
      </c>
      <c r="I117" s="564">
        <f t="shared" si="51"/>
        <v>279733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116530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" si="52">C117-C121</f>
        <v>70913.735644507207</v>
      </c>
      <c r="D120" s="563">
        <f t="shared" ref="D120:I120" si="53">D117-D121</f>
        <v>164648.98652381837</v>
      </c>
      <c r="E120" s="563">
        <f t="shared" si="53"/>
        <v>237697.69096695256</v>
      </c>
      <c r="F120" s="563">
        <f t="shared" si="53"/>
        <v>308197.92701118393</v>
      </c>
      <c r="G120" s="563">
        <f t="shared" si="53"/>
        <v>82597.749990762793</v>
      </c>
      <c r="H120" s="563">
        <f t="shared" si="53"/>
        <v>157306.23604619296</v>
      </c>
      <c r="I120" s="563">
        <f t="shared" si="53"/>
        <v>269625.83609314595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54">I120-H120</f>
        <v>112319.60004695298</v>
      </c>
    </row>
    <row r="121" spans="1:20" x14ac:dyDescent="0.35">
      <c r="A121" s="555" t="s">
        <v>1072</v>
      </c>
      <c r="C121" s="563">
        <f t="shared" ref="C121" si="55">C117*C126</f>
        <v>2658.2643554927931</v>
      </c>
      <c r="D121" s="563">
        <f t="shared" ref="D121:I121" si="56">D117*D126</f>
        <v>6172.0134761816234</v>
      </c>
      <c r="E121" s="563">
        <f t="shared" si="56"/>
        <v>8910.3090330474461</v>
      </c>
      <c r="F121" s="563">
        <f t="shared" si="56"/>
        <v>11553.072988816073</v>
      </c>
      <c r="G121" s="563">
        <f t="shared" si="56"/>
        <v>3096.250009237202</v>
      </c>
      <c r="H121" s="563">
        <f t="shared" si="56"/>
        <v>5896.7639538070234</v>
      </c>
      <c r="I121" s="563">
        <f t="shared" si="56"/>
        <v>10107.163906854041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54"/>
        <v>4210.3999530470173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" si="57">SUM(C120:C121)</f>
        <v>73572</v>
      </c>
      <c r="D123" s="564">
        <f t="shared" ref="D123:I123" si="58">SUM(D120:D121)</f>
        <v>170821</v>
      </c>
      <c r="E123" s="564">
        <f t="shared" si="58"/>
        <v>246608</v>
      </c>
      <c r="F123" s="564">
        <f t="shared" si="58"/>
        <v>319751</v>
      </c>
      <c r="G123" s="564">
        <f t="shared" si="58"/>
        <v>85694</v>
      </c>
      <c r="H123" s="564">
        <f t="shared" si="58"/>
        <v>163203</v>
      </c>
      <c r="I123" s="564">
        <f t="shared" si="58"/>
        <v>279733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116530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>
        <v>0.96386853211149903</v>
      </c>
      <c r="D125" s="571">
        <v>0.96386853211149903</v>
      </c>
      <c r="E125" s="571">
        <v>0.96386853211149903</v>
      </c>
      <c r="F125" s="571">
        <v>0.96386853211149903</v>
      </c>
      <c r="G125" s="571">
        <v>0.96386853211149903</v>
      </c>
      <c r="H125" s="571">
        <v>0.96386853211149903</v>
      </c>
      <c r="I125" s="571">
        <v>0.96386853211149903</v>
      </c>
      <c r="T125" s="571">
        <f>I125</f>
        <v>0.96386853211149903</v>
      </c>
    </row>
    <row r="126" spans="1:20" s="570" customFormat="1" ht="10.5" x14ac:dyDescent="0.25">
      <c r="A126" s="569" t="s">
        <v>1087</v>
      </c>
      <c r="C126" s="571">
        <v>3.6131467888500968E-2</v>
      </c>
      <c r="D126" s="571">
        <v>3.6131467888500968E-2</v>
      </c>
      <c r="E126" s="571">
        <v>3.6131467888500968E-2</v>
      </c>
      <c r="F126" s="571">
        <v>3.6131467888500968E-2</v>
      </c>
      <c r="G126" s="571">
        <v>3.6131467888500968E-2</v>
      </c>
      <c r="H126" s="571">
        <v>3.6131467888500968E-2</v>
      </c>
      <c r="I126" s="571">
        <v>3.6131467888500968E-2</v>
      </c>
      <c r="T126" s="571">
        <f>I126</f>
        <v>3.6131467888500968E-2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627F-BD57-4E67-87A8-A0DD0CE7AB19}">
  <sheetPr>
    <tabColor theme="9" tint="0.79998168889431442"/>
  </sheetPr>
  <dimension ref="A4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1091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1918672</v>
      </c>
      <c r="D6" s="558">
        <f t="shared" si="0"/>
        <v>3441049</v>
      </c>
      <c r="E6" s="558">
        <f t="shared" si="0"/>
        <v>5160430</v>
      </c>
      <c r="F6" s="558">
        <f t="shared" si="0"/>
        <v>6851135</v>
      </c>
      <c r="G6" s="558">
        <f t="shared" si="0"/>
        <v>1811009</v>
      </c>
      <c r="H6" s="558">
        <f t="shared" si="0"/>
        <v>3434260</v>
      </c>
      <c r="I6" s="558">
        <f t="shared" si="0"/>
        <v>5111894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1677634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1636479</v>
      </c>
      <c r="D8" s="560">
        <f t="shared" si="2"/>
        <v>2798490</v>
      </c>
      <c r="E8" s="560">
        <f t="shared" si="2"/>
        <v>3978435</v>
      </c>
      <c r="F8" s="560">
        <f t="shared" si="2"/>
        <v>5215021</v>
      </c>
      <c r="G8" s="560">
        <f t="shared" si="2"/>
        <v>1383209</v>
      </c>
      <c r="H8" s="560">
        <f t="shared" si="2"/>
        <v>2583254</v>
      </c>
      <c r="I8" s="560">
        <f>SUM(I9:I10)</f>
        <v>3849292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1266038</v>
      </c>
    </row>
    <row r="9" spans="1:20" outlineLevel="1" x14ac:dyDescent="0.35">
      <c r="A9" s="556" t="s">
        <v>996</v>
      </c>
      <c r="C9" s="561">
        <v>1968812</v>
      </c>
      <c r="D9" s="561">
        <v>3175269</v>
      </c>
      <c r="E9" s="561">
        <v>4294212</v>
      </c>
      <c r="F9" s="561">
        <v>5456098</v>
      </c>
      <c r="G9" s="561">
        <v>1551993</v>
      </c>
      <c r="H9" s="561">
        <v>2709322</v>
      </c>
      <c r="I9" s="561">
        <v>3846463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1137141</v>
      </c>
    </row>
    <row r="10" spans="1:20" outlineLevel="1" x14ac:dyDescent="0.35">
      <c r="A10" s="556" t="s">
        <v>997</v>
      </c>
      <c r="C10" s="561">
        <v>-332333</v>
      </c>
      <c r="D10" s="561">
        <v>-376779</v>
      </c>
      <c r="E10" s="561">
        <v>-315777</v>
      </c>
      <c r="F10" s="561">
        <v>-241077</v>
      </c>
      <c r="G10" s="561">
        <v>-168784</v>
      </c>
      <c r="H10" s="561">
        <v>-126068</v>
      </c>
      <c r="I10" s="561">
        <v>2829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128897</v>
      </c>
    </row>
    <row r="11" spans="1:20" x14ac:dyDescent="0.35">
      <c r="A11" s="555" t="s">
        <v>248</v>
      </c>
      <c r="C11" s="560">
        <v>23908</v>
      </c>
      <c r="D11" s="560">
        <v>86997</v>
      </c>
      <c r="E11" s="560">
        <v>142620</v>
      </c>
      <c r="F11" s="560">
        <v>194913</v>
      </c>
      <c r="G11" s="560">
        <v>20288</v>
      </c>
      <c r="H11" s="560">
        <v>61521</v>
      </c>
      <c r="I11" s="560">
        <v>109174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47653</v>
      </c>
    </row>
    <row r="12" spans="1:20" x14ac:dyDescent="0.35">
      <c r="A12" s="555" t="s">
        <v>252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0</v>
      </c>
    </row>
    <row r="13" spans="1:20" x14ac:dyDescent="0.35">
      <c r="A13" s="555" t="s">
        <v>249</v>
      </c>
      <c r="C13" s="560">
        <v>69161</v>
      </c>
      <c r="D13" s="560">
        <v>165325</v>
      </c>
      <c r="E13" s="560">
        <v>494038</v>
      </c>
      <c r="F13" s="560">
        <v>750927</v>
      </c>
      <c r="G13" s="560">
        <v>207767</v>
      </c>
      <c r="H13" s="560">
        <v>418023</v>
      </c>
      <c r="I13" s="560">
        <v>593091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175068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0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0</v>
      </c>
    </row>
    <row r="17" spans="1:20" x14ac:dyDescent="0.35">
      <c r="A17" s="555" t="s">
        <v>254</v>
      </c>
      <c r="C17" s="560">
        <f t="shared" ref="C17:H17" si="4">SUM(C18:C25)</f>
        <v>189124</v>
      </c>
      <c r="D17" s="560">
        <f t="shared" si="4"/>
        <v>390237</v>
      </c>
      <c r="E17" s="560">
        <f t="shared" si="4"/>
        <v>545337</v>
      </c>
      <c r="F17" s="560">
        <f t="shared" si="4"/>
        <v>690274</v>
      </c>
      <c r="G17" s="560">
        <f t="shared" si="4"/>
        <v>199745</v>
      </c>
      <c r="H17" s="560">
        <f t="shared" si="4"/>
        <v>371462</v>
      </c>
      <c r="I17" s="560">
        <f>SUM(I18:I25)</f>
        <v>560337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188875</v>
      </c>
    </row>
    <row r="18" spans="1:20" outlineLevel="1" x14ac:dyDescent="0.35">
      <c r="A18" s="556" t="s">
        <v>999</v>
      </c>
      <c r="C18" s="561">
        <v>127752</v>
      </c>
      <c r="D18" s="561">
        <v>251933</v>
      </c>
      <c r="E18" s="561">
        <v>363643</v>
      </c>
      <c r="F18" s="561">
        <v>456205</v>
      </c>
      <c r="G18" s="561">
        <v>127195</v>
      </c>
      <c r="H18" s="561">
        <v>261618</v>
      </c>
      <c r="I18" s="561">
        <v>405364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143746</v>
      </c>
    </row>
    <row r="19" spans="1:20" outlineLevel="1" x14ac:dyDescent="0.35">
      <c r="A19" s="556" t="s">
        <v>1000</v>
      </c>
      <c r="C19" s="561">
        <v>7033</v>
      </c>
      <c r="D19" s="561">
        <v>28521</v>
      </c>
      <c r="E19" s="561">
        <v>26603</v>
      </c>
      <c r="F19" s="561">
        <v>31724</v>
      </c>
      <c r="G19" s="561">
        <v>14650</v>
      </c>
      <c r="H19" s="561">
        <v>10023</v>
      </c>
      <c r="I19" s="561">
        <v>13966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3943</v>
      </c>
    </row>
    <row r="20" spans="1:20" outlineLevel="1" x14ac:dyDescent="0.35">
      <c r="A20" s="556" t="s">
        <v>1001</v>
      </c>
      <c r="C20" s="561">
        <v>0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>
        <v>0</v>
      </c>
      <c r="D21" s="561">
        <v>0</v>
      </c>
      <c r="E21" s="561">
        <v>0</v>
      </c>
      <c r="F21" s="561">
        <v>0</v>
      </c>
      <c r="G21" s="561">
        <v>0</v>
      </c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0</v>
      </c>
    </row>
    <row r="22" spans="1:20" outlineLevel="1" x14ac:dyDescent="0.35">
      <c r="A22" s="556" t="s">
        <v>1003</v>
      </c>
      <c r="C22" s="561">
        <v>0</v>
      </c>
      <c r="D22" s="561">
        <v>0</v>
      </c>
      <c r="E22" s="561">
        <v>0</v>
      </c>
      <c r="F22" s="561">
        <v>0</v>
      </c>
      <c r="G22" s="561">
        <v>0</v>
      </c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0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0</v>
      </c>
    </row>
    <row r="25" spans="1:20" outlineLevel="1" x14ac:dyDescent="0.35">
      <c r="A25" s="556" t="s">
        <v>254</v>
      </c>
      <c r="C25" s="561">
        <v>54339</v>
      </c>
      <c r="D25" s="561">
        <v>109783</v>
      </c>
      <c r="E25" s="561">
        <v>155091</v>
      </c>
      <c r="F25" s="561">
        <v>202345</v>
      </c>
      <c r="G25" s="561">
        <v>57900</v>
      </c>
      <c r="H25" s="561">
        <v>99821</v>
      </c>
      <c r="I25" s="561">
        <v>141007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41186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-860159</v>
      </c>
      <c r="D27" s="558">
        <f t="shared" si="6"/>
        <v>-1481461</v>
      </c>
      <c r="E27" s="558">
        <f t="shared" si="6"/>
        <v>-1976959</v>
      </c>
      <c r="F27" s="558">
        <f t="shared" si="6"/>
        <v>-2383143</v>
      </c>
      <c r="G27" s="558">
        <f t="shared" si="6"/>
        <v>-515986</v>
      </c>
      <c r="H27" s="558">
        <f t="shared" si="6"/>
        <v>-1019077</v>
      </c>
      <c r="I27" s="558">
        <f>SUM(I29:I37)</f>
        <v>-1495718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-476641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-467494</v>
      </c>
      <c r="D29" s="561">
        <v>-789131</v>
      </c>
      <c r="E29" s="561">
        <v>-992245</v>
      </c>
      <c r="F29" s="561">
        <v>-1080831</v>
      </c>
      <c r="G29" s="561">
        <v>-177980</v>
      </c>
      <c r="H29" s="561">
        <v>-394444</v>
      </c>
      <c r="I29" s="561">
        <v>-596730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-202286</v>
      </c>
    </row>
    <row r="30" spans="1:20" outlineLevel="1" x14ac:dyDescent="0.35">
      <c r="A30" s="556" t="s">
        <v>1007</v>
      </c>
      <c r="C30" s="561">
        <v>-181343</v>
      </c>
      <c r="D30" s="561">
        <v>-273413</v>
      </c>
      <c r="E30" s="561">
        <v>-383162</v>
      </c>
      <c r="F30" s="561">
        <v>-510468</v>
      </c>
      <c r="G30" s="561">
        <v>-153377</v>
      </c>
      <c r="H30" s="561">
        <v>-255411</v>
      </c>
      <c r="I30" s="561">
        <v>-346968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-91557</v>
      </c>
    </row>
    <row r="31" spans="1:20" outlineLevel="1" x14ac:dyDescent="0.35">
      <c r="A31" s="556" t="s">
        <v>1008</v>
      </c>
      <c r="C31" s="561">
        <v>0</v>
      </c>
      <c r="D31" s="561">
        <v>0</v>
      </c>
      <c r="E31" s="561">
        <v>0</v>
      </c>
      <c r="F31" s="561">
        <v>0</v>
      </c>
      <c r="G31" s="561">
        <v>0</v>
      </c>
      <c r="H31" s="561">
        <v>0</v>
      </c>
      <c r="I31" s="561">
        <v>0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0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0</v>
      </c>
    </row>
    <row r="33" spans="1:20" outlineLevel="1" x14ac:dyDescent="0.35">
      <c r="A33" s="556" t="s">
        <v>1010</v>
      </c>
      <c r="C33" s="561">
        <v>-5840</v>
      </c>
      <c r="D33" s="561">
        <v>-10506</v>
      </c>
      <c r="E33" s="561">
        <v>-15804</v>
      </c>
      <c r="F33" s="561">
        <v>-21847</v>
      </c>
      <c r="G33" s="561">
        <v>-5233</v>
      </c>
      <c r="H33" s="561">
        <v>-18964</v>
      </c>
      <c r="I33" s="561">
        <v>-28421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-9457</v>
      </c>
    </row>
    <row r="34" spans="1:20" outlineLevel="1" x14ac:dyDescent="0.35">
      <c r="A34" s="556" t="s">
        <v>1011</v>
      </c>
      <c r="C34" s="561">
        <v>-4874</v>
      </c>
      <c r="D34" s="561">
        <v>-8965</v>
      </c>
      <c r="E34" s="561">
        <v>-13805</v>
      </c>
      <c r="F34" s="561">
        <v>-18848</v>
      </c>
      <c r="G34" s="561">
        <v>-6349</v>
      </c>
      <c r="H34" s="561">
        <v>-2197</v>
      </c>
      <c r="I34" s="561">
        <v>-3284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-1087</v>
      </c>
    </row>
    <row r="35" spans="1:20" outlineLevel="1" x14ac:dyDescent="0.35">
      <c r="A35" s="556" t="s">
        <v>1012</v>
      </c>
      <c r="C35" s="561">
        <v>-186869</v>
      </c>
      <c r="D35" s="561">
        <v>-370229</v>
      </c>
      <c r="E35" s="561">
        <v>-536767</v>
      </c>
      <c r="F35" s="561">
        <v>-710779</v>
      </c>
      <c r="G35" s="561">
        <v>-165648</v>
      </c>
      <c r="H35" s="561">
        <v>-331012</v>
      </c>
      <c r="I35" s="561">
        <v>-496497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-165485</v>
      </c>
    </row>
    <row r="36" spans="1:20" outlineLevel="1" x14ac:dyDescent="0.35">
      <c r="A36" s="556" t="s">
        <v>1013</v>
      </c>
      <c r="C36" s="561">
        <v>0</v>
      </c>
      <c r="D36" s="561">
        <v>0</v>
      </c>
      <c r="E36" s="561">
        <v>0</v>
      </c>
      <c r="F36" s="561">
        <v>0</v>
      </c>
      <c r="G36" s="561">
        <v>0</v>
      </c>
      <c r="H36" s="561">
        <v>0</v>
      </c>
      <c r="I36" s="561">
        <v>0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0</v>
      </c>
    </row>
    <row r="37" spans="1:20" outlineLevel="1" x14ac:dyDescent="0.35">
      <c r="A37" s="556" t="s">
        <v>270</v>
      </c>
      <c r="C37" s="561">
        <v>-13739</v>
      </c>
      <c r="D37" s="561">
        <v>-29217</v>
      </c>
      <c r="E37" s="561">
        <v>-35176</v>
      </c>
      <c r="F37" s="561">
        <v>-40370</v>
      </c>
      <c r="G37" s="561">
        <v>-7399</v>
      </c>
      <c r="H37" s="561">
        <v>-17049</v>
      </c>
      <c r="I37" s="561">
        <v>-23818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-6769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1058513</v>
      </c>
      <c r="D39" s="558">
        <f t="shared" si="8"/>
        <v>1959588</v>
      </c>
      <c r="E39" s="558">
        <f t="shared" si="8"/>
        <v>3183471</v>
      </c>
      <c r="F39" s="558">
        <f t="shared" si="8"/>
        <v>4467992</v>
      </c>
      <c r="G39" s="558">
        <f t="shared" si="8"/>
        <v>1295023</v>
      </c>
      <c r="H39" s="558">
        <f t="shared" si="8"/>
        <v>2415183</v>
      </c>
      <c r="I39" s="558">
        <f>I27+I6</f>
        <v>3616176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1200993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-814462</v>
      </c>
      <c r="D41" s="562">
        <f t="shared" si="9"/>
        <v>-1643921</v>
      </c>
      <c r="E41" s="562">
        <f t="shared" si="9"/>
        <v>-2728322</v>
      </c>
      <c r="F41" s="562">
        <f t="shared" si="9"/>
        <v>-3848191</v>
      </c>
      <c r="G41" s="562">
        <f t="shared" si="9"/>
        <v>-1000439</v>
      </c>
      <c r="H41" s="562">
        <f t="shared" si="9"/>
        <v>-1848425</v>
      </c>
      <c r="I41" s="562">
        <f>SUM(I43:I48)</f>
        <v>-2830701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-982276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-650191</v>
      </c>
      <c r="D43" s="560">
        <v>-1264785</v>
      </c>
      <c r="E43" s="560">
        <v>-1929636</v>
      </c>
      <c r="F43" s="560">
        <v>-2646745</v>
      </c>
      <c r="G43" s="560">
        <v>-658040</v>
      </c>
      <c r="H43" s="560">
        <v>-1320205</v>
      </c>
      <c r="I43" s="560">
        <v>-2037008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-716803</v>
      </c>
    </row>
    <row r="44" spans="1:20" x14ac:dyDescent="0.35">
      <c r="A44" s="555" t="s">
        <v>1016</v>
      </c>
      <c r="C44" s="560">
        <v>-69161</v>
      </c>
      <c r="D44" s="560">
        <v>-165325</v>
      </c>
      <c r="E44" s="560">
        <v>-494038</v>
      </c>
      <c r="F44" s="560">
        <v>-750927</v>
      </c>
      <c r="G44" s="560">
        <v>-207767</v>
      </c>
      <c r="H44" s="560">
        <v>-418023</v>
      </c>
      <c r="I44" s="560">
        <v>-593091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-175068</v>
      </c>
    </row>
    <row r="45" spans="1:20" x14ac:dyDescent="0.35">
      <c r="A45" s="555" t="s">
        <v>312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-95110</v>
      </c>
      <c r="D48" s="560">
        <f t="shared" si="11"/>
        <v>-213811</v>
      </c>
      <c r="E48" s="560">
        <f t="shared" si="11"/>
        <v>-304648</v>
      </c>
      <c r="F48" s="560">
        <f t="shared" si="11"/>
        <v>-450519</v>
      </c>
      <c r="G48" s="560">
        <f t="shared" si="11"/>
        <v>-134632</v>
      </c>
      <c r="H48" s="560">
        <f t="shared" si="11"/>
        <v>-110197</v>
      </c>
      <c r="I48" s="560">
        <f>SUM(I49:I55)</f>
        <v>-200602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-90405</v>
      </c>
    </row>
    <row r="49" spans="1:20" outlineLevel="1" x14ac:dyDescent="0.35">
      <c r="A49" s="556" t="s">
        <v>1019</v>
      </c>
      <c r="C49" s="561">
        <v>-44149</v>
      </c>
      <c r="D49" s="561">
        <v>-108566</v>
      </c>
      <c r="E49" s="561">
        <v>-146492</v>
      </c>
      <c r="F49" s="561">
        <v>-197474</v>
      </c>
      <c r="G49" s="561">
        <v>-36314</v>
      </c>
      <c r="H49" s="561">
        <v>-17997</v>
      </c>
      <c r="I49" s="561">
        <v>-21334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-3337</v>
      </c>
    </row>
    <row r="50" spans="1:20" outlineLevel="1" x14ac:dyDescent="0.35">
      <c r="A50" s="556" t="s">
        <v>1020</v>
      </c>
      <c r="C50" s="561">
        <v>-2878</v>
      </c>
      <c r="D50" s="561">
        <v>-5580</v>
      </c>
      <c r="E50" s="561">
        <v>-8254</v>
      </c>
      <c r="F50" s="561">
        <v>-7597</v>
      </c>
      <c r="G50" s="561">
        <v>-1479</v>
      </c>
      <c r="H50" s="561">
        <v>-2259</v>
      </c>
      <c r="I50" s="561">
        <v>-4362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-2103</v>
      </c>
    </row>
    <row r="51" spans="1:20" outlineLevel="1" x14ac:dyDescent="0.35">
      <c r="A51" s="556" t="s">
        <v>1021</v>
      </c>
      <c r="C51" s="561">
        <v>-12011</v>
      </c>
      <c r="D51" s="561">
        <v>-33607</v>
      </c>
      <c r="E51" s="561">
        <v>-50198</v>
      </c>
      <c r="F51" s="561">
        <v>-115314</v>
      </c>
      <c r="G51" s="561">
        <v>-61770</v>
      </c>
      <c r="H51" s="561">
        <v>-69244</v>
      </c>
      <c r="I51" s="561">
        <v>-97201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-27957</v>
      </c>
    </row>
    <row r="52" spans="1:20" outlineLevel="1" x14ac:dyDescent="0.35">
      <c r="A52" s="556" t="s">
        <v>1022</v>
      </c>
      <c r="C52" s="561">
        <v>-35726</v>
      </c>
      <c r="D52" s="561">
        <v>-71277</v>
      </c>
      <c r="E52" s="561">
        <v>-107000</v>
      </c>
      <c r="F52" s="561">
        <v>-143048</v>
      </c>
      <c r="G52" s="561">
        <v>-35278</v>
      </c>
      <c r="H52" s="561">
        <v>-29574</v>
      </c>
      <c r="I52" s="561">
        <v>-86423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-56849</v>
      </c>
    </row>
    <row r="53" spans="1:20" outlineLevel="1" x14ac:dyDescent="0.35">
      <c r="A53" s="556" t="s">
        <v>1023</v>
      </c>
      <c r="C53" s="561">
        <v>0</v>
      </c>
      <c r="D53" s="561">
        <v>0</v>
      </c>
      <c r="E53" s="561">
        <v>0</v>
      </c>
      <c r="F53" s="561">
        <v>0</v>
      </c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0</v>
      </c>
    </row>
    <row r="54" spans="1:20" outlineLevel="1" x14ac:dyDescent="0.35">
      <c r="A54" s="556" t="s">
        <v>1024</v>
      </c>
      <c r="C54" s="561">
        <v>-725</v>
      </c>
      <c r="D54" s="561">
        <v>2123</v>
      </c>
      <c r="E54" s="561">
        <v>4113</v>
      </c>
      <c r="F54" s="561">
        <v>4934</v>
      </c>
      <c r="G54" s="561">
        <v>1241</v>
      </c>
      <c r="H54" s="561">
        <v>6030</v>
      </c>
      <c r="I54" s="561">
        <v>6088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58</v>
      </c>
    </row>
    <row r="55" spans="1:20" outlineLevel="1" x14ac:dyDescent="0.35">
      <c r="A55" s="556" t="s">
        <v>1025</v>
      </c>
      <c r="C55" s="561">
        <v>379</v>
      </c>
      <c r="D55" s="561">
        <v>3096</v>
      </c>
      <c r="E55" s="561">
        <v>3183</v>
      </c>
      <c r="F55" s="561">
        <v>7980</v>
      </c>
      <c r="G55" s="561">
        <v>-1032</v>
      </c>
      <c r="H55" s="561">
        <v>2847</v>
      </c>
      <c r="I55" s="561">
        <v>2630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-217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244051</v>
      </c>
      <c r="D57" s="558">
        <f t="shared" si="13"/>
        <v>315667</v>
      </c>
      <c r="E57" s="558">
        <f t="shared" si="13"/>
        <v>455149</v>
      </c>
      <c r="F57" s="558">
        <f t="shared" si="13"/>
        <v>619801</v>
      </c>
      <c r="G57" s="558">
        <f t="shared" si="13"/>
        <v>294584</v>
      </c>
      <c r="H57" s="558">
        <f t="shared" si="13"/>
        <v>566758</v>
      </c>
      <c r="I57" s="558">
        <f>I39+I41</f>
        <v>785475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218717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-113961</v>
      </c>
      <c r="D59" s="562">
        <f t="shared" si="14"/>
        <v>-225161</v>
      </c>
      <c r="E59" s="562">
        <f t="shared" si="14"/>
        <v>-306732</v>
      </c>
      <c r="F59" s="562">
        <f t="shared" si="14"/>
        <v>-365454</v>
      </c>
      <c r="G59" s="562">
        <f t="shared" si="14"/>
        <v>-70993</v>
      </c>
      <c r="H59" s="562">
        <f t="shared" si="14"/>
        <v>-325355</v>
      </c>
      <c r="I59" s="562">
        <f>I61+I67+I68+I77+I78</f>
        <v>-471038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-145683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-47337</v>
      </c>
      <c r="D61" s="560">
        <f t="shared" si="15"/>
        <v>-99899</v>
      </c>
      <c r="E61" s="560">
        <f t="shared" si="15"/>
        <v>-148517</v>
      </c>
      <c r="F61" s="560">
        <f t="shared" si="15"/>
        <v>-173982</v>
      </c>
      <c r="G61" s="560">
        <f t="shared" si="15"/>
        <v>-14400</v>
      </c>
      <c r="H61" s="560">
        <f t="shared" si="15"/>
        <v>-60368</v>
      </c>
      <c r="I61" s="560">
        <f>SUM(I62:I66)</f>
        <v>-95588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-35220</v>
      </c>
    </row>
    <row r="62" spans="1:20" outlineLevel="1" x14ac:dyDescent="0.35">
      <c r="A62" s="556" t="s">
        <v>1029</v>
      </c>
      <c r="C62" s="561">
        <v>-21010</v>
      </c>
      <c r="D62" s="561">
        <v>-35653</v>
      </c>
      <c r="E62" s="561">
        <v>-46991</v>
      </c>
      <c r="F62" s="561">
        <v>-59739</v>
      </c>
      <c r="G62" s="561">
        <v>-10374</v>
      </c>
      <c r="H62" s="561">
        <v>-14524</v>
      </c>
      <c r="I62" s="561">
        <v>-20293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-5769</v>
      </c>
    </row>
    <row r="63" spans="1:20" outlineLevel="1" x14ac:dyDescent="0.35">
      <c r="A63" s="556" t="s">
        <v>1030</v>
      </c>
      <c r="C63" s="561">
        <v>-1193</v>
      </c>
      <c r="D63" s="561">
        <v>-1295</v>
      </c>
      <c r="E63" s="561">
        <v>-1451</v>
      </c>
      <c r="F63" s="561">
        <v>-3553</v>
      </c>
      <c r="G63" s="561">
        <v>-191</v>
      </c>
      <c r="H63" s="561">
        <v>-307</v>
      </c>
      <c r="I63" s="561">
        <v>-488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-181</v>
      </c>
    </row>
    <row r="64" spans="1:20" outlineLevel="1" x14ac:dyDescent="0.35">
      <c r="A64" s="556" t="s">
        <v>1031</v>
      </c>
      <c r="C64" s="561">
        <v>-25008</v>
      </c>
      <c r="D64" s="561">
        <v>-61685</v>
      </c>
      <c r="E64" s="561">
        <v>-98379</v>
      </c>
      <c r="F64" s="561">
        <v>-103930</v>
      </c>
      <c r="G64" s="561">
        <v>-3818</v>
      </c>
      <c r="H64" s="561">
        <v>-44760</v>
      </c>
      <c r="I64" s="561">
        <v>-73554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-28794</v>
      </c>
    </row>
    <row r="65" spans="1:20" outlineLevel="1" x14ac:dyDescent="0.35">
      <c r="A65" s="556" t="s">
        <v>1032</v>
      </c>
      <c r="C65" s="561">
        <v>0</v>
      </c>
      <c r="D65" s="561">
        <v>0</v>
      </c>
      <c r="E65" s="561">
        <v>0</v>
      </c>
      <c r="F65" s="561">
        <v>0</v>
      </c>
      <c r="G65" s="561">
        <v>0</v>
      </c>
      <c r="H65" s="561">
        <v>-44</v>
      </c>
      <c r="I65" s="561">
        <v>-72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-28</v>
      </c>
    </row>
    <row r="66" spans="1:20" outlineLevel="1" x14ac:dyDescent="0.35">
      <c r="A66" s="556" t="s">
        <v>1033</v>
      </c>
      <c r="C66" s="561">
        <v>-126</v>
      </c>
      <c r="D66" s="561">
        <v>-1266</v>
      </c>
      <c r="E66" s="561">
        <v>-1696</v>
      </c>
      <c r="F66" s="561">
        <v>-6760</v>
      </c>
      <c r="G66" s="561">
        <v>-17</v>
      </c>
      <c r="H66" s="561">
        <v>-733</v>
      </c>
      <c r="I66" s="561">
        <v>-1181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-448</v>
      </c>
    </row>
    <row r="67" spans="1:20" x14ac:dyDescent="0.35">
      <c r="A67" s="555" t="s">
        <v>1034</v>
      </c>
      <c r="C67" s="563">
        <v>-37874</v>
      </c>
      <c r="D67" s="563">
        <v>-55369</v>
      </c>
      <c r="E67" s="563">
        <v>-48242</v>
      </c>
      <c r="F67" s="563">
        <v>-53059</v>
      </c>
      <c r="G67" s="563">
        <v>-27278</v>
      </c>
      <c r="H67" s="563">
        <v>-12544</v>
      </c>
      <c r="I67" s="563">
        <v>-37130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-24586</v>
      </c>
    </row>
    <row r="68" spans="1:20" x14ac:dyDescent="0.35">
      <c r="A68" s="555" t="s">
        <v>1035</v>
      </c>
      <c r="C68" s="560">
        <f t="shared" ref="C68:H68" si="17">SUM(C69:C76)</f>
        <v>-22956</v>
      </c>
      <c r="D68" s="560">
        <f t="shared" si="17"/>
        <v>-63375</v>
      </c>
      <c r="E68" s="560">
        <f t="shared" si="17"/>
        <v>-102907</v>
      </c>
      <c r="F68" s="560">
        <f t="shared" si="17"/>
        <v>-137165</v>
      </c>
      <c r="G68" s="560">
        <f t="shared" si="17"/>
        <v>-31463</v>
      </c>
      <c r="H68" s="560">
        <f t="shared" si="17"/>
        <v>-206782</v>
      </c>
      <c r="I68" s="560">
        <f>SUM(I69:I76)</f>
        <v>-280444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-73662</v>
      </c>
    </row>
    <row r="69" spans="1:20" outlineLevel="1" x14ac:dyDescent="0.35">
      <c r="A69" s="556" t="s">
        <v>1036</v>
      </c>
      <c r="C69" s="561">
        <v>-6041</v>
      </c>
      <c r="D69" s="561">
        <v>-11067</v>
      </c>
      <c r="E69" s="561">
        <v>-15761</v>
      </c>
      <c r="F69" s="561">
        <v>-18659</v>
      </c>
      <c r="G69" s="561">
        <v>-4709</v>
      </c>
      <c r="H69" s="561">
        <v>-82898</v>
      </c>
      <c r="I69" s="561">
        <v>-131627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-48729</v>
      </c>
    </row>
    <row r="70" spans="1:20" outlineLevel="1" x14ac:dyDescent="0.35">
      <c r="A70" s="556" t="s">
        <v>1037</v>
      </c>
      <c r="C70" s="561">
        <v>-504</v>
      </c>
      <c r="D70" s="561">
        <v>-932</v>
      </c>
      <c r="E70" s="561">
        <v>-926</v>
      </c>
      <c r="F70" s="561">
        <v>-932</v>
      </c>
      <c r="G70" s="561">
        <v>-11</v>
      </c>
      <c r="H70" s="561">
        <v>2044</v>
      </c>
      <c r="I70" s="561">
        <v>4243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2199</v>
      </c>
    </row>
    <row r="71" spans="1:20" outlineLevel="1" x14ac:dyDescent="0.35">
      <c r="A71" s="556" t="s">
        <v>1038</v>
      </c>
      <c r="C71" s="561">
        <v>-4511</v>
      </c>
      <c r="D71" s="561">
        <v>-17176</v>
      </c>
      <c r="E71" s="561">
        <v>-33026</v>
      </c>
      <c r="F71" s="561">
        <v>-50263</v>
      </c>
      <c r="G71" s="561">
        <v>-12119</v>
      </c>
      <c r="H71" s="561">
        <v>-49559</v>
      </c>
      <c r="I71" s="561">
        <v>-71876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-22317</v>
      </c>
    </row>
    <row r="72" spans="1:20" outlineLevel="1" x14ac:dyDescent="0.35">
      <c r="A72" s="556" t="s">
        <v>1039</v>
      </c>
      <c r="C72" s="561">
        <v>-208</v>
      </c>
      <c r="D72" s="561">
        <v>-2660</v>
      </c>
      <c r="E72" s="561">
        <v>-4422</v>
      </c>
      <c r="F72" s="561">
        <v>-6911</v>
      </c>
      <c r="G72" s="561">
        <v>-443</v>
      </c>
      <c r="H72" s="561">
        <v>-4479</v>
      </c>
      <c r="I72" s="561">
        <v>-11325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-6846</v>
      </c>
    </row>
    <row r="73" spans="1:20" outlineLevel="1" x14ac:dyDescent="0.35">
      <c r="A73" s="556" t="s">
        <v>1040</v>
      </c>
      <c r="C73" s="561">
        <v>549</v>
      </c>
      <c r="D73" s="561">
        <v>1588</v>
      </c>
      <c r="E73" s="561">
        <v>1422</v>
      </c>
      <c r="F73" s="561">
        <v>-832</v>
      </c>
      <c r="G73" s="561">
        <v>-179</v>
      </c>
      <c r="H73" s="561">
        <v>1736</v>
      </c>
      <c r="I73" s="561">
        <v>-1192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-2928</v>
      </c>
    </row>
    <row r="74" spans="1:20" outlineLevel="1" x14ac:dyDescent="0.35">
      <c r="A74" s="556" t="s">
        <v>1041</v>
      </c>
      <c r="C74" s="561">
        <v>-6637</v>
      </c>
      <c r="D74" s="561">
        <v>-22073</v>
      </c>
      <c r="E74" s="561">
        <v>-33845</v>
      </c>
      <c r="F74" s="561">
        <v>-38275</v>
      </c>
      <c r="G74" s="561">
        <v>-9058</v>
      </c>
      <c r="H74" s="561">
        <v>-25975</v>
      </c>
      <c r="I74" s="561">
        <v>-46709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-20734</v>
      </c>
    </row>
    <row r="75" spans="1:20" outlineLevel="1" x14ac:dyDescent="0.35">
      <c r="A75" s="556" t="s">
        <v>1042</v>
      </c>
      <c r="C75" s="561">
        <v>-5604</v>
      </c>
      <c r="D75" s="561">
        <v>-11055</v>
      </c>
      <c r="E75" s="561">
        <v>-16349</v>
      </c>
      <c r="F75" s="561">
        <v>-21293</v>
      </c>
      <c r="G75" s="561">
        <v>-4944</v>
      </c>
      <c r="H75" s="561">
        <v>-47651</v>
      </c>
      <c r="I75" s="561">
        <v>-21958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25693</v>
      </c>
    </row>
    <row r="76" spans="1:20" outlineLevel="1" x14ac:dyDescent="0.35">
      <c r="A76" s="556" t="s">
        <v>1043</v>
      </c>
      <c r="C76" s="561">
        <v>0</v>
      </c>
      <c r="D76" s="561">
        <v>0</v>
      </c>
      <c r="E76" s="561">
        <v>0</v>
      </c>
      <c r="F76" s="561">
        <v>0</v>
      </c>
      <c r="G76" s="561">
        <v>0</v>
      </c>
      <c r="H76" s="561">
        <v>0</v>
      </c>
      <c r="I76" s="561">
        <v>0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0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0</v>
      </c>
    </row>
    <row r="78" spans="1:20" x14ac:dyDescent="0.35">
      <c r="A78" s="555" t="s">
        <v>1045</v>
      </c>
      <c r="C78" s="560">
        <f t="shared" ref="C78:H78" si="19">SUM(C79:C80)</f>
        <v>-5794</v>
      </c>
      <c r="D78" s="560">
        <f t="shared" si="19"/>
        <v>-6518</v>
      </c>
      <c r="E78" s="560">
        <f t="shared" si="19"/>
        <v>-7066</v>
      </c>
      <c r="F78" s="560">
        <f t="shared" si="19"/>
        <v>-1248</v>
      </c>
      <c r="G78" s="560">
        <f t="shared" si="19"/>
        <v>2148</v>
      </c>
      <c r="H78" s="560">
        <f t="shared" si="19"/>
        <v>-45661</v>
      </c>
      <c r="I78" s="560">
        <f>SUM(I79:I80)</f>
        <v>-57876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-12215</v>
      </c>
    </row>
    <row r="79" spans="1:20" outlineLevel="1" x14ac:dyDescent="0.35">
      <c r="A79" s="556" t="s">
        <v>1046</v>
      </c>
      <c r="C79" s="561">
        <v>-6322</v>
      </c>
      <c r="D79" s="561">
        <v>-9148</v>
      </c>
      <c r="E79" s="561">
        <v>-10681</v>
      </c>
      <c r="F79" s="561">
        <v>3530</v>
      </c>
      <c r="G79" s="561">
        <v>229</v>
      </c>
      <c r="H79" s="561">
        <v>-3259</v>
      </c>
      <c r="I79" s="561">
        <v>-9209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-5950</v>
      </c>
    </row>
    <row r="80" spans="1:20" outlineLevel="1" x14ac:dyDescent="0.35">
      <c r="A80" s="556" t="s">
        <v>1047</v>
      </c>
      <c r="C80" s="561">
        <v>528</v>
      </c>
      <c r="D80" s="561">
        <v>2630</v>
      </c>
      <c r="E80" s="561">
        <v>3615</v>
      </c>
      <c r="F80" s="561">
        <v>-4778</v>
      </c>
      <c r="G80" s="561">
        <v>1919</v>
      </c>
      <c r="H80" s="561">
        <v>-42402</v>
      </c>
      <c r="I80" s="561">
        <v>-48667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-6265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171420</v>
      </c>
      <c r="D82" s="558">
        <f t="shared" si="21"/>
        <v>172838</v>
      </c>
      <c r="E82" s="558">
        <f t="shared" si="21"/>
        <v>271766</v>
      </c>
      <c r="F82" s="558">
        <f t="shared" si="21"/>
        <v>418688</v>
      </c>
      <c r="G82" s="558">
        <f t="shared" si="21"/>
        <v>263813</v>
      </c>
      <c r="H82" s="558">
        <f t="shared" si="21"/>
        <v>318628</v>
      </c>
      <c r="I82" s="558">
        <f>I84-I75-I52-I76</f>
        <v>422818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104190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130090</v>
      </c>
      <c r="D84" s="558">
        <f t="shared" si="22"/>
        <v>90506</v>
      </c>
      <c r="E84" s="558">
        <f t="shared" si="22"/>
        <v>148417</v>
      </c>
      <c r="F84" s="558">
        <f t="shared" si="22"/>
        <v>254347</v>
      </c>
      <c r="G84" s="558">
        <f t="shared" si="22"/>
        <v>223591</v>
      </c>
      <c r="H84" s="558">
        <f t="shared" si="22"/>
        <v>241403</v>
      </c>
      <c r="I84" s="558">
        <f>I57+I59</f>
        <v>314437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73034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-113664</v>
      </c>
      <c r="D86" s="558">
        <f t="shared" si="23"/>
        <v>-173621</v>
      </c>
      <c r="E86" s="558">
        <f t="shared" si="23"/>
        <v>-241751</v>
      </c>
      <c r="F86" s="558">
        <f t="shared" si="23"/>
        <v>-520519</v>
      </c>
      <c r="G86" s="558">
        <f t="shared" si="23"/>
        <v>-182067</v>
      </c>
      <c r="H86" s="558">
        <f t="shared" si="23"/>
        <v>-359862</v>
      </c>
      <c r="I86" s="558">
        <f>I88+I97</f>
        <v>-535041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-175179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251472</v>
      </c>
      <c r="D88" s="562">
        <f t="shared" si="24"/>
        <v>402393</v>
      </c>
      <c r="E88" s="562">
        <f t="shared" si="24"/>
        <v>601569</v>
      </c>
      <c r="F88" s="562">
        <f t="shared" si="24"/>
        <v>677804</v>
      </c>
      <c r="G88" s="562">
        <f t="shared" si="24"/>
        <v>119109</v>
      </c>
      <c r="H88" s="562">
        <f t="shared" si="24"/>
        <v>222423</v>
      </c>
      <c r="I88" s="562">
        <f>SUM(I89:I96)</f>
        <v>361448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139025</v>
      </c>
    </row>
    <row r="89" spans="1:20" outlineLevel="1" x14ac:dyDescent="0.35">
      <c r="A89" s="556" t="s">
        <v>1049</v>
      </c>
      <c r="C89" s="561">
        <v>46612</v>
      </c>
      <c r="D89" s="561">
        <v>47800</v>
      </c>
      <c r="E89" s="561">
        <v>74118</v>
      </c>
      <c r="F89" s="561">
        <v>99962</v>
      </c>
      <c r="G89" s="561">
        <v>29266</v>
      </c>
      <c r="H89" s="561">
        <v>132435</v>
      </c>
      <c r="I89" s="561">
        <v>229060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96625</v>
      </c>
    </row>
    <row r="90" spans="1:20" outlineLevel="1" x14ac:dyDescent="0.35">
      <c r="A90" s="556" t="s">
        <v>1050</v>
      </c>
      <c r="C90" s="561">
        <v>-5079</v>
      </c>
      <c r="D90" s="561">
        <v>-10907</v>
      </c>
      <c r="E90" s="561">
        <v>-18973</v>
      </c>
      <c r="F90" s="561">
        <v>-16173</v>
      </c>
      <c r="G90" s="561">
        <v>-3670</v>
      </c>
      <c r="H90" s="561">
        <v>-6912</v>
      </c>
      <c r="I90" s="561">
        <v>-16314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-9402</v>
      </c>
    </row>
    <row r="91" spans="1:20" outlineLevel="1" x14ac:dyDescent="0.35">
      <c r="A91" s="556" t="s">
        <v>1051</v>
      </c>
      <c r="C91" s="561">
        <v>5349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>
        <v>33479</v>
      </c>
      <c r="D92" s="561">
        <v>124260</v>
      </c>
      <c r="E92" s="561">
        <v>238654</v>
      </c>
      <c r="F92" s="561">
        <v>249059</v>
      </c>
      <c r="G92" s="561">
        <v>24083</v>
      </c>
      <c r="H92" s="561">
        <v>44439</v>
      </c>
      <c r="I92" s="561">
        <v>60963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16524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>
        <v>34807</v>
      </c>
      <c r="D95" s="561">
        <v>77946</v>
      </c>
      <c r="E95" s="561">
        <v>123863</v>
      </c>
      <c r="F95" s="561">
        <v>144789</v>
      </c>
      <c r="G95" s="561">
        <v>49327</v>
      </c>
      <c r="H95" s="561">
        <v>2581</v>
      </c>
      <c r="I95" s="561">
        <v>2581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0</v>
      </c>
    </row>
    <row r="96" spans="1:20" outlineLevel="1" x14ac:dyDescent="0.35">
      <c r="A96" s="556" t="s">
        <v>1056</v>
      </c>
      <c r="C96" s="561">
        <v>136304</v>
      </c>
      <c r="D96" s="561">
        <v>163294</v>
      </c>
      <c r="E96" s="561">
        <v>183907</v>
      </c>
      <c r="F96" s="561">
        <v>200167</v>
      </c>
      <c r="G96" s="561">
        <v>20103</v>
      </c>
      <c r="H96" s="561">
        <v>49880</v>
      </c>
      <c r="I96" s="561">
        <v>85158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35278</v>
      </c>
    </row>
    <row r="97" spans="1:20" x14ac:dyDescent="0.35">
      <c r="A97" s="555" t="s">
        <v>279</v>
      </c>
      <c r="C97" s="560">
        <f t="shared" ref="C97:H97" si="26">SUM(C98:C106)</f>
        <v>-365136</v>
      </c>
      <c r="D97" s="560">
        <f t="shared" si="26"/>
        <v>-576014</v>
      </c>
      <c r="E97" s="560">
        <f t="shared" si="26"/>
        <v>-843320</v>
      </c>
      <c r="F97" s="560">
        <f t="shared" si="26"/>
        <v>-1198323</v>
      </c>
      <c r="G97" s="560">
        <f t="shared" si="26"/>
        <v>-301176</v>
      </c>
      <c r="H97" s="560">
        <f t="shared" si="26"/>
        <v>-582285</v>
      </c>
      <c r="I97" s="560">
        <f>SUM(I98:I106)</f>
        <v>-896489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-314204</v>
      </c>
    </row>
    <row r="98" spans="1:20" outlineLevel="1" x14ac:dyDescent="0.35">
      <c r="A98" s="556" t="s">
        <v>1057</v>
      </c>
      <c r="C98" s="561">
        <v>-62091</v>
      </c>
      <c r="D98" s="561">
        <v>-131350</v>
      </c>
      <c r="E98" s="561">
        <v>-206681</v>
      </c>
      <c r="F98" s="561">
        <v>-290026</v>
      </c>
      <c r="G98" s="561">
        <v>-93919</v>
      </c>
      <c r="H98" s="561">
        <v>-190887</v>
      </c>
      <c r="I98" s="561">
        <v>-292149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-101262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0</v>
      </c>
    </row>
    <row r="100" spans="1:20" outlineLevel="1" x14ac:dyDescent="0.35">
      <c r="A100" s="556" t="s">
        <v>1059</v>
      </c>
      <c r="C100" s="561">
        <v>-7301</v>
      </c>
      <c r="D100" s="561">
        <v>-88891</v>
      </c>
      <c r="E100" s="561">
        <v>-121607</v>
      </c>
      <c r="F100" s="561">
        <v>-129270</v>
      </c>
      <c r="G100" s="561">
        <v>-24475</v>
      </c>
      <c r="H100" s="561">
        <v>-113338</v>
      </c>
      <c r="I100" s="561">
        <v>-188738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-75400</v>
      </c>
    </row>
    <row r="101" spans="1:20" outlineLevel="1" x14ac:dyDescent="0.35">
      <c r="A101" s="556" t="s">
        <v>1060</v>
      </c>
      <c r="C101" s="561">
        <v>0</v>
      </c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0</v>
      </c>
    </row>
    <row r="102" spans="1:20" outlineLevel="1" x14ac:dyDescent="0.35">
      <c r="A102" s="556" t="s">
        <v>1061</v>
      </c>
      <c r="C102" s="561">
        <v>-9283</v>
      </c>
      <c r="D102" s="561">
        <v>-22188</v>
      </c>
      <c r="E102" s="561">
        <v>-48074</v>
      </c>
      <c r="F102" s="561">
        <v>-64627</v>
      </c>
      <c r="G102" s="561">
        <v>-20404</v>
      </c>
      <c r="H102" s="561">
        <v>-43063</v>
      </c>
      <c r="I102" s="561">
        <v>-67020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-23957</v>
      </c>
    </row>
    <row r="103" spans="1:20" outlineLevel="1" x14ac:dyDescent="0.35">
      <c r="A103" s="556" t="s">
        <v>1062</v>
      </c>
      <c r="C103" s="561">
        <v>-3272</v>
      </c>
      <c r="D103" s="561">
        <v>-6706</v>
      </c>
      <c r="E103" s="561">
        <v>-9833</v>
      </c>
      <c r="F103" s="561">
        <v>-13294</v>
      </c>
      <c r="G103" s="561">
        <v>-7979</v>
      </c>
      <c r="H103" s="561">
        <v>-13446</v>
      </c>
      <c r="I103" s="561">
        <v>-18912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-5466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>
        <v>-2269</v>
      </c>
      <c r="D105" s="561">
        <v>-4915</v>
      </c>
      <c r="E105" s="561">
        <v>-7994</v>
      </c>
      <c r="F105" s="561">
        <v>-10864</v>
      </c>
      <c r="G105" s="561">
        <v>-2906</v>
      </c>
      <c r="H105" s="561">
        <v>-5857</v>
      </c>
      <c r="I105" s="561">
        <v>-8926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-3069</v>
      </c>
    </row>
    <row r="106" spans="1:20" outlineLevel="1" x14ac:dyDescent="0.35">
      <c r="A106" s="556" t="s">
        <v>1065</v>
      </c>
      <c r="C106" s="561">
        <v>-280920</v>
      </c>
      <c r="D106" s="561">
        <v>-321964</v>
      </c>
      <c r="E106" s="561">
        <v>-449131</v>
      </c>
      <c r="F106" s="561">
        <v>-690242</v>
      </c>
      <c r="G106" s="561">
        <v>-151493</v>
      </c>
      <c r="H106" s="561">
        <v>-215694</v>
      </c>
      <c r="I106" s="561">
        <v>-320744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-105050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16426</v>
      </c>
      <c r="D108" s="558">
        <f t="shared" si="28"/>
        <v>-83115</v>
      </c>
      <c r="E108" s="558">
        <f t="shared" si="28"/>
        <v>-93334</v>
      </c>
      <c r="F108" s="558">
        <f t="shared" si="28"/>
        <v>-266172</v>
      </c>
      <c r="G108" s="558">
        <f t="shared" si="28"/>
        <v>41524</v>
      </c>
      <c r="H108" s="558">
        <f t="shared" si="28"/>
        <v>-118459</v>
      </c>
      <c r="I108" s="558">
        <f>I84+I86</f>
        <v>-220604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-102145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I110" si="29">SUM(C112:C115)</f>
        <v>0</v>
      </c>
      <c r="D110" s="562">
        <f t="shared" si="29"/>
        <v>-1492</v>
      </c>
      <c r="E110" s="562">
        <f t="shared" si="29"/>
        <v>0</v>
      </c>
      <c r="F110" s="562">
        <f t="shared" si="29"/>
        <v>0</v>
      </c>
      <c r="G110" s="562">
        <f t="shared" si="29"/>
        <v>-537</v>
      </c>
      <c r="H110" s="562">
        <f t="shared" si="29"/>
        <v>0</v>
      </c>
      <c r="I110" s="562">
        <f t="shared" si="29"/>
        <v>0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0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0</v>
      </c>
      <c r="D112" s="563">
        <v>-398</v>
      </c>
      <c r="E112" s="563"/>
      <c r="F112" s="563">
        <v>0</v>
      </c>
      <c r="G112" s="563">
        <v>-145</v>
      </c>
      <c r="H112" s="563">
        <v>0</v>
      </c>
      <c r="I112" s="563">
        <v>0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0</v>
      </c>
    </row>
    <row r="113" spans="1:20" x14ac:dyDescent="0.35">
      <c r="A113" s="555" t="s">
        <v>282</v>
      </c>
      <c r="C113" s="563">
        <v>0</v>
      </c>
      <c r="D113" s="563">
        <v>-1094</v>
      </c>
      <c r="E113" s="563"/>
      <c r="F113" s="563">
        <v>0</v>
      </c>
      <c r="G113" s="563">
        <v>-392</v>
      </c>
      <c r="H113" s="563">
        <v>0</v>
      </c>
      <c r="I113" s="563">
        <v>0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0</v>
      </c>
    </row>
    <row r="114" spans="1:20" x14ac:dyDescent="0.35">
      <c r="A114" s="555" t="s">
        <v>284</v>
      </c>
      <c r="C114" s="563">
        <v>0</v>
      </c>
      <c r="D114" s="563">
        <v>0</v>
      </c>
      <c r="E114" s="563"/>
      <c r="F114" s="563">
        <v>0</v>
      </c>
      <c r="G114" s="563">
        <v>0</v>
      </c>
      <c r="H114" s="563">
        <v>0</v>
      </c>
      <c r="I114" s="563">
        <v>0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0</v>
      </c>
    </row>
    <row r="115" spans="1:20" x14ac:dyDescent="0.35">
      <c r="A115" s="555" t="s">
        <v>1068</v>
      </c>
      <c r="C115" s="563">
        <v>0</v>
      </c>
      <c r="D115" s="563">
        <v>0</v>
      </c>
      <c r="E115" s="563"/>
      <c r="F115" s="563">
        <v>0</v>
      </c>
      <c r="G115" s="563">
        <v>0</v>
      </c>
      <c r="H115" s="563">
        <v>0</v>
      </c>
      <c r="I115" s="563">
        <v>0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0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I117" si="31">C108+C110</f>
        <v>16426</v>
      </c>
      <c r="D117" s="564">
        <f t="shared" si="31"/>
        <v>-84607</v>
      </c>
      <c r="E117" s="564">
        <f t="shared" si="31"/>
        <v>-93334</v>
      </c>
      <c r="F117" s="564">
        <f t="shared" si="31"/>
        <v>-266172</v>
      </c>
      <c r="G117" s="564">
        <f t="shared" si="31"/>
        <v>40987</v>
      </c>
      <c r="H117" s="564">
        <f t="shared" si="31"/>
        <v>-118459</v>
      </c>
      <c r="I117" s="564">
        <f t="shared" si="31"/>
        <v>-220604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-102145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I120" si="32">C117-C121</f>
        <v>15625.108522739674</v>
      </c>
      <c r="D120" s="563">
        <f t="shared" si="32"/>
        <v>-80481.770168235453</v>
      </c>
      <c r="E120" s="563">
        <f t="shared" si="32"/>
        <v>-88783.263050126916</v>
      </c>
      <c r="F120" s="563">
        <f t="shared" si="32"/>
        <v>-253194.106034011</v>
      </c>
      <c r="G120" s="563">
        <f t="shared" si="32"/>
        <v>38988.574395563803</v>
      </c>
      <c r="H120" s="563">
        <f t="shared" si="32"/>
        <v>-112683.2296660915</v>
      </c>
      <c r="I120" s="563">
        <f t="shared" si="32"/>
        <v>-209847.88996410952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3">I120-H120</f>
        <v>-97164.660298018018</v>
      </c>
    </row>
    <row r="121" spans="1:20" x14ac:dyDescent="0.35">
      <c r="A121" s="555" t="s">
        <v>1072</v>
      </c>
      <c r="C121" s="563">
        <f t="shared" ref="C121:I121" si="34">C117*C126</f>
        <v>800.89147726032547</v>
      </c>
      <c r="D121" s="563">
        <f t="shared" si="34"/>
        <v>-4125.2298317645409</v>
      </c>
      <c r="E121" s="563">
        <f t="shared" si="34"/>
        <v>-4550.7369498730804</v>
      </c>
      <c r="F121" s="563">
        <f t="shared" si="34"/>
        <v>-12977.893965989002</v>
      </c>
      <c r="G121" s="563">
        <f t="shared" si="34"/>
        <v>1998.4256044361962</v>
      </c>
      <c r="H121" s="563">
        <f t="shared" si="34"/>
        <v>-5775.7703339084919</v>
      </c>
      <c r="I121" s="563">
        <f t="shared" si="34"/>
        <v>-10756.110035890468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3"/>
        <v>-4980.3397019819758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I123" si="35">SUM(C120:C121)</f>
        <v>16426</v>
      </c>
      <c r="D123" s="564">
        <f t="shared" si="35"/>
        <v>-84607</v>
      </c>
      <c r="E123" s="564">
        <f t="shared" si="35"/>
        <v>-93334</v>
      </c>
      <c r="F123" s="564">
        <f t="shared" si="35"/>
        <v>-266172</v>
      </c>
      <c r="G123" s="564">
        <f t="shared" si="35"/>
        <v>40987</v>
      </c>
      <c r="H123" s="564">
        <f t="shared" si="35"/>
        <v>-118459</v>
      </c>
      <c r="I123" s="564">
        <f t="shared" si="35"/>
        <v>-220604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-102145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>
        <v>0.95124245237670002</v>
      </c>
      <c r="D125" s="571">
        <v>0.95124245237670002</v>
      </c>
      <c r="E125" s="571">
        <v>0.95124245237670002</v>
      </c>
      <c r="F125" s="571">
        <v>0.95124245237670002</v>
      </c>
      <c r="G125" s="571">
        <v>0.95124245237670002</v>
      </c>
      <c r="H125" s="571">
        <v>0.95124245237670002</v>
      </c>
      <c r="I125" s="571">
        <v>0.95124245237670002</v>
      </c>
      <c r="T125" s="571">
        <f>I125</f>
        <v>0.95124245237670002</v>
      </c>
    </row>
    <row r="126" spans="1:20" s="570" customFormat="1" ht="10.5" x14ac:dyDescent="0.25">
      <c r="A126" s="569" t="s">
        <v>1087</v>
      </c>
      <c r="C126" s="571">
        <v>4.8757547623299979E-2</v>
      </c>
      <c r="D126" s="571">
        <v>4.8757547623299979E-2</v>
      </c>
      <c r="E126" s="571">
        <v>4.8757547623299979E-2</v>
      </c>
      <c r="F126" s="571">
        <v>4.8757547623299979E-2</v>
      </c>
      <c r="G126" s="571">
        <v>4.8757547623299979E-2</v>
      </c>
      <c r="H126" s="571">
        <v>4.8757547623299979E-2</v>
      </c>
      <c r="I126" s="571">
        <v>4.8757547623299979E-2</v>
      </c>
      <c r="T126" s="571">
        <f>I126</f>
        <v>4.8757547623299979E-2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1FB68-F64D-4B09-A718-648FF6767A97}">
  <sheetPr>
    <tabColor theme="9" tint="0.79998168889431442"/>
  </sheetPr>
  <dimension ref="A4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1092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190940</v>
      </c>
      <c r="D6" s="558">
        <f t="shared" si="0"/>
        <v>657550</v>
      </c>
      <c r="E6" s="558">
        <f t="shared" ref="E6" si="1">SUM(E8,E11:E17)</f>
        <v>909503</v>
      </c>
      <c r="F6" s="558">
        <f t="shared" si="0"/>
        <v>1499871</v>
      </c>
      <c r="G6" s="558">
        <f t="shared" si="0"/>
        <v>389201</v>
      </c>
      <c r="H6" s="558">
        <f t="shared" si="0"/>
        <v>852045</v>
      </c>
      <c r="I6" s="558">
        <f t="shared" si="0"/>
        <v>1283316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2">SUM(T8,T11:T17)</f>
        <v>431271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3">SUM(C9:C10)</f>
        <v>164989</v>
      </c>
      <c r="D8" s="560">
        <f t="shared" si="3"/>
        <v>452367</v>
      </c>
      <c r="E8" s="560">
        <f t="shared" ref="E8" si="4">SUM(E9:E10)</f>
        <v>596742</v>
      </c>
      <c r="F8" s="560">
        <f t="shared" si="3"/>
        <v>931076</v>
      </c>
      <c r="G8" s="560">
        <f t="shared" si="3"/>
        <v>243268</v>
      </c>
      <c r="H8" s="560">
        <f t="shared" si="3"/>
        <v>512307</v>
      </c>
      <c r="I8" s="560">
        <f>SUM(I9:I10)</f>
        <v>804574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292267</v>
      </c>
    </row>
    <row r="9" spans="1:20" outlineLevel="1" x14ac:dyDescent="0.35">
      <c r="A9" s="556" t="s">
        <v>996</v>
      </c>
      <c r="C9" s="561">
        <v>185636</v>
      </c>
      <c r="D9" s="561">
        <v>337916</v>
      </c>
      <c r="E9" s="561">
        <v>517658</v>
      </c>
      <c r="F9" s="561">
        <v>747974</v>
      </c>
      <c r="G9" s="561">
        <v>220661</v>
      </c>
      <c r="H9" s="561">
        <v>465377</v>
      </c>
      <c r="I9" s="561">
        <v>738828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273451</v>
      </c>
    </row>
    <row r="10" spans="1:20" outlineLevel="1" x14ac:dyDescent="0.35">
      <c r="A10" s="556" t="s">
        <v>997</v>
      </c>
      <c r="C10" s="561">
        <v>-20647</v>
      </c>
      <c r="D10" s="561">
        <v>114451</v>
      </c>
      <c r="E10" s="561">
        <v>79084</v>
      </c>
      <c r="F10" s="561">
        <v>183102</v>
      </c>
      <c r="G10" s="561">
        <v>22607</v>
      </c>
      <c r="H10" s="561">
        <v>46930</v>
      </c>
      <c r="I10" s="561">
        <v>65746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5">I10-H10</f>
        <v>18816</v>
      </c>
    </row>
    <row r="11" spans="1:20" x14ac:dyDescent="0.35">
      <c r="A11" s="555" t="s">
        <v>248</v>
      </c>
      <c r="C11" s="560">
        <v>-1349</v>
      </c>
      <c r="D11" s="560">
        <v>7040</v>
      </c>
      <c r="E11" s="560">
        <v>9145</v>
      </c>
      <c r="F11" s="560">
        <v>9783</v>
      </c>
      <c r="G11" s="560">
        <v>8013</v>
      </c>
      <c r="H11" s="560">
        <v>14001</v>
      </c>
      <c r="I11" s="560">
        <v>19097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5"/>
        <v>5096</v>
      </c>
    </row>
    <row r="12" spans="1:20" x14ac:dyDescent="0.35">
      <c r="A12" s="555" t="s">
        <v>252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5"/>
        <v>0</v>
      </c>
    </row>
    <row r="13" spans="1:20" x14ac:dyDescent="0.35">
      <c r="A13" s="555" t="s">
        <v>249</v>
      </c>
      <c r="C13" s="560">
        <v>17244</v>
      </c>
      <c r="D13" s="560">
        <v>90350</v>
      </c>
      <c r="E13" s="560">
        <v>165684</v>
      </c>
      <c r="F13" s="560">
        <v>387911</v>
      </c>
      <c r="G13" s="560">
        <v>107039</v>
      </c>
      <c r="H13" s="560">
        <v>256550</v>
      </c>
      <c r="I13" s="560">
        <v>355405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5"/>
        <v>98855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5"/>
        <v>0</v>
      </c>
    </row>
    <row r="15" spans="1:20" x14ac:dyDescent="0.35">
      <c r="A15" s="555" t="s">
        <v>998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5"/>
        <v>0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5"/>
        <v>0</v>
      </c>
    </row>
    <row r="17" spans="1:20" x14ac:dyDescent="0.35">
      <c r="A17" s="555" t="s">
        <v>254</v>
      </c>
      <c r="C17" s="560">
        <f t="shared" ref="C17:H17" si="6">SUM(C18:C25)</f>
        <v>10056</v>
      </c>
      <c r="D17" s="560">
        <f t="shared" si="6"/>
        <v>107793</v>
      </c>
      <c r="E17" s="560">
        <f t="shared" ref="E17" si="7">SUM(E18:E25)</f>
        <v>137932</v>
      </c>
      <c r="F17" s="560">
        <f t="shared" si="6"/>
        <v>171101</v>
      </c>
      <c r="G17" s="560">
        <f t="shared" si="6"/>
        <v>30881</v>
      </c>
      <c r="H17" s="560">
        <f t="shared" si="6"/>
        <v>69187</v>
      </c>
      <c r="I17" s="560">
        <f>SUM(I18:I25)</f>
        <v>104240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35053</v>
      </c>
    </row>
    <row r="18" spans="1:20" outlineLevel="1" x14ac:dyDescent="0.35">
      <c r="A18" s="556" t="s">
        <v>999</v>
      </c>
      <c r="C18" s="561">
        <v>1990</v>
      </c>
      <c r="D18" s="561">
        <v>4259</v>
      </c>
      <c r="E18" s="561">
        <v>7111</v>
      </c>
      <c r="F18" s="561">
        <v>9949</v>
      </c>
      <c r="G18" s="561">
        <v>3006</v>
      </c>
      <c r="H18" s="561">
        <v>6362</v>
      </c>
      <c r="I18" s="561">
        <v>12267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8">I18-H18</f>
        <v>5905</v>
      </c>
    </row>
    <row r="19" spans="1:20" outlineLevel="1" x14ac:dyDescent="0.35">
      <c r="A19" s="556" t="s">
        <v>1000</v>
      </c>
      <c r="C19" s="561">
        <v>341</v>
      </c>
      <c r="D19" s="561">
        <v>558</v>
      </c>
      <c r="E19" s="561">
        <v>419</v>
      </c>
      <c r="F19" s="561">
        <v>244</v>
      </c>
      <c r="G19" s="561">
        <v>530</v>
      </c>
      <c r="H19" s="561">
        <v>1064</v>
      </c>
      <c r="I19" s="561">
        <v>1201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8"/>
        <v>137</v>
      </c>
    </row>
    <row r="20" spans="1:20" outlineLevel="1" x14ac:dyDescent="0.35">
      <c r="A20" s="556" t="s">
        <v>1001</v>
      </c>
      <c r="C20" s="561">
        <v>0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8"/>
        <v>0</v>
      </c>
    </row>
    <row r="21" spans="1:20" outlineLevel="1" x14ac:dyDescent="0.35">
      <c r="A21" s="556" t="s">
        <v>1002</v>
      </c>
      <c r="C21" s="561">
        <v>0</v>
      </c>
      <c r="D21" s="561">
        <v>0</v>
      </c>
      <c r="E21" s="561">
        <v>0</v>
      </c>
      <c r="F21" s="561">
        <v>0</v>
      </c>
      <c r="G21" s="561">
        <v>0</v>
      </c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8"/>
        <v>0</v>
      </c>
    </row>
    <row r="22" spans="1:20" outlineLevel="1" x14ac:dyDescent="0.35">
      <c r="A22" s="556" t="s">
        <v>1003</v>
      </c>
      <c r="C22" s="561">
        <v>0</v>
      </c>
      <c r="D22" s="561">
        <v>0</v>
      </c>
      <c r="E22" s="561">
        <v>0</v>
      </c>
      <c r="F22" s="561">
        <v>0</v>
      </c>
      <c r="G22" s="561">
        <v>0</v>
      </c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8"/>
        <v>0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8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8"/>
        <v>0</v>
      </c>
    </row>
    <row r="25" spans="1:20" outlineLevel="1" x14ac:dyDescent="0.35">
      <c r="A25" s="556" t="s">
        <v>254</v>
      </c>
      <c r="C25" s="561">
        <v>7725</v>
      </c>
      <c r="D25" s="561">
        <v>102976</v>
      </c>
      <c r="E25" s="561">
        <v>130402</v>
      </c>
      <c r="F25" s="561">
        <v>160908</v>
      </c>
      <c r="G25" s="561">
        <v>27345</v>
      </c>
      <c r="H25" s="561">
        <v>61761</v>
      </c>
      <c r="I25" s="561">
        <v>90772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8"/>
        <v>29011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9">SUM(C29:C37)</f>
        <v>-73588</v>
      </c>
      <c r="D27" s="558">
        <f t="shared" si="9"/>
        <v>-126971</v>
      </c>
      <c r="E27" s="558">
        <f t="shared" ref="E27" si="10">SUM(E29:E37)</f>
        <v>-189766</v>
      </c>
      <c r="F27" s="558">
        <f t="shared" si="9"/>
        <v>-332318</v>
      </c>
      <c r="G27" s="558">
        <f t="shared" si="9"/>
        <v>-71302</v>
      </c>
      <c r="H27" s="558">
        <f t="shared" si="9"/>
        <v>-158551</v>
      </c>
      <c r="I27" s="558">
        <f>SUM(I29:I37)</f>
        <v>-251164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-92613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-36126</v>
      </c>
      <c r="D29" s="561">
        <v>-62549</v>
      </c>
      <c r="E29" s="561">
        <v>-91147</v>
      </c>
      <c r="F29" s="561">
        <v>-124472</v>
      </c>
      <c r="G29" s="561">
        <v>-28761</v>
      </c>
      <c r="H29" s="561">
        <v>-67065</v>
      </c>
      <c r="I29" s="561">
        <v>-110690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11">I29-H29</f>
        <v>-43625</v>
      </c>
    </row>
    <row r="30" spans="1:20" outlineLevel="1" x14ac:dyDescent="0.35">
      <c r="A30" s="556" t="s">
        <v>1007</v>
      </c>
      <c r="C30" s="561">
        <v>-20677</v>
      </c>
      <c r="D30" s="561">
        <v>-23554</v>
      </c>
      <c r="E30" s="561">
        <v>-39586</v>
      </c>
      <c r="F30" s="561">
        <v>-88723</v>
      </c>
      <c r="G30" s="561">
        <v>-23558</v>
      </c>
      <c r="H30" s="561">
        <v>-50126</v>
      </c>
      <c r="I30" s="561">
        <v>-77972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11"/>
        <v>-27846</v>
      </c>
    </row>
    <row r="31" spans="1:20" outlineLevel="1" x14ac:dyDescent="0.35">
      <c r="A31" s="556" t="s">
        <v>1008</v>
      </c>
      <c r="C31" s="561">
        <v>0</v>
      </c>
      <c r="D31" s="561">
        <v>0</v>
      </c>
      <c r="E31" s="561">
        <v>0</v>
      </c>
      <c r="F31" s="561">
        <v>0</v>
      </c>
      <c r="G31" s="561">
        <v>0</v>
      </c>
      <c r="H31" s="561">
        <v>0</v>
      </c>
      <c r="I31" s="561">
        <v>0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11"/>
        <v>0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11"/>
        <v>0</v>
      </c>
    </row>
    <row r="33" spans="1:20" outlineLevel="1" x14ac:dyDescent="0.35">
      <c r="A33" s="556" t="s">
        <v>1010</v>
      </c>
      <c r="C33" s="561">
        <v>-9975</v>
      </c>
      <c r="D33" s="561">
        <v>-13385</v>
      </c>
      <c r="E33" s="561">
        <v>-4800</v>
      </c>
      <c r="F33" s="561">
        <v>-19800</v>
      </c>
      <c r="G33" s="561">
        <v>-1778</v>
      </c>
      <c r="H33" s="561">
        <v>-3585</v>
      </c>
      <c r="I33" s="561">
        <v>-5665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11"/>
        <v>-2080</v>
      </c>
    </row>
    <row r="34" spans="1:20" outlineLevel="1" x14ac:dyDescent="0.35">
      <c r="A34" s="556" t="s">
        <v>1011</v>
      </c>
      <c r="C34" s="561">
        <v>-588</v>
      </c>
      <c r="D34" s="561">
        <v>-436</v>
      </c>
      <c r="E34" s="561">
        <v>-654</v>
      </c>
      <c r="F34" s="561">
        <v>-875</v>
      </c>
      <c r="G34" s="561">
        <v>-229</v>
      </c>
      <c r="H34" s="561">
        <v>-458</v>
      </c>
      <c r="I34" s="561">
        <v>-688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11"/>
        <v>-230</v>
      </c>
    </row>
    <row r="35" spans="1:20" outlineLevel="1" x14ac:dyDescent="0.35">
      <c r="A35" s="556" t="s">
        <v>1012</v>
      </c>
      <c r="C35" s="561">
        <v>-6222</v>
      </c>
      <c r="D35" s="561">
        <v>-27017</v>
      </c>
      <c r="E35" s="561">
        <v>-53543</v>
      </c>
      <c r="F35" s="561">
        <v>-71308</v>
      </c>
      <c r="G35" s="561">
        <v>-18078</v>
      </c>
      <c r="H35" s="561">
        <v>-36108</v>
      </c>
      <c r="I35" s="561">
        <v>-54138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11"/>
        <v>-18030</v>
      </c>
    </row>
    <row r="36" spans="1:20" outlineLevel="1" x14ac:dyDescent="0.35">
      <c r="A36" s="556" t="s">
        <v>1013</v>
      </c>
      <c r="C36" s="561">
        <v>0</v>
      </c>
      <c r="D36" s="561">
        <v>-30</v>
      </c>
      <c r="E36" s="561">
        <v>-36</v>
      </c>
      <c r="F36" s="561">
        <v>-40</v>
      </c>
      <c r="G36" s="561">
        <v>-5</v>
      </c>
      <c r="H36" s="561">
        <v>-42</v>
      </c>
      <c r="I36" s="561">
        <v>-59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11"/>
        <v>-17</v>
      </c>
    </row>
    <row r="37" spans="1:20" outlineLevel="1" x14ac:dyDescent="0.35">
      <c r="A37" s="556" t="s">
        <v>270</v>
      </c>
      <c r="C37" s="561">
        <v>0</v>
      </c>
      <c r="D37" s="561">
        <v>0</v>
      </c>
      <c r="E37" s="561">
        <v>0</v>
      </c>
      <c r="F37" s="561">
        <v>-27100</v>
      </c>
      <c r="G37" s="561">
        <v>1107</v>
      </c>
      <c r="H37" s="561">
        <v>-1167</v>
      </c>
      <c r="I37" s="561">
        <v>-1952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11"/>
        <v>-785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12">C27+C6</f>
        <v>117352</v>
      </c>
      <c r="D39" s="558">
        <f t="shared" si="12"/>
        <v>530579</v>
      </c>
      <c r="E39" s="558">
        <f t="shared" ref="E39" si="13">E27+E6</f>
        <v>719737</v>
      </c>
      <c r="F39" s="558">
        <f t="shared" si="12"/>
        <v>1167553</v>
      </c>
      <c r="G39" s="558">
        <f t="shared" si="12"/>
        <v>317899</v>
      </c>
      <c r="H39" s="558">
        <f t="shared" si="12"/>
        <v>693494</v>
      </c>
      <c r="I39" s="558">
        <f>I27+I6</f>
        <v>1032152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338658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14">SUM(C43:C48)</f>
        <v>-106165</v>
      </c>
      <c r="D41" s="562">
        <f t="shared" si="14"/>
        <v>-339854</v>
      </c>
      <c r="E41" s="562">
        <f t="shared" ref="E41" si="15">SUM(E43:E48)</f>
        <v>-476561</v>
      </c>
      <c r="F41" s="562">
        <f t="shared" si="14"/>
        <v>-816984</v>
      </c>
      <c r="G41" s="562">
        <f t="shared" si="14"/>
        <v>-246357</v>
      </c>
      <c r="H41" s="562">
        <f t="shared" si="14"/>
        <v>-546355</v>
      </c>
      <c r="I41" s="562">
        <f>SUM(I43:I48)</f>
        <v>-791354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-244999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-92690</v>
      </c>
      <c r="D43" s="560">
        <v>-252112</v>
      </c>
      <c r="E43" s="560">
        <v>-344583</v>
      </c>
      <c r="F43" s="560">
        <v>-466266</v>
      </c>
      <c r="G43" s="560">
        <v>-123985</v>
      </c>
      <c r="H43" s="560">
        <v>-253601</v>
      </c>
      <c r="I43" s="560">
        <v>-380818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6">I43-H43</f>
        <v>-127217</v>
      </c>
    </row>
    <row r="44" spans="1:20" x14ac:dyDescent="0.35">
      <c r="A44" s="555" t="s">
        <v>1016</v>
      </c>
      <c r="C44" s="560">
        <v>-17244</v>
      </c>
      <c r="D44" s="560">
        <v>-90350</v>
      </c>
      <c r="E44" s="560">
        <v>-165684</v>
      </c>
      <c r="F44" s="560">
        <v>-387911</v>
      </c>
      <c r="G44" s="560">
        <v>-107039</v>
      </c>
      <c r="H44" s="560">
        <v>-256550</v>
      </c>
      <c r="I44" s="560">
        <v>-355405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6"/>
        <v>-98855</v>
      </c>
    </row>
    <row r="45" spans="1:20" x14ac:dyDescent="0.35">
      <c r="A45" s="555" t="s">
        <v>312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6"/>
        <v>0</v>
      </c>
    </row>
    <row r="46" spans="1:20" x14ac:dyDescent="0.35">
      <c r="A46" s="555" t="s">
        <v>1017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6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6"/>
        <v>0</v>
      </c>
    </row>
    <row r="48" spans="1:20" x14ac:dyDescent="0.35">
      <c r="A48" s="555" t="s">
        <v>1018</v>
      </c>
      <c r="C48" s="560">
        <f t="shared" ref="C48:H48" si="17">SUM(C49:C55)</f>
        <v>3769</v>
      </c>
      <c r="D48" s="560">
        <f t="shared" si="17"/>
        <v>2608</v>
      </c>
      <c r="E48" s="560">
        <f t="shared" ref="E48" si="18">SUM(E49:E55)</f>
        <v>33706</v>
      </c>
      <c r="F48" s="560">
        <f t="shared" si="17"/>
        <v>37193</v>
      </c>
      <c r="G48" s="560">
        <f t="shared" si="17"/>
        <v>-15333</v>
      </c>
      <c r="H48" s="560">
        <f t="shared" si="17"/>
        <v>-36204</v>
      </c>
      <c r="I48" s="560">
        <f>SUM(I49:I55)</f>
        <v>-55131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-18927</v>
      </c>
    </row>
    <row r="49" spans="1:20" outlineLevel="1" x14ac:dyDescent="0.35">
      <c r="A49" s="556" t="s">
        <v>1019</v>
      </c>
      <c r="C49" s="561">
        <v>-23341</v>
      </c>
      <c r="D49" s="561">
        <v>-14200</v>
      </c>
      <c r="E49" s="561">
        <v>-4695</v>
      </c>
      <c r="F49" s="561">
        <v>5268</v>
      </c>
      <c r="G49" s="561">
        <v>-1382</v>
      </c>
      <c r="H49" s="561">
        <v>-2770</v>
      </c>
      <c r="I49" s="561">
        <v>-4575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9">I49-H49</f>
        <v>-1805</v>
      </c>
    </row>
    <row r="50" spans="1:20" outlineLevel="1" x14ac:dyDescent="0.35">
      <c r="A50" s="556" t="s">
        <v>1020</v>
      </c>
      <c r="C50" s="561">
        <v>-26</v>
      </c>
      <c r="D50" s="561">
        <v>-758</v>
      </c>
      <c r="E50" s="561">
        <v>-1948</v>
      </c>
      <c r="F50" s="561">
        <v>-1152</v>
      </c>
      <c r="G50" s="561">
        <v>-222</v>
      </c>
      <c r="H50" s="561">
        <v>528</v>
      </c>
      <c r="I50" s="561">
        <v>11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9"/>
        <v>-517</v>
      </c>
    </row>
    <row r="51" spans="1:20" outlineLevel="1" x14ac:dyDescent="0.35">
      <c r="A51" s="556" t="s">
        <v>1021</v>
      </c>
      <c r="C51" s="561">
        <v>-2589</v>
      </c>
      <c r="D51" s="561">
        <v>-3667</v>
      </c>
      <c r="E51" s="561">
        <v>43873</v>
      </c>
      <c r="F51" s="561">
        <v>39463</v>
      </c>
      <c r="G51" s="561">
        <v>-5824</v>
      </c>
      <c r="H51" s="561">
        <v>-13190</v>
      </c>
      <c r="I51" s="561">
        <v>-18691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9"/>
        <v>-5501</v>
      </c>
    </row>
    <row r="52" spans="1:20" outlineLevel="1" x14ac:dyDescent="0.35">
      <c r="A52" s="556" t="s">
        <v>1022</v>
      </c>
      <c r="C52" s="561">
        <v>-4214</v>
      </c>
      <c r="D52" s="561">
        <v>-9438</v>
      </c>
      <c r="E52" s="561">
        <v>-14263</v>
      </c>
      <c r="F52" s="561">
        <v>-20771</v>
      </c>
      <c r="G52" s="561">
        <v>-5069</v>
      </c>
      <c r="H52" s="561">
        <v>-14951</v>
      </c>
      <c r="I52" s="561">
        <v>-22732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9"/>
        <v>-7781</v>
      </c>
    </row>
    <row r="53" spans="1:20" outlineLevel="1" x14ac:dyDescent="0.35">
      <c r="A53" s="556" t="s">
        <v>1023</v>
      </c>
      <c r="C53" s="561">
        <v>34348</v>
      </c>
      <c r="D53" s="561">
        <v>30675</v>
      </c>
      <c r="E53" s="561">
        <v>10706</v>
      </c>
      <c r="F53" s="561">
        <v>14361</v>
      </c>
      <c r="G53" s="561">
        <v>-2808</v>
      </c>
      <c r="H53" s="561">
        <v>-5803</v>
      </c>
      <c r="I53" s="561">
        <v>-9124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9"/>
        <v>-3321</v>
      </c>
    </row>
    <row r="54" spans="1:20" outlineLevel="1" x14ac:dyDescent="0.35">
      <c r="A54" s="556" t="s">
        <v>1024</v>
      </c>
      <c r="C54" s="561">
        <v>0</v>
      </c>
      <c r="D54" s="561">
        <v>0</v>
      </c>
      <c r="E54" s="561">
        <v>-2</v>
      </c>
      <c r="F54" s="561">
        <v>-10</v>
      </c>
      <c r="G54" s="561">
        <v>-35</v>
      </c>
      <c r="H54" s="561">
        <v>-88</v>
      </c>
      <c r="I54" s="561">
        <v>-126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9"/>
        <v>-38</v>
      </c>
    </row>
    <row r="55" spans="1:20" outlineLevel="1" x14ac:dyDescent="0.35">
      <c r="A55" s="556" t="s">
        <v>1025</v>
      </c>
      <c r="C55" s="561">
        <v>-409</v>
      </c>
      <c r="D55" s="561">
        <v>-4</v>
      </c>
      <c r="E55" s="561">
        <v>35</v>
      </c>
      <c r="F55" s="561">
        <v>34</v>
      </c>
      <c r="G55" s="561">
        <v>7</v>
      </c>
      <c r="H55" s="561">
        <v>70</v>
      </c>
      <c r="I55" s="561">
        <v>106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9"/>
        <v>36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20">C39+C41</f>
        <v>11187</v>
      </c>
      <c r="D57" s="558">
        <f t="shared" si="20"/>
        <v>190725</v>
      </c>
      <c r="E57" s="558">
        <f t="shared" ref="E57" si="21">E39+E41</f>
        <v>243176</v>
      </c>
      <c r="F57" s="558">
        <f t="shared" si="20"/>
        <v>350569</v>
      </c>
      <c r="G57" s="558">
        <f t="shared" si="20"/>
        <v>71542</v>
      </c>
      <c r="H57" s="558">
        <f t="shared" si="20"/>
        <v>147139</v>
      </c>
      <c r="I57" s="558">
        <f>I39+I41</f>
        <v>240798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93659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22">C61+C67+C68+C77+C78</f>
        <v>-9450</v>
      </c>
      <c r="D59" s="562">
        <f t="shared" si="22"/>
        <v>-25468</v>
      </c>
      <c r="E59" s="562">
        <f t="shared" ref="E59" si="23">E61+E67+E68+E77+E78</f>
        <v>-62895</v>
      </c>
      <c r="F59" s="562">
        <f t="shared" si="22"/>
        <v>-114235</v>
      </c>
      <c r="G59" s="562">
        <f t="shared" si="22"/>
        <v>-29393</v>
      </c>
      <c r="H59" s="562">
        <f t="shared" si="22"/>
        <v>-66432</v>
      </c>
      <c r="I59" s="562">
        <f>I61+I67+I68+I77+I78</f>
        <v>-91242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-24810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24">SUM(C62:C66)</f>
        <v>-4650</v>
      </c>
      <c r="D61" s="560">
        <f t="shared" si="24"/>
        <v>-36309</v>
      </c>
      <c r="E61" s="560">
        <f t="shared" ref="E61" si="25">SUM(E62:E66)</f>
        <v>-38800</v>
      </c>
      <c r="F61" s="560">
        <f t="shared" si="24"/>
        <v>-44109</v>
      </c>
      <c r="G61" s="560">
        <f t="shared" si="24"/>
        <v>-15557</v>
      </c>
      <c r="H61" s="560">
        <f t="shared" si="24"/>
        <v>-25261</v>
      </c>
      <c r="I61" s="560">
        <f>SUM(I62:I66)</f>
        <v>-37463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-12202</v>
      </c>
    </row>
    <row r="62" spans="1:20" outlineLevel="1" x14ac:dyDescent="0.35">
      <c r="A62" s="556" t="s">
        <v>1029</v>
      </c>
      <c r="C62" s="561">
        <v>-3681</v>
      </c>
      <c r="D62" s="561">
        <v>-18574</v>
      </c>
      <c r="E62" s="561">
        <v>-17791</v>
      </c>
      <c r="F62" s="561">
        <v>-11806</v>
      </c>
      <c r="G62" s="561">
        <v>-2634</v>
      </c>
      <c r="H62" s="561">
        <v>-4783</v>
      </c>
      <c r="I62" s="561">
        <v>-6760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26">I62-H62</f>
        <v>-1977</v>
      </c>
    </row>
    <row r="63" spans="1:20" outlineLevel="1" x14ac:dyDescent="0.35">
      <c r="A63" s="556" t="s">
        <v>1030</v>
      </c>
      <c r="C63" s="561">
        <v>-33</v>
      </c>
      <c r="D63" s="561">
        <v>-558</v>
      </c>
      <c r="E63" s="561">
        <v>-1296</v>
      </c>
      <c r="F63" s="561">
        <v>-2028</v>
      </c>
      <c r="G63" s="561">
        <v>-704</v>
      </c>
      <c r="H63" s="561">
        <v>-1328</v>
      </c>
      <c r="I63" s="561">
        <v>-1569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26"/>
        <v>-241</v>
      </c>
    </row>
    <row r="64" spans="1:20" outlineLevel="1" x14ac:dyDescent="0.35">
      <c r="A64" s="556" t="s">
        <v>1031</v>
      </c>
      <c r="C64" s="561">
        <v>-936</v>
      </c>
      <c r="D64" s="561">
        <v>-17354</v>
      </c>
      <c r="E64" s="561">
        <v>-19724</v>
      </c>
      <c r="F64" s="561">
        <v>-30226</v>
      </c>
      <c r="G64" s="561">
        <v>-11994</v>
      </c>
      <c r="H64" s="561">
        <v>-18715</v>
      </c>
      <c r="I64" s="561">
        <v>-28544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26"/>
        <v>-9829</v>
      </c>
    </row>
    <row r="65" spans="1:20" outlineLevel="1" x14ac:dyDescent="0.35">
      <c r="A65" s="556" t="s">
        <v>1032</v>
      </c>
      <c r="C65" s="561">
        <v>0</v>
      </c>
      <c r="D65" s="561">
        <v>0</v>
      </c>
      <c r="E65" s="561">
        <v>-2</v>
      </c>
      <c r="F65" s="561">
        <v>-3</v>
      </c>
      <c r="G65" s="561">
        <v>-75</v>
      </c>
      <c r="H65" s="561">
        <v>-206</v>
      </c>
      <c r="I65" s="561">
        <v>-295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26"/>
        <v>-89</v>
      </c>
    </row>
    <row r="66" spans="1:20" outlineLevel="1" x14ac:dyDescent="0.35">
      <c r="A66" s="556" t="s">
        <v>1033</v>
      </c>
      <c r="C66" s="561">
        <v>0</v>
      </c>
      <c r="D66" s="561">
        <v>177</v>
      </c>
      <c r="E66" s="561">
        <v>13</v>
      </c>
      <c r="F66" s="561">
        <v>-46</v>
      </c>
      <c r="G66" s="561">
        <v>-150</v>
      </c>
      <c r="H66" s="561">
        <v>-229</v>
      </c>
      <c r="I66" s="561">
        <v>-295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26"/>
        <v>-66</v>
      </c>
    </row>
    <row r="67" spans="1:20" x14ac:dyDescent="0.35">
      <c r="A67" s="555" t="s">
        <v>1034</v>
      </c>
      <c r="C67" s="563">
        <v>8274</v>
      </c>
      <c r="D67" s="563">
        <v>15065</v>
      </c>
      <c r="E67" s="563">
        <v>22983</v>
      </c>
      <c r="F67" s="563">
        <v>45447</v>
      </c>
      <c r="G67" s="563">
        <v>3307</v>
      </c>
      <c r="H67" s="563">
        <v>-17537</v>
      </c>
      <c r="I67" s="563">
        <v>-26440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26"/>
        <v>-8903</v>
      </c>
    </row>
    <row r="68" spans="1:20" x14ac:dyDescent="0.35">
      <c r="A68" s="555" t="s">
        <v>1035</v>
      </c>
      <c r="C68" s="560">
        <f t="shared" ref="C68:H68" si="27">SUM(C69:C76)</f>
        <v>-12526</v>
      </c>
      <c r="D68" s="560">
        <f t="shared" si="27"/>
        <v>-4044</v>
      </c>
      <c r="E68" s="560">
        <f t="shared" ref="E68" si="28">SUM(E69:E76)</f>
        <v>-12126</v>
      </c>
      <c r="F68" s="560">
        <f t="shared" si="27"/>
        <v>-70831</v>
      </c>
      <c r="G68" s="560">
        <f t="shared" si="27"/>
        <v>-14836</v>
      </c>
      <c r="H68" s="560">
        <f t="shared" si="27"/>
        <v>-22197</v>
      </c>
      <c r="I68" s="560">
        <f>SUM(I69:I76)</f>
        <v>-37107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-14910</v>
      </c>
    </row>
    <row r="69" spans="1:20" outlineLevel="1" x14ac:dyDescent="0.35">
      <c r="A69" s="556" t="s">
        <v>1036</v>
      </c>
      <c r="C69" s="561">
        <v>-9181</v>
      </c>
      <c r="D69" s="561">
        <v>-6397</v>
      </c>
      <c r="E69" s="561">
        <v>-4944</v>
      </c>
      <c r="F69" s="561">
        <v>-29522</v>
      </c>
      <c r="G69" s="561">
        <v>-4742</v>
      </c>
      <c r="H69" s="561">
        <v>-10734</v>
      </c>
      <c r="I69" s="561">
        <v>-14373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29">I69-H69</f>
        <v>-3639</v>
      </c>
    </row>
    <row r="70" spans="1:20" outlineLevel="1" x14ac:dyDescent="0.35">
      <c r="A70" s="556" t="s">
        <v>1037</v>
      </c>
      <c r="C70" s="561">
        <v>-72</v>
      </c>
      <c r="D70" s="561">
        <v>-449</v>
      </c>
      <c r="E70" s="561">
        <v>-1313</v>
      </c>
      <c r="F70" s="561">
        <v>-1891</v>
      </c>
      <c r="G70" s="561">
        <v>-116</v>
      </c>
      <c r="H70" s="561">
        <v>335</v>
      </c>
      <c r="I70" s="561">
        <v>1242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29"/>
        <v>907</v>
      </c>
    </row>
    <row r="71" spans="1:20" outlineLevel="1" x14ac:dyDescent="0.35">
      <c r="A71" s="556" t="s">
        <v>1038</v>
      </c>
      <c r="C71" s="561">
        <v>-4759</v>
      </c>
      <c r="D71" s="561">
        <v>-7935</v>
      </c>
      <c r="E71" s="561">
        <v>-18494</v>
      </c>
      <c r="F71" s="561">
        <v>-25483</v>
      </c>
      <c r="G71" s="561">
        <v>-8663</v>
      </c>
      <c r="H71" s="561">
        <v>-17372</v>
      </c>
      <c r="I71" s="561">
        <v>-27150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29"/>
        <v>-9778</v>
      </c>
    </row>
    <row r="72" spans="1:20" outlineLevel="1" x14ac:dyDescent="0.35">
      <c r="A72" s="556" t="s">
        <v>1039</v>
      </c>
      <c r="C72" s="561">
        <v>319</v>
      </c>
      <c r="D72" s="561">
        <v>292</v>
      </c>
      <c r="E72" s="561">
        <v>277</v>
      </c>
      <c r="F72" s="561">
        <v>-85</v>
      </c>
      <c r="G72" s="561">
        <v>-206</v>
      </c>
      <c r="H72" s="561">
        <v>-367</v>
      </c>
      <c r="I72" s="561">
        <v>-492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29"/>
        <v>-125</v>
      </c>
    </row>
    <row r="73" spans="1:20" outlineLevel="1" x14ac:dyDescent="0.35">
      <c r="A73" s="556" t="s">
        <v>1040</v>
      </c>
      <c r="C73" s="561">
        <v>320</v>
      </c>
      <c r="D73" s="561">
        <v>-704</v>
      </c>
      <c r="E73" s="561">
        <v>3453</v>
      </c>
      <c r="F73" s="561">
        <v>4028</v>
      </c>
      <c r="G73" s="561">
        <v>269</v>
      </c>
      <c r="H73" s="561">
        <v>1175</v>
      </c>
      <c r="I73" s="561">
        <v>1631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29"/>
        <v>456</v>
      </c>
    </row>
    <row r="74" spans="1:20" outlineLevel="1" x14ac:dyDescent="0.35">
      <c r="A74" s="556" t="s">
        <v>1041</v>
      </c>
      <c r="C74" s="561">
        <v>1425</v>
      </c>
      <c r="D74" s="561">
        <v>11377</v>
      </c>
      <c r="E74" s="561">
        <v>9379</v>
      </c>
      <c r="F74" s="561">
        <v>-14942</v>
      </c>
      <c r="G74" s="561">
        <v>-729</v>
      </c>
      <c r="H74" s="561">
        <v>6066</v>
      </c>
      <c r="I74" s="561">
        <v>4792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29"/>
        <v>-1274</v>
      </c>
    </row>
    <row r="75" spans="1:20" outlineLevel="1" x14ac:dyDescent="0.35">
      <c r="A75" s="556" t="s">
        <v>1042</v>
      </c>
      <c r="C75" s="561">
        <v>-578</v>
      </c>
      <c r="D75" s="561">
        <v>-228</v>
      </c>
      <c r="E75" s="561">
        <v>-484</v>
      </c>
      <c r="F75" s="561">
        <v>-2936</v>
      </c>
      <c r="G75" s="561">
        <v>-649</v>
      </c>
      <c r="H75" s="561">
        <v>-1300</v>
      </c>
      <c r="I75" s="561">
        <v>-2757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29"/>
        <v>-1457</v>
      </c>
    </row>
    <row r="76" spans="1:20" outlineLevel="1" x14ac:dyDescent="0.35">
      <c r="A76" s="556" t="s">
        <v>1043</v>
      </c>
      <c r="C76" s="561">
        <v>0</v>
      </c>
      <c r="D76" s="561">
        <v>0</v>
      </c>
      <c r="E76" s="561">
        <v>0</v>
      </c>
      <c r="F76" s="561">
        <v>0</v>
      </c>
      <c r="G76" s="561">
        <v>0</v>
      </c>
      <c r="H76" s="561">
        <v>0</v>
      </c>
      <c r="I76" s="561">
        <v>0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29"/>
        <v>0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29"/>
        <v>0</v>
      </c>
    </row>
    <row r="78" spans="1:20" x14ac:dyDescent="0.35">
      <c r="A78" s="555" t="s">
        <v>1045</v>
      </c>
      <c r="C78" s="560">
        <f t="shared" ref="C78:H78" si="30">SUM(C79:C80)</f>
        <v>-548</v>
      </c>
      <c r="D78" s="560">
        <f t="shared" si="30"/>
        <v>-180</v>
      </c>
      <c r="E78" s="560">
        <f t="shared" ref="E78" si="31">SUM(E79:E80)</f>
        <v>-34952</v>
      </c>
      <c r="F78" s="560">
        <f t="shared" si="30"/>
        <v>-44742</v>
      </c>
      <c r="G78" s="560">
        <f t="shared" si="30"/>
        <v>-2307</v>
      </c>
      <c r="H78" s="560">
        <f t="shared" si="30"/>
        <v>-1437</v>
      </c>
      <c r="I78" s="560">
        <f>SUM(I79:I80)</f>
        <v>9768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11205</v>
      </c>
    </row>
    <row r="79" spans="1:20" outlineLevel="1" x14ac:dyDescent="0.35">
      <c r="A79" s="556" t="s">
        <v>1046</v>
      </c>
      <c r="C79" s="561">
        <v>-1198</v>
      </c>
      <c r="D79" s="561">
        <v>-651</v>
      </c>
      <c r="E79" s="561">
        <v>-1354</v>
      </c>
      <c r="F79" s="561">
        <v>-2117</v>
      </c>
      <c r="G79" s="561">
        <v>-493</v>
      </c>
      <c r="H79" s="561">
        <v>-903</v>
      </c>
      <c r="I79" s="561">
        <v>-1131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32">I79-H79</f>
        <v>-228</v>
      </c>
    </row>
    <row r="80" spans="1:20" outlineLevel="1" x14ac:dyDescent="0.35">
      <c r="A80" s="556" t="s">
        <v>1047</v>
      </c>
      <c r="C80" s="561">
        <v>650</v>
      </c>
      <c r="D80" s="561">
        <v>471</v>
      </c>
      <c r="E80" s="561">
        <v>-33598</v>
      </c>
      <c r="F80" s="561">
        <v>-42625</v>
      </c>
      <c r="G80" s="561">
        <v>-1814</v>
      </c>
      <c r="H80" s="561">
        <v>-534</v>
      </c>
      <c r="I80" s="561">
        <v>10899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32"/>
        <v>11433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33">C84-C75-C52-C76</f>
        <v>6529</v>
      </c>
      <c r="D82" s="558">
        <f t="shared" si="33"/>
        <v>174923</v>
      </c>
      <c r="E82" s="558">
        <f t="shared" ref="E82" si="34">E84-E75-E52-E76</f>
        <v>195028</v>
      </c>
      <c r="F82" s="558">
        <f t="shared" si="33"/>
        <v>260041</v>
      </c>
      <c r="G82" s="558">
        <f t="shared" si="33"/>
        <v>47867</v>
      </c>
      <c r="H82" s="558">
        <f t="shared" si="33"/>
        <v>96958</v>
      </c>
      <c r="I82" s="558">
        <f>I84-I75-I52-I76</f>
        <v>175045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78087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35">C57+C59</f>
        <v>1737</v>
      </c>
      <c r="D84" s="558">
        <f t="shared" si="35"/>
        <v>165257</v>
      </c>
      <c r="E84" s="558">
        <f t="shared" ref="E84" si="36">E57+E59</f>
        <v>180281</v>
      </c>
      <c r="F84" s="558">
        <f t="shared" si="35"/>
        <v>236334</v>
      </c>
      <c r="G84" s="558">
        <f t="shared" si="35"/>
        <v>42149</v>
      </c>
      <c r="H84" s="558">
        <f t="shared" si="35"/>
        <v>80707</v>
      </c>
      <c r="I84" s="558">
        <f>I57+I59</f>
        <v>149556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68849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37">C88+C97</f>
        <v>169202</v>
      </c>
      <c r="D86" s="558">
        <f t="shared" si="37"/>
        <v>170019</v>
      </c>
      <c r="E86" s="558">
        <f t="shared" ref="E86" si="38">E88+E97</f>
        <v>320574</v>
      </c>
      <c r="F86" s="558">
        <f t="shared" si="37"/>
        <v>263758</v>
      </c>
      <c r="G86" s="558">
        <f t="shared" si="37"/>
        <v>-46465</v>
      </c>
      <c r="H86" s="558">
        <f t="shared" si="37"/>
        <v>-91486</v>
      </c>
      <c r="I86" s="558">
        <f>I88+I97</f>
        <v>-157321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-65835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39">SUM(C89:C96)</f>
        <v>287731</v>
      </c>
      <c r="D88" s="562">
        <f t="shared" si="39"/>
        <v>400545</v>
      </c>
      <c r="E88" s="562">
        <f t="shared" ref="E88" si="40">SUM(E89:E96)</f>
        <v>635563</v>
      </c>
      <c r="F88" s="562">
        <f t="shared" si="39"/>
        <v>659650</v>
      </c>
      <c r="G88" s="562">
        <f t="shared" si="39"/>
        <v>71214</v>
      </c>
      <c r="H88" s="562">
        <f t="shared" si="39"/>
        <v>125119</v>
      </c>
      <c r="I88" s="562">
        <f>SUM(I89:I96)</f>
        <v>106814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-18305</v>
      </c>
    </row>
    <row r="89" spans="1:20" outlineLevel="1" x14ac:dyDescent="0.35">
      <c r="A89" s="556" t="s">
        <v>1049</v>
      </c>
      <c r="C89" s="561">
        <v>19174</v>
      </c>
      <c r="D89" s="561">
        <v>84920</v>
      </c>
      <c r="E89" s="561">
        <v>139031</v>
      </c>
      <c r="F89" s="561">
        <v>161097</v>
      </c>
      <c r="G89" s="561">
        <v>53662</v>
      </c>
      <c r="H89" s="561">
        <v>62773</v>
      </c>
      <c r="I89" s="561">
        <v>71306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41">I89-H89</f>
        <v>8533</v>
      </c>
    </row>
    <row r="90" spans="1:20" outlineLevel="1" x14ac:dyDescent="0.35">
      <c r="A90" s="556" t="s">
        <v>1050</v>
      </c>
      <c r="C90" s="561">
        <v>-11699</v>
      </c>
      <c r="D90" s="561">
        <v>-15524</v>
      </c>
      <c r="E90" s="561">
        <v>-26681</v>
      </c>
      <c r="F90" s="561">
        <v>-28028</v>
      </c>
      <c r="G90" s="561">
        <v>-784</v>
      </c>
      <c r="H90" s="561">
        <v>-1575</v>
      </c>
      <c r="I90" s="561">
        <v>-2076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41"/>
        <v>-501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41"/>
        <v>0</v>
      </c>
    </row>
    <row r="92" spans="1:20" outlineLevel="1" x14ac:dyDescent="0.35">
      <c r="A92" s="556" t="s">
        <v>1052</v>
      </c>
      <c r="C92" s="561">
        <v>0</v>
      </c>
      <c r="D92" s="561">
        <v>4901</v>
      </c>
      <c r="E92" s="561">
        <v>9453</v>
      </c>
      <c r="F92" s="561">
        <v>16366</v>
      </c>
      <c r="G92" s="561">
        <v>5688</v>
      </c>
      <c r="H92" s="561">
        <v>8237</v>
      </c>
      <c r="I92" s="561">
        <v>10490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41"/>
        <v>2253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41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41"/>
        <v>0</v>
      </c>
    </row>
    <row r="95" spans="1:20" outlineLevel="1" x14ac:dyDescent="0.35">
      <c r="A95" s="556" t="s">
        <v>1055</v>
      </c>
      <c r="C95" s="561">
        <v>217432</v>
      </c>
      <c r="D95" s="561">
        <v>259265</v>
      </c>
      <c r="E95" s="561">
        <v>446233</v>
      </c>
      <c r="F95" s="561">
        <v>430714</v>
      </c>
      <c r="G95" s="561">
        <v>0</v>
      </c>
      <c r="H95" s="561">
        <v>0</v>
      </c>
      <c r="I95" s="561">
        <v>0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41"/>
        <v>0</v>
      </c>
    </row>
    <row r="96" spans="1:20" outlineLevel="1" x14ac:dyDescent="0.35">
      <c r="A96" s="556" t="s">
        <v>1056</v>
      </c>
      <c r="C96" s="561">
        <v>62824</v>
      </c>
      <c r="D96" s="561">
        <v>66983</v>
      </c>
      <c r="E96" s="561">
        <v>67527</v>
      </c>
      <c r="F96" s="561">
        <v>79501</v>
      </c>
      <c r="G96" s="561">
        <v>12648</v>
      </c>
      <c r="H96" s="561">
        <v>55684</v>
      </c>
      <c r="I96" s="561">
        <v>27094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41"/>
        <v>-28590</v>
      </c>
    </row>
    <row r="97" spans="1:20" x14ac:dyDescent="0.35">
      <c r="A97" s="555" t="s">
        <v>279</v>
      </c>
      <c r="C97" s="560">
        <f t="shared" ref="C97:H97" si="42">SUM(C98:C106)</f>
        <v>-118529</v>
      </c>
      <c r="D97" s="560">
        <f t="shared" si="42"/>
        <v>-230526</v>
      </c>
      <c r="E97" s="560">
        <f t="shared" ref="E97" si="43">SUM(E98:E106)</f>
        <v>-314989</v>
      </c>
      <c r="F97" s="560">
        <f t="shared" si="42"/>
        <v>-395892</v>
      </c>
      <c r="G97" s="560">
        <f t="shared" si="42"/>
        <v>-117679</v>
      </c>
      <c r="H97" s="560">
        <f t="shared" si="42"/>
        <v>-216605</v>
      </c>
      <c r="I97" s="560">
        <f>SUM(I98:I106)</f>
        <v>-264135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-47530</v>
      </c>
    </row>
    <row r="98" spans="1:20" outlineLevel="1" x14ac:dyDescent="0.35">
      <c r="A98" s="556" t="s">
        <v>1057</v>
      </c>
      <c r="C98" s="561">
        <v>-16027</v>
      </c>
      <c r="D98" s="561">
        <v>-83771</v>
      </c>
      <c r="E98" s="561">
        <v>-59051</v>
      </c>
      <c r="F98" s="561">
        <v>-81714</v>
      </c>
      <c r="G98" s="561">
        <v>-26540</v>
      </c>
      <c r="H98" s="561">
        <v>-54894</v>
      </c>
      <c r="I98" s="561">
        <v>-87219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44">I98-H98</f>
        <v>-32325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44"/>
        <v>0</v>
      </c>
    </row>
    <row r="100" spans="1:20" outlineLevel="1" x14ac:dyDescent="0.35">
      <c r="A100" s="556" t="s">
        <v>1059</v>
      </c>
      <c r="C100" s="561">
        <v>-77394</v>
      </c>
      <c r="D100" s="561">
        <v>-47423</v>
      </c>
      <c r="E100" s="561">
        <v>-110914</v>
      </c>
      <c r="F100" s="561">
        <v>-138218</v>
      </c>
      <c r="G100" s="561">
        <v>-73815</v>
      </c>
      <c r="H100" s="561">
        <v>-132571</v>
      </c>
      <c r="I100" s="561">
        <v>-125299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44"/>
        <v>7272</v>
      </c>
    </row>
    <row r="101" spans="1:20" outlineLevel="1" x14ac:dyDescent="0.35">
      <c r="A101" s="556" t="s">
        <v>1060</v>
      </c>
      <c r="C101" s="561">
        <v>0</v>
      </c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44"/>
        <v>0</v>
      </c>
    </row>
    <row r="102" spans="1:20" outlineLevel="1" x14ac:dyDescent="0.35">
      <c r="A102" s="556" t="s">
        <v>1061</v>
      </c>
      <c r="C102" s="561">
        <v>-2170</v>
      </c>
      <c r="D102" s="561">
        <v>-5855</v>
      </c>
      <c r="E102" s="561">
        <v>-29018</v>
      </c>
      <c r="F102" s="561">
        <v>-36155</v>
      </c>
      <c r="G102" s="561">
        <v>-894</v>
      </c>
      <c r="H102" s="561">
        <v>-3561</v>
      </c>
      <c r="I102" s="561">
        <v>-4780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44"/>
        <v>-1219</v>
      </c>
    </row>
    <row r="103" spans="1:20" outlineLevel="1" x14ac:dyDescent="0.35">
      <c r="A103" s="556" t="s">
        <v>1062</v>
      </c>
      <c r="C103" s="561">
        <v>0</v>
      </c>
      <c r="D103" s="561">
        <v>-51</v>
      </c>
      <c r="E103" s="561">
        <v>-59</v>
      </c>
      <c r="F103" s="561">
        <v>-6626</v>
      </c>
      <c r="G103" s="561">
        <v>-10</v>
      </c>
      <c r="H103" s="561">
        <v>-12</v>
      </c>
      <c r="I103" s="561">
        <v>-19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44"/>
        <v>-7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44"/>
        <v>0</v>
      </c>
    </row>
    <row r="105" spans="1:20" outlineLevel="1" x14ac:dyDescent="0.35">
      <c r="A105" s="556" t="s">
        <v>1064</v>
      </c>
      <c r="C105" s="561">
        <v>-129</v>
      </c>
      <c r="D105" s="561">
        <v>-308</v>
      </c>
      <c r="E105" s="561">
        <v>-672</v>
      </c>
      <c r="F105" s="561">
        <v>-13984</v>
      </c>
      <c r="G105" s="561">
        <v>-1607</v>
      </c>
      <c r="H105" s="561">
        <v>-3375</v>
      </c>
      <c r="I105" s="561">
        <v>-5194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44"/>
        <v>-1819</v>
      </c>
    </row>
    <row r="106" spans="1:20" outlineLevel="1" x14ac:dyDescent="0.35">
      <c r="A106" s="556" t="s">
        <v>1065</v>
      </c>
      <c r="C106" s="561">
        <v>-22809</v>
      </c>
      <c r="D106" s="561">
        <v>-93118</v>
      </c>
      <c r="E106" s="561">
        <v>-115275</v>
      </c>
      <c r="F106" s="561">
        <v>-119195</v>
      </c>
      <c r="G106" s="561">
        <v>-14813</v>
      </c>
      <c r="H106" s="561">
        <v>-22192</v>
      </c>
      <c r="I106" s="561">
        <v>-41624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44"/>
        <v>-19432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45">C84+C86</f>
        <v>170939</v>
      </c>
      <c r="D108" s="558">
        <f t="shared" si="45"/>
        <v>335276</v>
      </c>
      <c r="E108" s="558">
        <f t="shared" ref="E108" si="46">E84+E86</f>
        <v>500855</v>
      </c>
      <c r="F108" s="558">
        <f t="shared" si="45"/>
        <v>500092</v>
      </c>
      <c r="G108" s="558">
        <f t="shared" si="45"/>
        <v>-4316</v>
      </c>
      <c r="H108" s="558">
        <f t="shared" si="45"/>
        <v>-10779</v>
      </c>
      <c r="I108" s="558">
        <f>I84+I86</f>
        <v>-7765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3014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I110" si="47">SUM(C112:C115)</f>
        <v>-42746</v>
      </c>
      <c r="D110" s="562">
        <f t="shared" si="47"/>
        <v>-68800</v>
      </c>
      <c r="E110" s="562">
        <f t="shared" ref="E110" si="48">SUM(E112:E115)</f>
        <v>-111560</v>
      </c>
      <c r="F110" s="562">
        <f t="shared" si="47"/>
        <v>-111023</v>
      </c>
      <c r="G110" s="562">
        <f t="shared" si="47"/>
        <v>0</v>
      </c>
      <c r="H110" s="562">
        <f t="shared" si="47"/>
        <v>-6231</v>
      </c>
      <c r="I110" s="562">
        <f t="shared" si="47"/>
        <v>-1911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4320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-11317</v>
      </c>
      <c r="D112" s="563">
        <v>-23748</v>
      </c>
      <c r="E112" s="563">
        <v>-31102</v>
      </c>
      <c r="F112" s="563">
        <v>-29642</v>
      </c>
      <c r="G112" s="563">
        <v>0</v>
      </c>
      <c r="H112" s="563">
        <v>-1634</v>
      </c>
      <c r="I112" s="563">
        <v>-458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49">I112-H112</f>
        <v>1176</v>
      </c>
    </row>
    <row r="113" spans="1:20" x14ac:dyDescent="0.35">
      <c r="A113" s="555" t="s">
        <v>282</v>
      </c>
      <c r="C113" s="563">
        <v>-31429</v>
      </c>
      <c r="D113" s="563">
        <v>-73124</v>
      </c>
      <c r="E113" s="563">
        <v>-80458</v>
      </c>
      <c r="F113" s="563">
        <v>-81381</v>
      </c>
      <c r="G113" s="563">
        <v>0</v>
      </c>
      <c r="H113" s="563">
        <v>-4597</v>
      </c>
      <c r="I113" s="563">
        <v>-1453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49"/>
        <v>3144</v>
      </c>
    </row>
    <row r="114" spans="1:20" x14ac:dyDescent="0.35">
      <c r="A114" s="555" t="s">
        <v>284</v>
      </c>
      <c r="C114" s="563">
        <v>0</v>
      </c>
      <c r="D114" s="563">
        <v>28072</v>
      </c>
      <c r="E114" s="563">
        <v>0</v>
      </c>
      <c r="F114" s="563">
        <v>0</v>
      </c>
      <c r="G114" s="563">
        <v>0</v>
      </c>
      <c r="H114" s="563">
        <v>0</v>
      </c>
      <c r="I114" s="563">
        <v>0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49"/>
        <v>0</v>
      </c>
    </row>
    <row r="115" spans="1:20" x14ac:dyDescent="0.35">
      <c r="A115" s="555" t="s">
        <v>1068</v>
      </c>
      <c r="C115" s="563">
        <v>0</v>
      </c>
      <c r="D115" s="563">
        <v>0</v>
      </c>
      <c r="E115" s="563">
        <v>0</v>
      </c>
      <c r="F115" s="563">
        <v>0</v>
      </c>
      <c r="G115" s="563">
        <v>0</v>
      </c>
      <c r="H115" s="563">
        <v>0</v>
      </c>
      <c r="I115" s="563">
        <v>0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49"/>
        <v>0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I117" si="50">C108+C110</f>
        <v>128193</v>
      </c>
      <c r="D117" s="564">
        <f t="shared" si="50"/>
        <v>266476</v>
      </c>
      <c r="E117" s="564">
        <f t="shared" ref="E117" si="51">E108+E110</f>
        <v>389295</v>
      </c>
      <c r="F117" s="564">
        <f t="shared" si="50"/>
        <v>389069</v>
      </c>
      <c r="G117" s="564">
        <f t="shared" si="50"/>
        <v>-4316</v>
      </c>
      <c r="H117" s="564">
        <f t="shared" si="50"/>
        <v>-17010</v>
      </c>
      <c r="I117" s="564">
        <f t="shared" si="50"/>
        <v>-9676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7334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I120" si="52">C117-C121</f>
        <v>128170.99410663395</v>
      </c>
      <c r="D120" s="563">
        <f t="shared" si="52"/>
        <v>266430.25614159426</v>
      </c>
      <c r="E120" s="563">
        <f t="shared" ref="E120" si="53">E117-E121</f>
        <v>389228.17276093131</v>
      </c>
      <c r="F120" s="563">
        <f t="shared" si="52"/>
        <v>389002.21155659016</v>
      </c>
      <c r="G120" s="563">
        <f t="shared" si="52"/>
        <v>-4315.2591059124297</v>
      </c>
      <c r="H120" s="563">
        <f t="shared" si="52"/>
        <v>-17007.080025850424</v>
      </c>
      <c r="I120" s="563">
        <f t="shared" si="52"/>
        <v>-9674.33899648023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54">I120-H120</f>
        <v>7332.7410293701942</v>
      </c>
    </row>
    <row r="121" spans="1:20" x14ac:dyDescent="0.35">
      <c r="A121" s="555" t="s">
        <v>1072</v>
      </c>
      <c r="C121" s="563">
        <f t="shared" ref="C121:I121" si="55">C117*C126</f>
        <v>22.005893366044745</v>
      </c>
      <c r="D121" s="563">
        <f t="shared" si="55"/>
        <v>45.743858405764271</v>
      </c>
      <c r="E121" s="563">
        <f t="shared" ref="E121" si="56">E117*E126</f>
        <v>66.827239068704131</v>
      </c>
      <c r="F121" s="563">
        <f t="shared" si="55"/>
        <v>66.788443409809148</v>
      </c>
      <c r="G121" s="563">
        <f t="shared" si="55"/>
        <v>-0.74089408756990727</v>
      </c>
      <c r="H121" s="563">
        <f t="shared" si="55"/>
        <v>-2.9199741495746343</v>
      </c>
      <c r="I121" s="563">
        <f t="shared" si="55"/>
        <v>-1.6610035197697921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54"/>
        <v>1.2589706298048422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I123" si="57">SUM(C120:C121)</f>
        <v>128193</v>
      </c>
      <c r="D123" s="564">
        <f t="shared" si="57"/>
        <v>266476</v>
      </c>
      <c r="E123" s="564">
        <f t="shared" ref="E123" si="58">SUM(E120:E121)</f>
        <v>389295</v>
      </c>
      <c r="F123" s="564">
        <f t="shared" si="57"/>
        <v>389069</v>
      </c>
      <c r="G123" s="564">
        <f t="shared" si="57"/>
        <v>-4316</v>
      </c>
      <c r="H123" s="564">
        <f t="shared" si="57"/>
        <v>-17010</v>
      </c>
      <c r="I123" s="564">
        <f t="shared" si="57"/>
        <v>-9676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7333.9999999999991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>
        <v>0.99982833779250002</v>
      </c>
      <c r="D125" s="571">
        <v>0.99982833779250002</v>
      </c>
      <c r="E125" s="571">
        <v>0.99982833779250002</v>
      </c>
      <c r="F125" s="571">
        <v>0.99982833779250002</v>
      </c>
      <c r="G125" s="571">
        <v>0.99982833779250002</v>
      </c>
      <c r="H125" s="571">
        <v>0.99982833779250002</v>
      </c>
      <c r="I125" s="571">
        <v>0.99982833779250002</v>
      </c>
      <c r="T125" s="571">
        <f>I125</f>
        <v>0.99982833779250002</v>
      </c>
    </row>
    <row r="126" spans="1:20" s="570" customFormat="1" ht="10.5" x14ac:dyDescent="0.25">
      <c r="A126" s="569" t="s">
        <v>1087</v>
      </c>
      <c r="C126" s="571">
        <v>1.7166220749997851E-4</v>
      </c>
      <c r="D126" s="571">
        <v>1.7166220749997851E-4</v>
      </c>
      <c r="E126" s="571">
        <v>1.7166220749997851E-4</v>
      </c>
      <c r="F126" s="571">
        <v>1.7166220749997851E-4</v>
      </c>
      <c r="G126" s="571">
        <v>1.7166220749997851E-4</v>
      </c>
      <c r="H126" s="571">
        <v>1.7166220749997851E-4</v>
      </c>
      <c r="I126" s="571">
        <v>1.7166220749997851E-4</v>
      </c>
      <c r="T126" s="571">
        <f>I126</f>
        <v>1.7166220749997851E-4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F4CB6-9D87-49FC-A13C-D082A02B0089}">
  <sheetPr>
    <tabColor theme="9" tint="0.79998168889431442"/>
  </sheetPr>
  <dimension ref="A3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3" spans="1:20" x14ac:dyDescent="0.35">
      <c r="C3" s="575" t="s">
        <v>1109</v>
      </c>
      <c r="D3" s="575"/>
      <c r="E3" s="575"/>
      <c r="F3" s="575"/>
    </row>
    <row r="4" spans="1:20" x14ac:dyDescent="0.35">
      <c r="A4" s="566" t="s">
        <v>1093</v>
      </c>
      <c r="C4" s="574" t="s">
        <v>1079</v>
      </c>
      <c r="D4" s="574" t="s">
        <v>1078</v>
      </c>
      <c r="E4" s="574" t="s">
        <v>1077</v>
      </c>
      <c r="F4" s="574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0</v>
      </c>
      <c r="D6" s="558">
        <f t="shared" si="0"/>
        <v>0</v>
      </c>
      <c r="E6" s="558">
        <f t="shared" si="0"/>
        <v>0</v>
      </c>
      <c r="F6" s="558">
        <f t="shared" si="0"/>
        <v>0</v>
      </c>
      <c r="G6" s="558">
        <f t="shared" si="0"/>
        <v>3600946</v>
      </c>
      <c r="H6" s="558">
        <f t="shared" si="0"/>
        <v>6515594</v>
      </c>
      <c r="I6" s="558">
        <f t="shared" si="0"/>
        <v>9322543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2806949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0</v>
      </c>
      <c r="D8" s="560">
        <f t="shared" si="2"/>
        <v>0</v>
      </c>
      <c r="E8" s="560">
        <f t="shared" si="2"/>
        <v>0</v>
      </c>
      <c r="F8" s="560">
        <f t="shared" si="2"/>
        <v>0</v>
      </c>
      <c r="G8" s="560">
        <f t="shared" si="2"/>
        <v>2265091</v>
      </c>
      <c r="H8" s="560">
        <f t="shared" si="2"/>
        <v>4209853</v>
      </c>
      <c r="I8" s="560">
        <f>SUM(I9:I10)</f>
        <v>6393072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2183219</v>
      </c>
    </row>
    <row r="9" spans="1:20" outlineLevel="1" x14ac:dyDescent="0.35">
      <c r="A9" s="556" t="s">
        <v>996</v>
      </c>
      <c r="C9" s="561"/>
      <c r="D9" s="561"/>
      <c r="E9" s="561"/>
      <c r="F9" s="561"/>
      <c r="G9" s="561">
        <v>2218999</v>
      </c>
      <c r="H9" s="561">
        <v>4149944</v>
      </c>
      <c r="I9" s="561">
        <v>6339402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2189458</v>
      </c>
    </row>
    <row r="10" spans="1:20" outlineLevel="1" x14ac:dyDescent="0.35">
      <c r="A10" s="556" t="s">
        <v>997</v>
      </c>
      <c r="C10" s="561"/>
      <c r="D10" s="561"/>
      <c r="E10" s="561"/>
      <c r="F10" s="561"/>
      <c r="G10" s="561">
        <v>46092</v>
      </c>
      <c r="H10" s="561">
        <v>59909</v>
      </c>
      <c r="I10" s="561">
        <v>53670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-6239</v>
      </c>
    </row>
    <row r="11" spans="1:20" x14ac:dyDescent="0.35">
      <c r="A11" s="555" t="s">
        <v>248</v>
      </c>
      <c r="C11" s="560"/>
      <c r="D11" s="560"/>
      <c r="E11" s="560"/>
      <c r="F11" s="560"/>
      <c r="G11" s="560">
        <v>35569</v>
      </c>
      <c r="H11" s="560">
        <v>95213</v>
      </c>
      <c r="I11" s="560">
        <v>119710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24497</v>
      </c>
    </row>
    <row r="12" spans="1:20" x14ac:dyDescent="0.35">
      <c r="A12" s="555" t="s">
        <v>252</v>
      </c>
      <c r="C12" s="560"/>
      <c r="D12" s="560"/>
      <c r="E12" s="560"/>
      <c r="F12" s="560"/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0</v>
      </c>
    </row>
    <row r="13" spans="1:20" x14ac:dyDescent="0.35">
      <c r="A13" s="555" t="s">
        <v>249</v>
      </c>
      <c r="C13" s="560"/>
      <c r="D13" s="560"/>
      <c r="E13" s="560"/>
      <c r="F13" s="560"/>
      <c r="G13" s="560">
        <v>902134</v>
      </c>
      <c r="H13" s="560">
        <v>1401597</v>
      </c>
      <c r="I13" s="560">
        <v>1533674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132077</v>
      </c>
    </row>
    <row r="14" spans="1:20" x14ac:dyDescent="0.35">
      <c r="A14" s="555" t="s">
        <v>250</v>
      </c>
      <c r="C14" s="560"/>
      <c r="D14" s="560"/>
      <c r="E14" s="560"/>
      <c r="F14" s="560"/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/>
      <c r="D15" s="560"/>
      <c r="E15" s="560"/>
      <c r="F15" s="560"/>
      <c r="G15" s="560">
        <v>0</v>
      </c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0</v>
      </c>
    </row>
    <row r="16" spans="1:20" x14ac:dyDescent="0.35">
      <c r="A16" s="555" t="s">
        <v>253</v>
      </c>
      <c r="C16" s="560"/>
      <c r="D16" s="560"/>
      <c r="E16" s="560"/>
      <c r="F16" s="560"/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0</v>
      </c>
    </row>
    <row r="17" spans="1:20" x14ac:dyDescent="0.35">
      <c r="A17" s="555" t="s">
        <v>254</v>
      </c>
      <c r="C17" s="560">
        <f t="shared" ref="C17:H17" si="4">SUM(C18:C25)</f>
        <v>0</v>
      </c>
      <c r="D17" s="560">
        <f t="shared" si="4"/>
        <v>0</v>
      </c>
      <c r="E17" s="560">
        <f t="shared" si="4"/>
        <v>0</v>
      </c>
      <c r="F17" s="560">
        <f t="shared" si="4"/>
        <v>0</v>
      </c>
      <c r="G17" s="560">
        <f t="shared" si="4"/>
        <v>398152</v>
      </c>
      <c r="H17" s="560">
        <f t="shared" si="4"/>
        <v>808931</v>
      </c>
      <c r="I17" s="560">
        <f>SUM(I18:I25)</f>
        <v>1276087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467156</v>
      </c>
    </row>
    <row r="18" spans="1:20" outlineLevel="1" x14ac:dyDescent="0.35">
      <c r="A18" s="556" t="s">
        <v>999</v>
      </c>
      <c r="C18" s="561"/>
      <c r="D18" s="561"/>
      <c r="E18" s="561"/>
      <c r="F18" s="561"/>
      <c r="G18" s="561">
        <v>223593</v>
      </c>
      <c r="H18" s="561">
        <v>467262</v>
      </c>
      <c r="I18" s="561">
        <v>713747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246485</v>
      </c>
    </row>
    <row r="19" spans="1:20" outlineLevel="1" x14ac:dyDescent="0.35">
      <c r="A19" s="556" t="s">
        <v>1000</v>
      </c>
      <c r="C19" s="561"/>
      <c r="D19" s="561"/>
      <c r="E19" s="561"/>
      <c r="F19" s="561"/>
      <c r="G19" s="561">
        <v>16792</v>
      </c>
      <c r="H19" s="561">
        <v>22052</v>
      </c>
      <c r="I19" s="561">
        <v>32952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10900</v>
      </c>
    </row>
    <row r="20" spans="1:20" outlineLevel="1" x14ac:dyDescent="0.35">
      <c r="A20" s="556" t="s">
        <v>1001</v>
      </c>
      <c r="C20" s="561"/>
      <c r="D20" s="561"/>
      <c r="E20" s="561"/>
      <c r="F20" s="561"/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/>
      <c r="D21" s="561"/>
      <c r="E21" s="561"/>
      <c r="F21" s="561"/>
      <c r="G21" s="561">
        <v>0</v>
      </c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0</v>
      </c>
    </row>
    <row r="22" spans="1:20" outlineLevel="1" x14ac:dyDescent="0.35">
      <c r="A22" s="556" t="s">
        <v>1003</v>
      </c>
      <c r="C22" s="561"/>
      <c r="D22" s="561"/>
      <c r="E22" s="561"/>
      <c r="F22" s="561"/>
      <c r="G22" s="561">
        <v>0</v>
      </c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0</v>
      </c>
    </row>
    <row r="23" spans="1:20" outlineLevel="1" x14ac:dyDescent="0.35">
      <c r="A23" s="556" t="s">
        <v>640</v>
      </c>
      <c r="C23" s="561"/>
      <c r="D23" s="561"/>
      <c r="E23" s="561"/>
      <c r="F23" s="561"/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/>
      <c r="D24" s="561"/>
      <c r="E24" s="561"/>
      <c r="F24" s="561"/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0</v>
      </c>
    </row>
    <row r="25" spans="1:20" outlineLevel="1" x14ac:dyDescent="0.35">
      <c r="A25" s="556" t="s">
        <v>254</v>
      </c>
      <c r="C25" s="561"/>
      <c r="D25" s="561"/>
      <c r="E25" s="561"/>
      <c r="F25" s="561"/>
      <c r="G25" s="561">
        <v>157767</v>
      </c>
      <c r="H25" s="561">
        <v>319617</v>
      </c>
      <c r="I25" s="561">
        <v>529388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209771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0</v>
      </c>
      <c r="D27" s="558">
        <f t="shared" si="6"/>
        <v>0</v>
      </c>
      <c r="E27" s="558">
        <f t="shared" si="6"/>
        <v>0</v>
      </c>
      <c r="F27" s="558">
        <f t="shared" si="6"/>
        <v>0</v>
      </c>
      <c r="G27" s="558">
        <f t="shared" si="6"/>
        <v>-854262</v>
      </c>
      <c r="H27" s="558">
        <f t="shared" si="6"/>
        <v>-1834721</v>
      </c>
      <c r="I27" s="558">
        <f>SUM(I29:I37)</f>
        <v>-2737450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-902729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/>
      <c r="D29" s="561"/>
      <c r="E29" s="561"/>
      <c r="F29" s="561"/>
      <c r="G29" s="561">
        <v>-328292</v>
      </c>
      <c r="H29" s="561">
        <v>-678082</v>
      </c>
      <c r="I29" s="561">
        <v>-1021070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-342988</v>
      </c>
    </row>
    <row r="30" spans="1:20" outlineLevel="1" x14ac:dyDescent="0.35">
      <c r="A30" s="556" t="s">
        <v>1007</v>
      </c>
      <c r="C30" s="561"/>
      <c r="D30" s="561"/>
      <c r="E30" s="561"/>
      <c r="F30" s="561"/>
      <c r="G30" s="561">
        <v>-177368</v>
      </c>
      <c r="H30" s="561">
        <v>-427024</v>
      </c>
      <c r="I30" s="561">
        <v>-632267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-205243</v>
      </c>
    </row>
    <row r="31" spans="1:20" outlineLevel="1" x14ac:dyDescent="0.35">
      <c r="A31" s="556" t="s">
        <v>1008</v>
      </c>
      <c r="C31" s="561"/>
      <c r="D31" s="561"/>
      <c r="E31" s="561"/>
      <c r="F31" s="561"/>
      <c r="G31" s="561">
        <v>0</v>
      </c>
      <c r="H31" s="561">
        <v>0</v>
      </c>
      <c r="I31" s="561">
        <v>0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0</v>
      </c>
    </row>
    <row r="32" spans="1:20" outlineLevel="1" x14ac:dyDescent="0.35">
      <c r="A32" s="556" t="s">
        <v>1009</v>
      </c>
      <c r="C32" s="561"/>
      <c r="D32" s="561"/>
      <c r="E32" s="561"/>
      <c r="F32" s="561"/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0</v>
      </c>
    </row>
    <row r="33" spans="1:20" outlineLevel="1" x14ac:dyDescent="0.35">
      <c r="A33" s="556" t="s">
        <v>1010</v>
      </c>
      <c r="C33" s="561"/>
      <c r="D33" s="561"/>
      <c r="E33" s="561"/>
      <c r="F33" s="561"/>
      <c r="G33" s="561">
        <v>-18098</v>
      </c>
      <c r="H33" s="561">
        <v>-36008</v>
      </c>
      <c r="I33" s="561">
        <v>-55550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-19542</v>
      </c>
    </row>
    <row r="34" spans="1:20" outlineLevel="1" x14ac:dyDescent="0.35">
      <c r="A34" s="556" t="s">
        <v>1011</v>
      </c>
      <c r="C34" s="561"/>
      <c r="D34" s="561"/>
      <c r="E34" s="561"/>
      <c r="F34" s="561"/>
      <c r="G34" s="561">
        <v>-2445</v>
      </c>
      <c r="H34" s="561">
        <v>-4889</v>
      </c>
      <c r="I34" s="561">
        <v>-7334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-2445</v>
      </c>
    </row>
    <row r="35" spans="1:20" outlineLevel="1" x14ac:dyDescent="0.35">
      <c r="A35" s="556" t="s">
        <v>1012</v>
      </c>
      <c r="C35" s="561"/>
      <c r="D35" s="561"/>
      <c r="E35" s="561"/>
      <c r="F35" s="561"/>
      <c r="G35" s="561">
        <v>-303127</v>
      </c>
      <c r="H35" s="561">
        <v>-639689</v>
      </c>
      <c r="I35" s="561">
        <v>-958838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-319149</v>
      </c>
    </row>
    <row r="36" spans="1:20" outlineLevel="1" x14ac:dyDescent="0.35">
      <c r="A36" s="556" t="s">
        <v>1013</v>
      </c>
      <c r="C36" s="561"/>
      <c r="D36" s="561"/>
      <c r="E36" s="561"/>
      <c r="F36" s="561"/>
      <c r="G36" s="561">
        <v>-1114</v>
      </c>
      <c r="H36" s="561">
        <v>-1207</v>
      </c>
      <c r="I36" s="561">
        <v>-1295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-88</v>
      </c>
    </row>
    <row r="37" spans="1:20" outlineLevel="1" x14ac:dyDescent="0.35">
      <c r="A37" s="556" t="s">
        <v>270</v>
      </c>
      <c r="C37" s="561"/>
      <c r="D37" s="561"/>
      <c r="E37" s="561"/>
      <c r="F37" s="561"/>
      <c r="G37" s="561">
        <v>-23818</v>
      </c>
      <c r="H37" s="561">
        <v>-47822</v>
      </c>
      <c r="I37" s="561">
        <v>-61096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-13274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0</v>
      </c>
      <c r="D39" s="558">
        <f t="shared" si="8"/>
        <v>0</v>
      </c>
      <c r="E39" s="558">
        <f t="shared" si="8"/>
        <v>0</v>
      </c>
      <c r="F39" s="558">
        <f t="shared" si="8"/>
        <v>0</v>
      </c>
      <c r="G39" s="558">
        <f t="shared" si="8"/>
        <v>2746684</v>
      </c>
      <c r="H39" s="558">
        <f t="shared" si="8"/>
        <v>4680873</v>
      </c>
      <c r="I39" s="558">
        <f>I27+I6</f>
        <v>6585093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1904220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0</v>
      </c>
      <c r="D41" s="562">
        <f t="shared" si="9"/>
        <v>0</v>
      </c>
      <c r="E41" s="562">
        <f t="shared" si="9"/>
        <v>0</v>
      </c>
      <c r="F41" s="562">
        <f t="shared" si="9"/>
        <v>0</v>
      </c>
      <c r="G41" s="562">
        <f t="shared" si="9"/>
        <v>-2323443</v>
      </c>
      <c r="H41" s="562">
        <f t="shared" si="9"/>
        <v>-3980887</v>
      </c>
      <c r="I41" s="562">
        <f>SUM(I43:I48)</f>
        <v>-5412761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-1431874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/>
      <c r="D43" s="560"/>
      <c r="E43" s="560"/>
      <c r="F43" s="560"/>
      <c r="G43" s="560">
        <v>-1106337</v>
      </c>
      <c r="H43" s="560">
        <v>-2083384</v>
      </c>
      <c r="I43" s="560">
        <v>-3120803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-1037419</v>
      </c>
    </row>
    <row r="44" spans="1:20" x14ac:dyDescent="0.35">
      <c r="A44" s="555" t="s">
        <v>1016</v>
      </c>
      <c r="C44" s="560"/>
      <c r="D44" s="560"/>
      <c r="E44" s="560"/>
      <c r="F44" s="560"/>
      <c r="G44" s="560">
        <v>-902134</v>
      </c>
      <c r="H44" s="560">
        <v>-1401597</v>
      </c>
      <c r="I44" s="560">
        <v>-1533674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-132077</v>
      </c>
    </row>
    <row r="45" spans="1:20" x14ac:dyDescent="0.35">
      <c r="A45" s="555" t="s">
        <v>312</v>
      </c>
      <c r="C45" s="560"/>
      <c r="D45" s="560"/>
      <c r="E45" s="560"/>
      <c r="F45" s="560"/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/>
      <c r="D46" s="560"/>
      <c r="E46" s="560"/>
      <c r="F46" s="560"/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/>
      <c r="D47" s="560"/>
      <c r="E47" s="560"/>
      <c r="F47" s="560"/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0</v>
      </c>
      <c r="D48" s="560">
        <f t="shared" si="11"/>
        <v>0</v>
      </c>
      <c r="E48" s="560">
        <f t="shared" si="11"/>
        <v>0</v>
      </c>
      <c r="F48" s="560">
        <f t="shared" si="11"/>
        <v>0</v>
      </c>
      <c r="G48" s="560">
        <f t="shared" si="11"/>
        <v>-314972</v>
      </c>
      <c r="H48" s="560">
        <f t="shared" si="11"/>
        <v>-495906</v>
      </c>
      <c r="I48" s="560">
        <f>SUM(I49:I55)</f>
        <v>-758284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-262378</v>
      </c>
    </row>
    <row r="49" spans="1:20" outlineLevel="1" x14ac:dyDescent="0.35">
      <c r="A49" s="556" t="s">
        <v>1019</v>
      </c>
      <c r="C49" s="561"/>
      <c r="D49" s="561"/>
      <c r="E49" s="561"/>
      <c r="F49" s="561"/>
      <c r="G49" s="561">
        <v>-14246</v>
      </c>
      <c r="H49" s="561">
        <v>-25326</v>
      </c>
      <c r="I49" s="561">
        <v>-36720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-11394</v>
      </c>
    </row>
    <row r="50" spans="1:20" outlineLevel="1" x14ac:dyDescent="0.35">
      <c r="A50" s="556" t="s">
        <v>1020</v>
      </c>
      <c r="C50" s="561"/>
      <c r="D50" s="561"/>
      <c r="E50" s="561"/>
      <c r="F50" s="561"/>
      <c r="G50" s="561">
        <v>-6349</v>
      </c>
      <c r="H50" s="561">
        <v>-4616</v>
      </c>
      <c r="I50" s="561">
        <v>-19374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-14758</v>
      </c>
    </row>
    <row r="51" spans="1:20" outlineLevel="1" x14ac:dyDescent="0.35">
      <c r="A51" s="556" t="s">
        <v>1021</v>
      </c>
      <c r="C51" s="561"/>
      <c r="D51" s="561"/>
      <c r="E51" s="561"/>
      <c r="F51" s="561"/>
      <c r="G51" s="561">
        <v>-189958</v>
      </c>
      <c r="H51" s="561">
        <v>-262535</v>
      </c>
      <c r="I51" s="561">
        <v>-364505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-101970</v>
      </c>
    </row>
    <row r="52" spans="1:20" outlineLevel="1" x14ac:dyDescent="0.35">
      <c r="A52" s="556" t="s">
        <v>1022</v>
      </c>
      <c r="C52" s="561"/>
      <c r="D52" s="561"/>
      <c r="E52" s="561"/>
      <c r="F52" s="561"/>
      <c r="G52" s="561">
        <v>-97488</v>
      </c>
      <c r="H52" s="561">
        <v>-200067</v>
      </c>
      <c r="I52" s="561">
        <v>-333070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-133003</v>
      </c>
    </row>
    <row r="53" spans="1:20" outlineLevel="1" x14ac:dyDescent="0.35">
      <c r="A53" s="556" t="s">
        <v>1023</v>
      </c>
      <c r="C53" s="561"/>
      <c r="D53" s="561"/>
      <c r="E53" s="561"/>
      <c r="F53" s="561"/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0</v>
      </c>
    </row>
    <row r="54" spans="1:20" outlineLevel="1" x14ac:dyDescent="0.35">
      <c r="A54" s="556" t="s">
        <v>1024</v>
      </c>
      <c r="C54" s="561"/>
      <c r="D54" s="561"/>
      <c r="E54" s="561"/>
      <c r="F54" s="561"/>
      <c r="G54" s="561">
        <v>-1232</v>
      </c>
      <c r="H54" s="561">
        <v>-1752</v>
      </c>
      <c r="I54" s="561">
        <v>-1767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-15</v>
      </c>
    </row>
    <row r="55" spans="1:20" outlineLevel="1" x14ac:dyDescent="0.35">
      <c r="A55" s="556" t="s">
        <v>1025</v>
      </c>
      <c r="C55" s="561"/>
      <c r="D55" s="561"/>
      <c r="E55" s="561"/>
      <c r="F55" s="561"/>
      <c r="G55" s="561">
        <v>-5699</v>
      </c>
      <c r="H55" s="561">
        <v>-1610</v>
      </c>
      <c r="I55" s="561">
        <v>-2848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-1238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0</v>
      </c>
      <c r="D57" s="558">
        <f t="shared" si="13"/>
        <v>0</v>
      </c>
      <c r="E57" s="558">
        <f t="shared" si="13"/>
        <v>0</v>
      </c>
      <c r="F57" s="558">
        <f t="shared" si="13"/>
        <v>0</v>
      </c>
      <c r="G57" s="558">
        <f t="shared" si="13"/>
        <v>423241</v>
      </c>
      <c r="H57" s="558">
        <f t="shared" si="13"/>
        <v>699986</v>
      </c>
      <c r="I57" s="558">
        <f>I39+I41</f>
        <v>1172332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472346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0</v>
      </c>
      <c r="D59" s="562">
        <f t="shared" si="14"/>
        <v>0</v>
      </c>
      <c r="E59" s="562">
        <f t="shared" si="14"/>
        <v>0</v>
      </c>
      <c r="F59" s="562">
        <f t="shared" si="14"/>
        <v>0</v>
      </c>
      <c r="G59" s="562">
        <f t="shared" si="14"/>
        <v>-176139</v>
      </c>
      <c r="H59" s="562">
        <f t="shared" si="14"/>
        <v>-573186</v>
      </c>
      <c r="I59" s="562">
        <f>I61+I67+I68+I77+I78</f>
        <v>-836318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-263132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0</v>
      </c>
      <c r="D61" s="560">
        <f t="shared" si="15"/>
        <v>0</v>
      </c>
      <c r="E61" s="560">
        <f t="shared" si="15"/>
        <v>0</v>
      </c>
      <c r="F61" s="560">
        <f t="shared" si="15"/>
        <v>0</v>
      </c>
      <c r="G61" s="560">
        <f t="shared" si="15"/>
        <v>-82909</v>
      </c>
      <c r="H61" s="560">
        <f t="shared" si="15"/>
        <v>-148961</v>
      </c>
      <c r="I61" s="560">
        <f>SUM(I62:I66)</f>
        <v>-216436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-67475</v>
      </c>
    </row>
    <row r="62" spans="1:20" outlineLevel="1" x14ac:dyDescent="0.35">
      <c r="A62" s="556" t="s">
        <v>1029</v>
      </c>
      <c r="C62" s="561"/>
      <c r="D62" s="561"/>
      <c r="E62" s="561"/>
      <c r="F62" s="561"/>
      <c r="G62" s="561">
        <v>-22469</v>
      </c>
      <c r="H62" s="561">
        <v>-25672</v>
      </c>
      <c r="I62" s="561">
        <v>-28727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-3055</v>
      </c>
    </row>
    <row r="63" spans="1:20" outlineLevel="1" x14ac:dyDescent="0.35">
      <c r="A63" s="556" t="s">
        <v>1030</v>
      </c>
      <c r="C63" s="561"/>
      <c r="D63" s="561"/>
      <c r="E63" s="561"/>
      <c r="F63" s="561"/>
      <c r="G63" s="561">
        <v>-119</v>
      </c>
      <c r="H63" s="561">
        <v>-655</v>
      </c>
      <c r="I63" s="561">
        <v>-3004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-2349</v>
      </c>
    </row>
    <row r="64" spans="1:20" outlineLevel="1" x14ac:dyDescent="0.35">
      <c r="A64" s="556" t="s">
        <v>1031</v>
      </c>
      <c r="C64" s="561"/>
      <c r="D64" s="561"/>
      <c r="E64" s="561"/>
      <c r="F64" s="561"/>
      <c r="G64" s="561">
        <v>-51820</v>
      </c>
      <c r="H64" s="561">
        <v>-121598</v>
      </c>
      <c r="I64" s="561">
        <v>-183109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-61511</v>
      </c>
    </row>
    <row r="65" spans="1:20" outlineLevel="1" x14ac:dyDescent="0.35">
      <c r="A65" s="556" t="s">
        <v>1032</v>
      </c>
      <c r="C65" s="561"/>
      <c r="D65" s="561"/>
      <c r="E65" s="561"/>
      <c r="F65" s="561"/>
      <c r="G65" s="561">
        <v>-162</v>
      </c>
      <c r="H65" s="561">
        <v>-162</v>
      </c>
      <c r="I65" s="561">
        <v>-164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-2</v>
      </c>
    </row>
    <row r="66" spans="1:20" outlineLevel="1" x14ac:dyDescent="0.35">
      <c r="A66" s="556" t="s">
        <v>1033</v>
      </c>
      <c r="C66" s="561"/>
      <c r="D66" s="561"/>
      <c r="E66" s="561"/>
      <c r="F66" s="561"/>
      <c r="G66" s="561">
        <v>-8339</v>
      </c>
      <c r="H66" s="561">
        <v>-874</v>
      </c>
      <c r="I66" s="561">
        <v>-1432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-558</v>
      </c>
    </row>
    <row r="67" spans="1:20" x14ac:dyDescent="0.35">
      <c r="A67" s="555" t="s">
        <v>1034</v>
      </c>
      <c r="C67" s="563"/>
      <c r="D67" s="563"/>
      <c r="E67" s="563"/>
      <c r="F67" s="563"/>
      <c r="G67" s="563">
        <v>-10312</v>
      </c>
      <c r="H67" s="563">
        <v>123506</v>
      </c>
      <c r="I67" s="563">
        <v>120212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-3294</v>
      </c>
    </row>
    <row r="68" spans="1:20" x14ac:dyDescent="0.35">
      <c r="A68" s="555" t="s">
        <v>1035</v>
      </c>
      <c r="C68" s="560">
        <f t="shared" ref="C68:H68" si="17">SUM(C69:C76)</f>
        <v>0</v>
      </c>
      <c r="D68" s="560">
        <f t="shared" si="17"/>
        <v>0</v>
      </c>
      <c r="E68" s="560">
        <f t="shared" si="17"/>
        <v>0</v>
      </c>
      <c r="F68" s="560">
        <f t="shared" si="17"/>
        <v>0</v>
      </c>
      <c r="G68" s="560">
        <f t="shared" si="17"/>
        <v>-130321</v>
      </c>
      <c r="H68" s="560">
        <f t="shared" si="17"/>
        <v>-515917</v>
      </c>
      <c r="I68" s="560">
        <f>SUM(I69:I76)</f>
        <v>-677310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-161393</v>
      </c>
    </row>
    <row r="69" spans="1:20" outlineLevel="1" x14ac:dyDescent="0.35">
      <c r="A69" s="556" t="s">
        <v>1036</v>
      </c>
      <c r="C69" s="561"/>
      <c r="D69" s="561"/>
      <c r="E69" s="561"/>
      <c r="F69" s="561"/>
      <c r="G69" s="561">
        <v>-33691</v>
      </c>
      <c r="H69" s="561">
        <v>-76179</v>
      </c>
      <c r="I69" s="561">
        <v>-98246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-22067</v>
      </c>
    </row>
    <row r="70" spans="1:20" outlineLevel="1" x14ac:dyDescent="0.35">
      <c r="A70" s="556" t="s">
        <v>1037</v>
      </c>
      <c r="C70" s="561"/>
      <c r="D70" s="561"/>
      <c r="E70" s="561"/>
      <c r="F70" s="561"/>
      <c r="G70" s="561">
        <v>-11003</v>
      </c>
      <c r="H70" s="561">
        <v>-3755</v>
      </c>
      <c r="I70" s="561">
        <v>-5988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-2233</v>
      </c>
    </row>
    <row r="71" spans="1:20" outlineLevel="1" x14ac:dyDescent="0.35">
      <c r="A71" s="556" t="s">
        <v>1038</v>
      </c>
      <c r="C71" s="561"/>
      <c r="D71" s="561"/>
      <c r="E71" s="561"/>
      <c r="F71" s="561"/>
      <c r="G71" s="561">
        <v>-31704</v>
      </c>
      <c r="H71" s="561">
        <v>-68793</v>
      </c>
      <c r="I71" s="561">
        <v>-134994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-66201</v>
      </c>
    </row>
    <row r="72" spans="1:20" outlineLevel="1" x14ac:dyDescent="0.35">
      <c r="A72" s="556" t="s">
        <v>1039</v>
      </c>
      <c r="C72" s="561"/>
      <c r="D72" s="561"/>
      <c r="E72" s="561"/>
      <c r="F72" s="561"/>
      <c r="G72" s="561">
        <v>3331</v>
      </c>
      <c r="H72" s="561">
        <v>1787</v>
      </c>
      <c r="I72" s="561">
        <v>2919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1132</v>
      </c>
    </row>
    <row r="73" spans="1:20" outlineLevel="1" x14ac:dyDescent="0.35">
      <c r="A73" s="556" t="s">
        <v>1040</v>
      </c>
      <c r="C73" s="561"/>
      <c r="D73" s="561"/>
      <c r="E73" s="561"/>
      <c r="F73" s="561"/>
      <c r="G73" s="561">
        <v>-17776</v>
      </c>
      <c r="H73" s="561">
        <v>-170479</v>
      </c>
      <c r="I73" s="561">
        <v>-202774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-32295</v>
      </c>
    </row>
    <row r="74" spans="1:20" outlineLevel="1" x14ac:dyDescent="0.35">
      <c r="A74" s="556" t="s">
        <v>1041</v>
      </c>
      <c r="C74" s="561"/>
      <c r="D74" s="561"/>
      <c r="E74" s="561"/>
      <c r="F74" s="561"/>
      <c r="G74" s="561">
        <v>-17938</v>
      </c>
      <c r="H74" s="561">
        <v>-183571</v>
      </c>
      <c r="I74" s="561">
        <v>-203037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-19466</v>
      </c>
    </row>
    <row r="75" spans="1:20" outlineLevel="1" x14ac:dyDescent="0.35">
      <c r="A75" s="556" t="s">
        <v>1042</v>
      </c>
      <c r="C75" s="561"/>
      <c r="D75" s="561"/>
      <c r="E75" s="561"/>
      <c r="F75" s="561"/>
      <c r="G75" s="561">
        <v>-21540</v>
      </c>
      <c r="H75" s="561">
        <v>-14927</v>
      </c>
      <c r="I75" s="561">
        <v>-35190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-20263</v>
      </c>
    </row>
    <row r="76" spans="1:20" outlineLevel="1" x14ac:dyDescent="0.35">
      <c r="A76" s="556" t="s">
        <v>1043</v>
      </c>
      <c r="C76" s="561"/>
      <c r="D76" s="561"/>
      <c r="E76" s="561"/>
      <c r="F76" s="561"/>
      <c r="G76" s="561">
        <v>0</v>
      </c>
      <c r="H76" s="561">
        <v>0</v>
      </c>
      <c r="I76" s="561">
        <v>0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0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0</v>
      </c>
    </row>
    <row r="78" spans="1:20" x14ac:dyDescent="0.35">
      <c r="A78" s="555" t="s">
        <v>1045</v>
      </c>
      <c r="C78" s="560">
        <f t="shared" ref="C78:H78" si="19">SUM(C79:C80)</f>
        <v>0</v>
      </c>
      <c r="D78" s="560">
        <f t="shared" si="19"/>
        <v>0</v>
      </c>
      <c r="E78" s="560">
        <f t="shared" si="19"/>
        <v>0</v>
      </c>
      <c r="F78" s="560">
        <f t="shared" si="19"/>
        <v>0</v>
      </c>
      <c r="G78" s="560">
        <f t="shared" si="19"/>
        <v>47403</v>
      </c>
      <c r="H78" s="560">
        <f t="shared" si="19"/>
        <v>-31814</v>
      </c>
      <c r="I78" s="560">
        <f>SUM(I79:I80)</f>
        <v>-62784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-30970</v>
      </c>
    </row>
    <row r="79" spans="1:20" outlineLevel="1" x14ac:dyDescent="0.35">
      <c r="A79" s="556" t="s">
        <v>1046</v>
      </c>
      <c r="C79" s="561"/>
      <c r="D79" s="561"/>
      <c r="E79" s="561"/>
      <c r="F79" s="561"/>
      <c r="G79" s="561">
        <v>-1067</v>
      </c>
      <c r="H79" s="561">
        <v>-21875</v>
      </c>
      <c r="I79" s="561">
        <v>-32563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-10688</v>
      </c>
    </row>
    <row r="80" spans="1:20" outlineLevel="1" x14ac:dyDescent="0.35">
      <c r="A80" s="556" t="s">
        <v>1047</v>
      </c>
      <c r="C80" s="561"/>
      <c r="D80" s="561"/>
      <c r="E80" s="561"/>
      <c r="F80" s="561"/>
      <c r="G80" s="561">
        <v>48470</v>
      </c>
      <c r="H80" s="561">
        <v>-9939</v>
      </c>
      <c r="I80" s="561">
        <v>-30221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-20282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0</v>
      </c>
      <c r="D82" s="558">
        <f t="shared" si="21"/>
        <v>0</v>
      </c>
      <c r="E82" s="558">
        <f t="shared" si="21"/>
        <v>0</v>
      </c>
      <c r="F82" s="558">
        <f t="shared" si="21"/>
        <v>0</v>
      </c>
      <c r="G82" s="558">
        <f t="shared" si="21"/>
        <v>366130</v>
      </c>
      <c r="H82" s="558">
        <f t="shared" si="21"/>
        <v>341794</v>
      </c>
      <c r="I82" s="558">
        <f>I84-I75-I52-I76</f>
        <v>704274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362480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0</v>
      </c>
      <c r="D84" s="558">
        <f t="shared" si="22"/>
        <v>0</v>
      </c>
      <c r="E84" s="558">
        <f t="shared" si="22"/>
        <v>0</v>
      </c>
      <c r="F84" s="558">
        <f t="shared" si="22"/>
        <v>0</v>
      </c>
      <c r="G84" s="558">
        <f t="shared" si="22"/>
        <v>247102</v>
      </c>
      <c r="H84" s="558">
        <f t="shared" si="22"/>
        <v>126800</v>
      </c>
      <c r="I84" s="558">
        <f>I57+I59</f>
        <v>336014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209214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0</v>
      </c>
      <c r="D86" s="558">
        <f t="shared" si="23"/>
        <v>0</v>
      </c>
      <c r="E86" s="558">
        <f t="shared" si="23"/>
        <v>0</v>
      </c>
      <c r="F86" s="558">
        <f t="shared" si="23"/>
        <v>0</v>
      </c>
      <c r="G86" s="558">
        <f t="shared" si="23"/>
        <v>-276987</v>
      </c>
      <c r="H86" s="558">
        <f t="shared" si="23"/>
        <v>-783699</v>
      </c>
      <c r="I86" s="558">
        <f>I88+I97</f>
        <v>-1111563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-327864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0</v>
      </c>
      <c r="D88" s="562">
        <f t="shared" si="24"/>
        <v>0</v>
      </c>
      <c r="E88" s="562">
        <f t="shared" si="24"/>
        <v>0</v>
      </c>
      <c r="F88" s="562">
        <f t="shared" si="24"/>
        <v>0</v>
      </c>
      <c r="G88" s="562">
        <f t="shared" si="24"/>
        <v>165582</v>
      </c>
      <c r="H88" s="562">
        <f t="shared" si="24"/>
        <v>278893</v>
      </c>
      <c r="I88" s="562">
        <f>SUM(I89:I96)</f>
        <v>337113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58220</v>
      </c>
    </row>
    <row r="89" spans="1:20" outlineLevel="1" x14ac:dyDescent="0.35">
      <c r="A89" s="556" t="s">
        <v>1049</v>
      </c>
      <c r="C89" s="561"/>
      <c r="D89" s="561"/>
      <c r="E89" s="561"/>
      <c r="F89" s="561"/>
      <c r="G89" s="561">
        <v>55417</v>
      </c>
      <c r="H89" s="561">
        <v>153735</v>
      </c>
      <c r="I89" s="561">
        <v>199304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45569</v>
      </c>
    </row>
    <row r="90" spans="1:20" outlineLevel="1" x14ac:dyDescent="0.35">
      <c r="A90" s="556" t="s">
        <v>1050</v>
      </c>
      <c r="C90" s="561"/>
      <c r="D90" s="561"/>
      <c r="E90" s="561"/>
      <c r="F90" s="561"/>
      <c r="G90" s="561">
        <v>-7554</v>
      </c>
      <c r="H90" s="561">
        <v>-13012</v>
      </c>
      <c r="I90" s="561">
        <v>-15805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-2793</v>
      </c>
    </row>
    <row r="91" spans="1:20" outlineLevel="1" x14ac:dyDescent="0.35">
      <c r="A91" s="556" t="s">
        <v>1051</v>
      </c>
      <c r="C91" s="561"/>
      <c r="D91" s="561"/>
      <c r="E91" s="561"/>
      <c r="F91" s="561"/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/>
      <c r="D92" s="561"/>
      <c r="E92" s="561"/>
      <c r="F92" s="561"/>
      <c r="G92" s="561">
        <v>15689</v>
      </c>
      <c r="H92" s="561">
        <v>34738</v>
      </c>
      <c r="I92" s="561">
        <v>49243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14505</v>
      </c>
    </row>
    <row r="93" spans="1:20" outlineLevel="1" x14ac:dyDescent="0.35">
      <c r="A93" s="556" t="s">
        <v>1053</v>
      </c>
      <c r="C93" s="561"/>
      <c r="D93" s="561"/>
      <c r="E93" s="561"/>
      <c r="F93" s="561"/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/>
      <c r="D94" s="561"/>
      <c r="E94" s="561"/>
      <c r="F94" s="561"/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/>
      <c r="D95" s="561"/>
      <c r="E95" s="561"/>
      <c r="F95" s="561"/>
      <c r="G95" s="561">
        <v>91350</v>
      </c>
      <c r="H95" s="561">
        <v>91350</v>
      </c>
      <c r="I95" s="561">
        <v>91350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0</v>
      </c>
    </row>
    <row r="96" spans="1:20" outlineLevel="1" x14ac:dyDescent="0.35">
      <c r="A96" s="556" t="s">
        <v>1056</v>
      </c>
      <c r="C96" s="561"/>
      <c r="D96" s="561"/>
      <c r="E96" s="561"/>
      <c r="F96" s="561"/>
      <c r="G96" s="561">
        <v>10680</v>
      </c>
      <c r="H96" s="561">
        <v>12082</v>
      </c>
      <c r="I96" s="561">
        <v>13021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939</v>
      </c>
    </row>
    <row r="97" spans="1:20" x14ac:dyDescent="0.35">
      <c r="A97" s="555" t="s">
        <v>279</v>
      </c>
      <c r="C97" s="560">
        <f t="shared" ref="C97:H97" si="26">SUM(C98:C106)</f>
        <v>0</v>
      </c>
      <c r="D97" s="560">
        <f t="shared" si="26"/>
        <v>0</v>
      </c>
      <c r="E97" s="560">
        <f t="shared" si="26"/>
        <v>0</v>
      </c>
      <c r="F97" s="560">
        <f t="shared" si="26"/>
        <v>0</v>
      </c>
      <c r="G97" s="560">
        <f t="shared" si="26"/>
        <v>-442569</v>
      </c>
      <c r="H97" s="560">
        <f t="shared" si="26"/>
        <v>-1062592</v>
      </c>
      <c r="I97" s="560">
        <f>SUM(I98:I106)</f>
        <v>-1448676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-386084</v>
      </c>
    </row>
    <row r="98" spans="1:20" outlineLevel="1" x14ac:dyDescent="0.35">
      <c r="A98" s="556" t="s">
        <v>1057</v>
      </c>
      <c r="C98" s="561"/>
      <c r="D98" s="561"/>
      <c r="E98" s="561"/>
      <c r="F98" s="561"/>
      <c r="G98" s="561">
        <v>-326063</v>
      </c>
      <c r="H98" s="561">
        <v>-628405</v>
      </c>
      <c r="I98" s="561">
        <v>-951006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-322601</v>
      </c>
    </row>
    <row r="99" spans="1:20" outlineLevel="1" x14ac:dyDescent="0.35">
      <c r="A99" s="556" t="s">
        <v>1058</v>
      </c>
      <c r="C99" s="561"/>
      <c r="D99" s="561"/>
      <c r="E99" s="561"/>
      <c r="F99" s="561"/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0</v>
      </c>
    </row>
    <row r="100" spans="1:20" outlineLevel="1" x14ac:dyDescent="0.35">
      <c r="A100" s="556" t="s">
        <v>1059</v>
      </c>
      <c r="C100" s="561"/>
      <c r="D100" s="561"/>
      <c r="E100" s="561"/>
      <c r="F100" s="561"/>
      <c r="G100" s="561">
        <v>-2213</v>
      </c>
      <c r="H100" s="561">
        <v>-13640</v>
      </c>
      <c r="I100" s="561">
        <v>-25533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-11893</v>
      </c>
    </row>
    <row r="101" spans="1:20" outlineLevel="1" x14ac:dyDescent="0.35">
      <c r="A101" s="556" t="s">
        <v>1060</v>
      </c>
      <c r="C101" s="561"/>
      <c r="D101" s="561"/>
      <c r="E101" s="561"/>
      <c r="F101" s="561"/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0</v>
      </c>
    </row>
    <row r="102" spans="1:20" outlineLevel="1" x14ac:dyDescent="0.35">
      <c r="A102" s="556" t="s">
        <v>1061</v>
      </c>
      <c r="C102" s="561"/>
      <c r="D102" s="561"/>
      <c r="E102" s="561"/>
      <c r="F102" s="561"/>
      <c r="G102" s="561">
        <v>-14453</v>
      </c>
      <c r="H102" s="561">
        <v>-39975</v>
      </c>
      <c r="I102" s="561">
        <v>-38509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1466</v>
      </c>
    </row>
    <row r="103" spans="1:20" outlineLevel="1" x14ac:dyDescent="0.35">
      <c r="A103" s="556" t="s">
        <v>1062</v>
      </c>
      <c r="C103" s="561"/>
      <c r="D103" s="561"/>
      <c r="E103" s="561"/>
      <c r="F103" s="561"/>
      <c r="G103" s="561">
        <v>-5304</v>
      </c>
      <c r="H103" s="561">
        <v>-2861</v>
      </c>
      <c r="I103" s="561">
        <v>-5303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-2442</v>
      </c>
    </row>
    <row r="104" spans="1:20" outlineLevel="1" x14ac:dyDescent="0.35">
      <c r="A104" s="556" t="s">
        <v>1063</v>
      </c>
      <c r="C104" s="561"/>
      <c r="D104" s="561"/>
      <c r="E104" s="561"/>
      <c r="F104" s="561"/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/>
      <c r="D105" s="561"/>
      <c r="E105" s="561"/>
      <c r="F105" s="561"/>
      <c r="G105" s="561">
        <v>-1764</v>
      </c>
      <c r="H105" s="561">
        <v>-3957</v>
      </c>
      <c r="I105" s="561">
        <v>-6035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-2078</v>
      </c>
    </row>
    <row r="106" spans="1:20" outlineLevel="1" x14ac:dyDescent="0.35">
      <c r="A106" s="556" t="s">
        <v>1065</v>
      </c>
      <c r="C106" s="561"/>
      <c r="D106" s="561"/>
      <c r="E106" s="561"/>
      <c r="F106" s="561"/>
      <c r="G106" s="561">
        <v>-92772</v>
      </c>
      <c r="H106" s="561">
        <v>-373754</v>
      </c>
      <c r="I106" s="561">
        <v>-422290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-48536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0</v>
      </c>
      <c r="D108" s="558">
        <f t="shared" si="28"/>
        <v>0</v>
      </c>
      <c r="E108" s="558">
        <f t="shared" si="28"/>
        <v>0</v>
      </c>
      <c r="F108" s="558">
        <f t="shared" si="28"/>
        <v>0</v>
      </c>
      <c r="G108" s="558">
        <f t="shared" si="28"/>
        <v>-29885</v>
      </c>
      <c r="H108" s="558">
        <f t="shared" si="28"/>
        <v>-656899</v>
      </c>
      <c r="I108" s="558">
        <f>I84+I86</f>
        <v>-775549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-118650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I110" si="29">SUM(C112:C115)</f>
        <v>0</v>
      </c>
      <c r="D110" s="562">
        <f t="shared" si="29"/>
        <v>0</v>
      </c>
      <c r="E110" s="562">
        <f t="shared" si="29"/>
        <v>0</v>
      </c>
      <c r="F110" s="562">
        <f t="shared" si="29"/>
        <v>0</v>
      </c>
      <c r="G110" s="562">
        <f t="shared" si="29"/>
        <v>-30239</v>
      </c>
      <c r="H110" s="562">
        <f t="shared" si="29"/>
        <v>174103</v>
      </c>
      <c r="I110" s="562">
        <f t="shared" si="29"/>
        <v>214057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39954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/>
      <c r="D112" s="563"/>
      <c r="E112" s="563"/>
      <c r="F112" s="563"/>
      <c r="G112" s="563">
        <v>-10934</v>
      </c>
      <c r="H112" s="563">
        <v>-5795</v>
      </c>
      <c r="I112" s="563">
        <v>-5795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0</v>
      </c>
    </row>
    <row r="113" spans="1:20" x14ac:dyDescent="0.35">
      <c r="A113" s="555" t="s">
        <v>282</v>
      </c>
      <c r="C113" s="563"/>
      <c r="D113" s="563"/>
      <c r="E113" s="563"/>
      <c r="F113" s="563"/>
      <c r="G113" s="563">
        <v>-30339</v>
      </c>
      <c r="H113" s="563">
        <v>-16098</v>
      </c>
      <c r="I113" s="563">
        <v>-16098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0</v>
      </c>
    </row>
    <row r="114" spans="1:20" x14ac:dyDescent="0.35">
      <c r="A114" s="555" t="s">
        <v>284</v>
      </c>
      <c r="C114" s="563"/>
      <c r="D114" s="563"/>
      <c r="E114" s="563"/>
      <c r="F114" s="563"/>
      <c r="G114" s="563">
        <v>0</v>
      </c>
      <c r="H114" s="563">
        <v>0</v>
      </c>
      <c r="I114" s="563">
        <v>0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0</v>
      </c>
    </row>
    <row r="115" spans="1:20" x14ac:dyDescent="0.35">
      <c r="A115" s="555" t="s">
        <v>1068</v>
      </c>
      <c r="C115" s="563"/>
      <c r="D115" s="563"/>
      <c r="E115" s="563"/>
      <c r="F115" s="563"/>
      <c r="G115" s="563">
        <v>11034</v>
      </c>
      <c r="H115" s="563">
        <v>195996</v>
      </c>
      <c r="I115" s="563">
        <v>235950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39954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I117" si="31">C108+C110</f>
        <v>0</v>
      </c>
      <c r="D117" s="564">
        <f t="shared" si="31"/>
        <v>0</v>
      </c>
      <c r="E117" s="564">
        <f t="shared" si="31"/>
        <v>0</v>
      </c>
      <c r="F117" s="564">
        <f t="shared" si="31"/>
        <v>0</v>
      </c>
      <c r="G117" s="564">
        <f t="shared" si="31"/>
        <v>-60124</v>
      </c>
      <c r="H117" s="564">
        <f t="shared" si="31"/>
        <v>-482796</v>
      </c>
      <c r="I117" s="564">
        <f t="shared" si="31"/>
        <v>-561492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-78696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/>
      <c r="D120" s="563"/>
      <c r="E120" s="563"/>
      <c r="F120" s="563"/>
      <c r="G120" s="563">
        <v>-482623</v>
      </c>
      <c r="H120" s="563">
        <v>-482623</v>
      </c>
      <c r="I120" s="563">
        <f>I117-I121</f>
        <v>-561289.62923469744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2">I120-H120</f>
        <v>-78666.629234697437</v>
      </c>
    </row>
    <row r="121" spans="1:20" x14ac:dyDescent="0.35">
      <c r="A121" s="555" t="s">
        <v>1072</v>
      </c>
      <c r="C121" s="563"/>
      <c r="D121" s="563"/>
      <c r="E121" s="563"/>
      <c r="F121" s="563"/>
      <c r="G121" s="563">
        <v>-173</v>
      </c>
      <c r="H121" s="563">
        <v>-173</v>
      </c>
      <c r="I121" s="563">
        <f>I117*I126</f>
        <v>-202.37076530251176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2"/>
        <v>-29.370765302511757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I123" si="33">SUM(C120:C121)</f>
        <v>0</v>
      </c>
      <c r="D123" s="564">
        <f t="shared" si="33"/>
        <v>0</v>
      </c>
      <c r="E123" s="564">
        <f t="shared" si="33"/>
        <v>0</v>
      </c>
      <c r="F123" s="564">
        <f t="shared" si="33"/>
        <v>0</v>
      </c>
      <c r="G123" s="564">
        <f t="shared" si="33"/>
        <v>-482796</v>
      </c>
      <c r="H123" s="564">
        <f t="shared" si="33"/>
        <v>-482796</v>
      </c>
      <c r="I123" s="564">
        <f t="shared" si="33"/>
        <v>-561492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-78695.999999999942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/>
      <c r="D125" s="571"/>
      <c r="E125" s="571"/>
      <c r="F125" s="571"/>
      <c r="G125" s="571">
        <v>0.99963958388489504</v>
      </c>
      <c r="H125" s="571">
        <v>0.99963958388489504</v>
      </c>
      <c r="I125" s="571">
        <v>0.99963958388489504</v>
      </c>
      <c r="T125" s="571">
        <f>I125</f>
        <v>0.99963958388489504</v>
      </c>
    </row>
    <row r="126" spans="1:20" s="570" customFormat="1" ht="10.5" x14ac:dyDescent="0.25">
      <c r="A126" s="569" t="s">
        <v>1087</v>
      </c>
      <c r="C126" s="571"/>
      <c r="D126" s="571"/>
      <c r="E126" s="571"/>
      <c r="F126" s="571"/>
      <c r="G126" s="571">
        <v>3.6041611510495564E-4</v>
      </c>
      <c r="H126" s="571">
        <v>3.6041611510495564E-4</v>
      </c>
      <c r="I126" s="571">
        <v>3.6041611510495564E-4</v>
      </c>
      <c r="T126" s="571">
        <f>I126</f>
        <v>3.6041611510495564E-4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4073-4FEA-4676-BDDA-76858445941B}">
  <sheetPr>
    <tabColor theme="9" tint="0.79998168889431442"/>
  </sheetPr>
  <dimension ref="A4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1094</v>
      </c>
      <c r="C4" s="565" t="s">
        <v>1079</v>
      </c>
      <c r="D4" s="565" t="s">
        <v>1078</v>
      </c>
      <c r="E4" s="565" t="s">
        <v>1077</v>
      </c>
      <c r="F4" s="565" t="s">
        <v>1077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476236</v>
      </c>
      <c r="D6" s="558">
        <f t="shared" si="0"/>
        <v>837584</v>
      </c>
      <c r="E6" s="558">
        <f t="shared" si="0"/>
        <v>1141314</v>
      </c>
      <c r="F6" s="558">
        <f t="shared" si="0"/>
        <v>1491686</v>
      </c>
      <c r="G6" s="558">
        <f t="shared" si="0"/>
        <v>356145</v>
      </c>
      <c r="H6" s="558">
        <f t="shared" si="0"/>
        <v>731997</v>
      </c>
      <c r="I6" s="558">
        <f t="shared" si="0"/>
        <v>1167886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435889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0</v>
      </c>
      <c r="D8" s="560">
        <f t="shared" si="2"/>
        <v>0</v>
      </c>
      <c r="E8" s="560">
        <f t="shared" si="2"/>
        <v>0</v>
      </c>
      <c r="F8" s="560">
        <f t="shared" si="2"/>
        <v>0</v>
      </c>
      <c r="G8" s="560">
        <f t="shared" si="2"/>
        <v>0</v>
      </c>
      <c r="H8" s="560">
        <f t="shared" si="2"/>
        <v>0</v>
      </c>
      <c r="I8" s="560">
        <f>SUM(I9:I10)</f>
        <v>0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0</v>
      </c>
    </row>
    <row r="9" spans="1:20" outlineLevel="1" x14ac:dyDescent="0.35">
      <c r="A9" s="556" t="s">
        <v>996</v>
      </c>
      <c r="C9" s="561">
        <v>0</v>
      </c>
      <c r="D9" s="561">
        <v>0</v>
      </c>
      <c r="E9" s="561">
        <v>0</v>
      </c>
      <c r="F9" s="561">
        <v>0</v>
      </c>
      <c r="G9" s="561">
        <v>0</v>
      </c>
      <c r="H9" s="561">
        <v>0</v>
      </c>
      <c r="I9" s="561">
        <v>0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0</v>
      </c>
    </row>
    <row r="10" spans="1:20" outlineLevel="1" x14ac:dyDescent="0.35">
      <c r="A10" s="556" t="s">
        <v>997</v>
      </c>
      <c r="C10" s="561">
        <v>0</v>
      </c>
      <c r="D10" s="561">
        <v>0</v>
      </c>
      <c r="E10" s="561">
        <v>0</v>
      </c>
      <c r="F10" s="561">
        <v>0</v>
      </c>
      <c r="G10" s="561">
        <v>0</v>
      </c>
      <c r="H10" s="561">
        <v>0</v>
      </c>
      <c r="I10" s="561">
        <v>0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0</v>
      </c>
    </row>
    <row r="11" spans="1:20" x14ac:dyDescent="0.35">
      <c r="A11" s="555" t="s">
        <v>248</v>
      </c>
      <c r="C11" s="560">
        <v>0</v>
      </c>
      <c r="D11" s="560">
        <v>0</v>
      </c>
      <c r="E11" s="560">
        <v>0</v>
      </c>
      <c r="F11" s="560">
        <v>0</v>
      </c>
      <c r="G11" s="560">
        <v>0</v>
      </c>
      <c r="H11" s="560">
        <v>0</v>
      </c>
      <c r="I11" s="560">
        <v>0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0</v>
      </c>
    </row>
    <row r="12" spans="1:20" x14ac:dyDescent="0.35">
      <c r="A12" s="555" t="s">
        <v>252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0</v>
      </c>
    </row>
    <row r="13" spans="1:20" x14ac:dyDescent="0.35">
      <c r="A13" s="555" t="s">
        <v>249</v>
      </c>
      <c r="C13" s="560">
        <v>107282</v>
      </c>
      <c r="D13" s="560">
        <v>107282</v>
      </c>
      <c r="E13" s="560">
        <v>107282</v>
      </c>
      <c r="F13" s="560">
        <v>107282</v>
      </c>
      <c r="G13" s="560">
        <v>1356</v>
      </c>
      <c r="H13" s="560">
        <v>8588</v>
      </c>
      <c r="I13" s="560">
        <v>69601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61013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>
        <v>15039</v>
      </c>
      <c r="D15" s="560">
        <v>43096</v>
      </c>
      <c r="E15" s="560">
        <v>64325</v>
      </c>
      <c r="F15" s="560">
        <v>93685</v>
      </c>
      <c r="G15" s="560">
        <v>25689</v>
      </c>
      <c r="H15" s="560">
        <v>50348</v>
      </c>
      <c r="I15" s="560">
        <v>98112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47764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0</v>
      </c>
    </row>
    <row r="17" spans="1:20" x14ac:dyDescent="0.35">
      <c r="A17" s="555" t="s">
        <v>254</v>
      </c>
      <c r="C17" s="560">
        <f t="shared" ref="C17:H17" si="4">SUM(C18:C25)</f>
        <v>353915</v>
      </c>
      <c r="D17" s="560">
        <f t="shared" si="4"/>
        <v>687206</v>
      </c>
      <c r="E17" s="560">
        <f t="shared" si="4"/>
        <v>969707</v>
      </c>
      <c r="F17" s="560">
        <f t="shared" si="4"/>
        <v>1290719</v>
      </c>
      <c r="G17" s="560">
        <f t="shared" si="4"/>
        <v>329100</v>
      </c>
      <c r="H17" s="560">
        <f t="shared" si="4"/>
        <v>673061</v>
      </c>
      <c r="I17" s="560">
        <f>SUM(I18:I25)</f>
        <v>1000173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327112</v>
      </c>
    </row>
    <row r="18" spans="1:20" outlineLevel="1" x14ac:dyDescent="0.35">
      <c r="A18" s="556" t="s">
        <v>999</v>
      </c>
      <c r="C18" s="561">
        <v>0</v>
      </c>
      <c r="D18" s="561">
        <v>0</v>
      </c>
      <c r="E18" s="561">
        <v>0</v>
      </c>
      <c r="F18" s="561">
        <v>0</v>
      </c>
      <c r="G18" s="561">
        <v>0</v>
      </c>
      <c r="H18" s="561">
        <v>0</v>
      </c>
      <c r="I18" s="561">
        <v>0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0</v>
      </c>
    </row>
    <row r="19" spans="1:20" outlineLevel="1" x14ac:dyDescent="0.35">
      <c r="A19" s="556" t="s">
        <v>1000</v>
      </c>
      <c r="C19" s="561">
        <v>0</v>
      </c>
      <c r="D19" s="561">
        <v>0</v>
      </c>
      <c r="E19" s="561">
        <v>0</v>
      </c>
      <c r="F19" s="561">
        <v>0</v>
      </c>
      <c r="G19" s="561">
        <v>0</v>
      </c>
      <c r="H19" s="561">
        <v>0</v>
      </c>
      <c r="I19" s="561">
        <v>0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0</v>
      </c>
    </row>
    <row r="20" spans="1:20" outlineLevel="1" x14ac:dyDescent="0.35">
      <c r="A20" s="556" t="s">
        <v>1001</v>
      </c>
      <c r="C20" s="561">
        <v>0</v>
      </c>
      <c r="D20" s="561">
        <v>14956</v>
      </c>
      <c r="E20" s="561">
        <v>14956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>
        <v>374522</v>
      </c>
      <c r="D21" s="561">
        <v>704044</v>
      </c>
      <c r="E21" s="561">
        <v>1049686</v>
      </c>
      <c r="F21" s="561">
        <v>1422140</v>
      </c>
      <c r="G21" s="561">
        <v>362644</v>
      </c>
      <c r="H21" s="561">
        <v>741662</v>
      </c>
      <c r="I21" s="561">
        <v>1102115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360453</v>
      </c>
    </row>
    <row r="22" spans="1:20" outlineLevel="1" x14ac:dyDescent="0.35">
      <c r="A22" s="556" t="s">
        <v>1003</v>
      </c>
      <c r="C22" s="561">
        <v>-34643</v>
      </c>
      <c r="D22" s="561">
        <v>-66508</v>
      </c>
      <c r="E22" s="561">
        <v>-98480</v>
      </c>
      <c r="F22" s="561">
        <v>-131548</v>
      </c>
      <c r="G22" s="561">
        <v>-33544</v>
      </c>
      <c r="H22" s="561">
        <v>-68604</v>
      </c>
      <c r="I22" s="561">
        <v>-101945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-33341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0</v>
      </c>
    </row>
    <row r="25" spans="1:20" outlineLevel="1" x14ac:dyDescent="0.35">
      <c r="A25" s="556" t="s">
        <v>254</v>
      </c>
      <c r="C25" s="561">
        <v>14036</v>
      </c>
      <c r="D25" s="561">
        <v>34714</v>
      </c>
      <c r="E25" s="561">
        <v>3545</v>
      </c>
      <c r="F25" s="561">
        <v>127</v>
      </c>
      <c r="G25" s="561">
        <v>0</v>
      </c>
      <c r="H25" s="561">
        <v>3</v>
      </c>
      <c r="I25" s="561">
        <v>3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0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-31645</v>
      </c>
      <c r="D27" s="558">
        <f t="shared" si="6"/>
        <v>-51403</v>
      </c>
      <c r="E27" s="558">
        <f t="shared" si="6"/>
        <v>-71018</v>
      </c>
      <c r="F27" s="558">
        <f t="shared" si="6"/>
        <v>-93002</v>
      </c>
      <c r="G27" s="558">
        <f t="shared" si="6"/>
        <v>-20527</v>
      </c>
      <c r="H27" s="558">
        <f t="shared" si="6"/>
        <v>-41671</v>
      </c>
      <c r="I27" s="558">
        <f>SUM(I29:I37)</f>
        <v>-67287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-25616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0</v>
      </c>
      <c r="D29" s="561">
        <v>-76</v>
      </c>
      <c r="E29" s="561">
        <v>-92</v>
      </c>
      <c r="F29" s="561">
        <v>-92</v>
      </c>
      <c r="G29" s="561">
        <v>0</v>
      </c>
      <c r="H29" s="561">
        <v>0</v>
      </c>
      <c r="I29" s="561">
        <v>0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0</v>
      </c>
    </row>
    <row r="30" spans="1:20" outlineLevel="1" x14ac:dyDescent="0.35">
      <c r="A30" s="556" t="s">
        <v>1007</v>
      </c>
      <c r="C30" s="561">
        <v>-18614</v>
      </c>
      <c r="D30" s="561">
        <v>-34541</v>
      </c>
      <c r="E30" s="561">
        <v>-50713</v>
      </c>
      <c r="F30" s="561">
        <v>-67750</v>
      </c>
      <c r="G30" s="561">
        <v>-16160</v>
      </c>
      <c r="H30" s="561">
        <v>-32306</v>
      </c>
      <c r="I30" s="561">
        <v>-48113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-15807</v>
      </c>
    </row>
    <row r="31" spans="1:20" outlineLevel="1" x14ac:dyDescent="0.35">
      <c r="A31" s="556" t="s">
        <v>1008</v>
      </c>
      <c r="C31" s="561">
        <v>-9573</v>
      </c>
      <c r="D31" s="561">
        <v>-9923</v>
      </c>
      <c r="E31" s="561">
        <v>-9259</v>
      </c>
      <c r="F31" s="561">
        <v>-9925</v>
      </c>
      <c r="G31" s="561">
        <v>-125</v>
      </c>
      <c r="H31" s="561">
        <v>-794</v>
      </c>
      <c r="I31" s="561">
        <v>-6438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-5644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0</v>
      </c>
    </row>
    <row r="33" spans="1:20" outlineLevel="1" x14ac:dyDescent="0.35">
      <c r="A33" s="556" t="s">
        <v>1010</v>
      </c>
      <c r="C33" s="561">
        <v>-2572</v>
      </c>
      <c r="D33" s="561">
        <v>-5090</v>
      </c>
      <c r="E33" s="561">
        <v>-7894</v>
      </c>
      <c r="F33" s="561">
        <v>-10741</v>
      </c>
      <c r="G33" s="561">
        <v>-2808</v>
      </c>
      <c r="H33" s="561">
        <v>-5703</v>
      </c>
      <c r="I33" s="561">
        <v>-8629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-2926</v>
      </c>
    </row>
    <row r="34" spans="1:20" outlineLevel="1" x14ac:dyDescent="0.35">
      <c r="A34" s="556" t="s">
        <v>1011</v>
      </c>
      <c r="C34" s="561">
        <v>-886</v>
      </c>
      <c r="D34" s="561">
        <v>-1773</v>
      </c>
      <c r="E34" s="561">
        <v>-3060</v>
      </c>
      <c r="F34" s="561">
        <v>-4494</v>
      </c>
      <c r="G34" s="561">
        <v>-1434</v>
      </c>
      <c r="H34" s="561">
        <v>-2868</v>
      </c>
      <c r="I34" s="561">
        <v>-4103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-1235</v>
      </c>
    </row>
    <row r="35" spans="1:20" outlineLevel="1" x14ac:dyDescent="0.35">
      <c r="A35" s="556" t="s">
        <v>1012</v>
      </c>
      <c r="C35" s="561">
        <v>0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0</v>
      </c>
    </row>
    <row r="36" spans="1:20" outlineLevel="1" x14ac:dyDescent="0.35">
      <c r="A36" s="556" t="s">
        <v>1013</v>
      </c>
      <c r="C36" s="561">
        <v>0</v>
      </c>
      <c r="D36" s="561">
        <v>0</v>
      </c>
      <c r="E36" s="561">
        <v>0</v>
      </c>
      <c r="F36" s="561">
        <v>0</v>
      </c>
      <c r="G36" s="561">
        <v>0</v>
      </c>
      <c r="H36" s="561">
        <v>0</v>
      </c>
      <c r="I36" s="561">
        <v>-4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-4</v>
      </c>
    </row>
    <row r="37" spans="1:20" outlineLevel="1" x14ac:dyDescent="0.35">
      <c r="A37" s="556" t="s">
        <v>270</v>
      </c>
      <c r="C37" s="561">
        <v>0</v>
      </c>
      <c r="D37" s="561">
        <v>0</v>
      </c>
      <c r="E37" s="561">
        <v>0</v>
      </c>
      <c r="F37" s="561">
        <v>0</v>
      </c>
      <c r="G37" s="561">
        <v>0</v>
      </c>
      <c r="H37" s="561">
        <v>0</v>
      </c>
      <c r="I37" s="561">
        <v>0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0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444591</v>
      </c>
      <c r="D39" s="558">
        <f t="shared" si="8"/>
        <v>786181</v>
      </c>
      <c r="E39" s="558">
        <f t="shared" si="8"/>
        <v>1070296</v>
      </c>
      <c r="F39" s="558">
        <f t="shared" si="8"/>
        <v>1398684</v>
      </c>
      <c r="G39" s="558">
        <f t="shared" si="8"/>
        <v>335618</v>
      </c>
      <c r="H39" s="558">
        <f t="shared" si="8"/>
        <v>690326</v>
      </c>
      <c r="I39" s="558">
        <f>I27+I6</f>
        <v>1100599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410273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-94816</v>
      </c>
      <c r="D41" s="562">
        <f t="shared" si="9"/>
        <v>-135883</v>
      </c>
      <c r="E41" s="562">
        <f t="shared" si="9"/>
        <v>-109387</v>
      </c>
      <c r="F41" s="562">
        <f t="shared" si="9"/>
        <v>-131356</v>
      </c>
      <c r="G41" s="562">
        <f t="shared" si="9"/>
        <v>-12649</v>
      </c>
      <c r="H41" s="562">
        <f t="shared" si="9"/>
        <v>-37844</v>
      </c>
      <c r="I41" s="562">
        <f>SUM(I43:I48)</f>
        <v>-109778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-71934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0</v>
      </c>
      <c r="D43" s="560">
        <v>0</v>
      </c>
      <c r="E43" s="560">
        <v>0</v>
      </c>
      <c r="F43" s="560">
        <v>0</v>
      </c>
      <c r="G43" s="560">
        <v>0</v>
      </c>
      <c r="H43" s="560">
        <v>0</v>
      </c>
      <c r="I43" s="560">
        <v>0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0</v>
      </c>
    </row>
    <row r="44" spans="1:20" x14ac:dyDescent="0.35">
      <c r="A44" s="555" t="s">
        <v>1016</v>
      </c>
      <c r="C44" s="560">
        <v>-5465</v>
      </c>
      <c r="D44" s="560">
        <v>-5465</v>
      </c>
      <c r="E44" s="560">
        <v>-5465</v>
      </c>
      <c r="F44" s="560">
        <v>-5465</v>
      </c>
      <c r="G44" s="560">
        <v>-904</v>
      </c>
      <c r="H44" s="560">
        <v>-5725</v>
      </c>
      <c r="I44" s="560">
        <v>-46316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-40591</v>
      </c>
    </row>
    <row r="45" spans="1:20" x14ac:dyDescent="0.35">
      <c r="A45" s="555" t="s">
        <v>312</v>
      </c>
      <c r="C45" s="560">
        <v>-87083</v>
      </c>
      <c r="D45" s="560">
        <v>-112430</v>
      </c>
      <c r="E45" s="560">
        <v>-70154</v>
      </c>
      <c r="F45" s="560">
        <v>-70154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>
        <v>8057</v>
      </c>
      <c r="D46" s="560">
        <v>10399</v>
      </c>
      <c r="E46" s="560">
        <v>6490</v>
      </c>
      <c r="F46" s="560">
        <v>6490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-10325</v>
      </c>
      <c r="D48" s="560">
        <f t="shared" si="11"/>
        <v>-28387</v>
      </c>
      <c r="E48" s="560">
        <f t="shared" si="11"/>
        <v>-40258</v>
      </c>
      <c r="F48" s="560">
        <f t="shared" si="11"/>
        <v>-62227</v>
      </c>
      <c r="G48" s="560">
        <f t="shared" si="11"/>
        <v>-11745</v>
      </c>
      <c r="H48" s="560">
        <f t="shared" si="11"/>
        <v>-32119</v>
      </c>
      <c r="I48" s="560">
        <f>SUM(I49:I55)</f>
        <v>-63462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-31343</v>
      </c>
    </row>
    <row r="49" spans="1:20" outlineLevel="1" x14ac:dyDescent="0.35">
      <c r="A49" s="556" t="s">
        <v>1019</v>
      </c>
      <c r="C49" s="561">
        <v>-6617</v>
      </c>
      <c r="D49" s="561">
        <v>-13434</v>
      </c>
      <c r="E49" s="561">
        <v>-16087</v>
      </c>
      <c r="F49" s="561">
        <v>-17725</v>
      </c>
      <c r="G49" s="561">
        <v>-1198</v>
      </c>
      <c r="H49" s="561">
        <v>-5743</v>
      </c>
      <c r="I49" s="561">
        <v>-13215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-7472</v>
      </c>
    </row>
    <row r="50" spans="1:20" outlineLevel="1" x14ac:dyDescent="0.35">
      <c r="A50" s="556" t="s">
        <v>1020</v>
      </c>
      <c r="C50" s="561">
        <v>-227</v>
      </c>
      <c r="D50" s="561">
        <v>-867</v>
      </c>
      <c r="E50" s="561">
        <v>-1218</v>
      </c>
      <c r="F50" s="561">
        <v>-1940</v>
      </c>
      <c r="G50" s="561">
        <v>-811</v>
      </c>
      <c r="H50" s="561">
        <v>-1522</v>
      </c>
      <c r="I50" s="561">
        <v>-1751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-229</v>
      </c>
    </row>
    <row r="51" spans="1:20" outlineLevel="1" x14ac:dyDescent="0.35">
      <c r="A51" s="556" t="s">
        <v>1021</v>
      </c>
      <c r="C51" s="561">
        <v>-2648</v>
      </c>
      <c r="D51" s="561">
        <v>-13716</v>
      </c>
      <c r="E51" s="561">
        <v>-22297</v>
      </c>
      <c r="F51" s="561">
        <v>-41113</v>
      </c>
      <c r="G51" s="561">
        <v>-9565</v>
      </c>
      <c r="H51" s="561">
        <v>-24541</v>
      </c>
      <c r="I51" s="561">
        <v>-48085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-23544</v>
      </c>
    </row>
    <row r="52" spans="1:20" outlineLevel="1" x14ac:dyDescent="0.35">
      <c r="A52" s="556" t="s">
        <v>1022</v>
      </c>
      <c r="C52" s="561">
        <v>-54</v>
      </c>
      <c r="D52" s="561">
        <v>-92</v>
      </c>
      <c r="E52" s="561">
        <v>-160</v>
      </c>
      <c r="F52" s="561">
        <v>-229</v>
      </c>
      <c r="G52" s="561">
        <v>-69</v>
      </c>
      <c r="H52" s="561">
        <v>-138</v>
      </c>
      <c r="I52" s="561">
        <v>-203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-65</v>
      </c>
    </row>
    <row r="53" spans="1:20" outlineLevel="1" x14ac:dyDescent="0.35">
      <c r="A53" s="556" t="s">
        <v>1023</v>
      </c>
      <c r="C53" s="561">
        <v>0</v>
      </c>
      <c r="D53" s="561">
        <v>0</v>
      </c>
      <c r="E53" s="561">
        <v>0</v>
      </c>
      <c r="F53" s="561">
        <v>0</v>
      </c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0</v>
      </c>
    </row>
    <row r="54" spans="1:20" outlineLevel="1" x14ac:dyDescent="0.35">
      <c r="A54" s="556" t="s">
        <v>1024</v>
      </c>
      <c r="C54" s="561">
        <v>-715</v>
      </c>
      <c r="D54" s="561">
        <v>-168</v>
      </c>
      <c r="E54" s="561">
        <v>-496</v>
      </c>
      <c r="F54" s="561">
        <v>-554</v>
      </c>
      <c r="G54" s="561">
        <v>-102</v>
      </c>
      <c r="H54" s="561">
        <v>-175</v>
      </c>
      <c r="I54" s="561">
        <v>-206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-31</v>
      </c>
    </row>
    <row r="55" spans="1:20" outlineLevel="1" x14ac:dyDescent="0.35">
      <c r="A55" s="556" t="s">
        <v>1025</v>
      </c>
      <c r="C55" s="561">
        <v>-64</v>
      </c>
      <c r="D55" s="561">
        <v>-110</v>
      </c>
      <c r="E55" s="561">
        <v>0</v>
      </c>
      <c r="F55" s="561">
        <v>-666</v>
      </c>
      <c r="G55" s="561">
        <v>0</v>
      </c>
      <c r="H55" s="561">
        <v>0</v>
      </c>
      <c r="I55" s="561">
        <v>-2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-2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349775</v>
      </c>
      <c r="D57" s="558">
        <f t="shared" si="13"/>
        <v>650298</v>
      </c>
      <c r="E57" s="558">
        <f t="shared" si="13"/>
        <v>960909</v>
      </c>
      <c r="F57" s="558">
        <f t="shared" si="13"/>
        <v>1267328</v>
      </c>
      <c r="G57" s="558">
        <f t="shared" si="13"/>
        <v>322969</v>
      </c>
      <c r="H57" s="558">
        <f t="shared" si="13"/>
        <v>652482</v>
      </c>
      <c r="I57" s="558">
        <f>I39+I41</f>
        <v>990821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338339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-1091</v>
      </c>
      <c r="D59" s="562">
        <f t="shared" si="14"/>
        <v>-3875</v>
      </c>
      <c r="E59" s="562">
        <f t="shared" si="14"/>
        <v>-10207</v>
      </c>
      <c r="F59" s="562">
        <f t="shared" si="14"/>
        <v>-10764</v>
      </c>
      <c r="G59" s="562">
        <f t="shared" si="14"/>
        <v>-1996</v>
      </c>
      <c r="H59" s="562">
        <f t="shared" si="14"/>
        <v>-3632</v>
      </c>
      <c r="I59" s="562">
        <f>I61+I67+I68+I77+I78</f>
        <v>-10442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-6810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0</v>
      </c>
      <c r="D61" s="560">
        <f t="shared" si="15"/>
        <v>0</v>
      </c>
      <c r="E61" s="560">
        <f t="shared" si="15"/>
        <v>0</v>
      </c>
      <c r="F61" s="560">
        <f t="shared" si="15"/>
        <v>0</v>
      </c>
      <c r="G61" s="560">
        <f t="shared" si="15"/>
        <v>0</v>
      </c>
      <c r="H61" s="560">
        <f t="shared" si="15"/>
        <v>0</v>
      </c>
      <c r="I61" s="560">
        <f>SUM(I62:I66)</f>
        <v>0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0</v>
      </c>
    </row>
    <row r="62" spans="1:20" outlineLevel="1" x14ac:dyDescent="0.35">
      <c r="A62" s="556" t="s">
        <v>1029</v>
      </c>
      <c r="C62" s="561">
        <v>0</v>
      </c>
      <c r="D62" s="561">
        <v>0</v>
      </c>
      <c r="E62" s="561">
        <v>0</v>
      </c>
      <c r="F62" s="561">
        <v>0</v>
      </c>
      <c r="G62" s="561">
        <v>0</v>
      </c>
      <c r="H62" s="561">
        <v>0</v>
      </c>
      <c r="I62" s="561">
        <v>0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0</v>
      </c>
    </row>
    <row r="63" spans="1:20" outlineLevel="1" x14ac:dyDescent="0.35">
      <c r="A63" s="556" t="s">
        <v>1030</v>
      </c>
      <c r="C63" s="561">
        <v>0</v>
      </c>
      <c r="D63" s="561">
        <v>0</v>
      </c>
      <c r="E63" s="561">
        <v>0</v>
      </c>
      <c r="F63" s="561">
        <v>0</v>
      </c>
      <c r="G63" s="561">
        <v>0</v>
      </c>
      <c r="H63" s="561">
        <v>0</v>
      </c>
      <c r="I63" s="561">
        <v>0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0</v>
      </c>
    </row>
    <row r="64" spans="1:20" outlineLevel="1" x14ac:dyDescent="0.35">
      <c r="A64" s="556" t="s">
        <v>1031</v>
      </c>
      <c r="C64" s="561">
        <v>0</v>
      </c>
      <c r="D64" s="561">
        <v>0</v>
      </c>
      <c r="E64" s="561">
        <v>0</v>
      </c>
      <c r="F64" s="561">
        <v>0</v>
      </c>
      <c r="G64" s="561">
        <v>0</v>
      </c>
      <c r="H64" s="561">
        <v>0</v>
      </c>
      <c r="I64" s="561">
        <v>0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0</v>
      </c>
    </row>
    <row r="65" spans="1:20" outlineLevel="1" x14ac:dyDescent="0.35">
      <c r="A65" s="556" t="s">
        <v>1032</v>
      </c>
      <c r="C65" s="561">
        <v>0</v>
      </c>
      <c r="D65" s="561">
        <v>0</v>
      </c>
      <c r="E65" s="561">
        <v>0</v>
      </c>
      <c r="F65" s="561">
        <v>0</v>
      </c>
      <c r="G65" s="561">
        <v>0</v>
      </c>
      <c r="H65" s="561">
        <v>0</v>
      </c>
      <c r="I65" s="561">
        <v>0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0</v>
      </c>
    </row>
    <row r="66" spans="1:20" outlineLevel="1" x14ac:dyDescent="0.35">
      <c r="A66" s="556" t="s">
        <v>1033</v>
      </c>
      <c r="C66" s="561">
        <v>0</v>
      </c>
      <c r="D66" s="561">
        <v>0</v>
      </c>
      <c r="E66" s="561">
        <v>0</v>
      </c>
      <c r="F66" s="561">
        <v>0</v>
      </c>
      <c r="G66" s="561">
        <v>0</v>
      </c>
      <c r="H66" s="561">
        <v>0</v>
      </c>
      <c r="I66" s="561">
        <v>0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0</v>
      </c>
    </row>
    <row r="67" spans="1:20" x14ac:dyDescent="0.35">
      <c r="A67" s="555" t="s">
        <v>1034</v>
      </c>
      <c r="C67" s="563">
        <v>0</v>
      </c>
      <c r="D67" s="563">
        <v>0</v>
      </c>
      <c r="E67" s="563">
        <v>0</v>
      </c>
      <c r="F67" s="563">
        <v>0</v>
      </c>
      <c r="G67" s="563">
        <v>0</v>
      </c>
      <c r="H67" s="563">
        <v>0</v>
      </c>
      <c r="I67" s="563">
        <v>0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0</v>
      </c>
    </row>
    <row r="68" spans="1:20" x14ac:dyDescent="0.35">
      <c r="A68" s="555" t="s">
        <v>1035</v>
      </c>
      <c r="C68" s="560">
        <f t="shared" ref="C68:H68" si="17">SUM(C69:C76)</f>
        <v>-1091</v>
      </c>
      <c r="D68" s="560">
        <f t="shared" si="17"/>
        <v>-3875</v>
      </c>
      <c r="E68" s="560">
        <f t="shared" si="17"/>
        <v>-11583</v>
      </c>
      <c r="F68" s="560">
        <f t="shared" si="17"/>
        <v>-11714</v>
      </c>
      <c r="G68" s="560">
        <f t="shared" si="17"/>
        <v>-1980</v>
      </c>
      <c r="H68" s="560">
        <f t="shared" si="17"/>
        <v>-3590</v>
      </c>
      <c r="I68" s="560">
        <f>SUM(I69:I76)</f>
        <v>-10127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-6537</v>
      </c>
    </row>
    <row r="69" spans="1:20" outlineLevel="1" x14ac:dyDescent="0.35">
      <c r="A69" s="556" t="s">
        <v>1036</v>
      </c>
      <c r="C69" s="561">
        <v>0</v>
      </c>
      <c r="D69" s="561">
        <v>0</v>
      </c>
      <c r="E69" s="561">
        <v>-4371</v>
      </c>
      <c r="F69" s="561">
        <v>-4415</v>
      </c>
      <c r="G69" s="561">
        <v>-108</v>
      </c>
      <c r="H69" s="561">
        <v>-148</v>
      </c>
      <c r="I69" s="561">
        <v>-5740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-5592</v>
      </c>
    </row>
    <row r="70" spans="1:20" outlineLevel="1" x14ac:dyDescent="0.35">
      <c r="A70" s="556" t="s">
        <v>1037</v>
      </c>
      <c r="C70" s="561">
        <v>-68</v>
      </c>
      <c r="D70" s="561">
        <v>-67</v>
      </c>
      <c r="E70" s="561">
        <v>-3</v>
      </c>
      <c r="F70" s="561">
        <v>-4</v>
      </c>
      <c r="G70" s="561">
        <v>-121</v>
      </c>
      <c r="H70" s="561">
        <v>0</v>
      </c>
      <c r="I70" s="561">
        <v>-18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-18</v>
      </c>
    </row>
    <row r="71" spans="1:20" outlineLevel="1" x14ac:dyDescent="0.35">
      <c r="A71" s="556" t="s">
        <v>1038</v>
      </c>
      <c r="C71" s="561">
        <v>-718</v>
      </c>
      <c r="D71" s="561">
        <v>-3065</v>
      </c>
      <c r="E71" s="561">
        <v>-6104</v>
      </c>
      <c r="F71" s="561">
        <v>-6796</v>
      </c>
      <c r="G71" s="561">
        <v>-1495</v>
      </c>
      <c r="H71" s="561">
        <v>-2869</v>
      </c>
      <c r="I71" s="561">
        <v>-4239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-1370</v>
      </c>
    </row>
    <row r="72" spans="1:20" outlineLevel="1" x14ac:dyDescent="0.35">
      <c r="A72" s="556" t="s">
        <v>1039</v>
      </c>
      <c r="C72" s="561">
        <v>-121</v>
      </c>
      <c r="D72" s="561">
        <v>-278</v>
      </c>
      <c r="E72" s="561">
        <v>-25</v>
      </c>
      <c r="F72" s="561">
        <v>-30</v>
      </c>
      <c r="G72" s="561">
        <v>-3</v>
      </c>
      <c r="H72" s="561">
        <v>0</v>
      </c>
      <c r="I72" s="561">
        <v>-33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-33</v>
      </c>
    </row>
    <row r="73" spans="1:20" outlineLevel="1" x14ac:dyDescent="0.35">
      <c r="A73" s="556" t="s">
        <v>1040</v>
      </c>
      <c r="C73" s="561">
        <v>-184</v>
      </c>
      <c r="D73" s="561">
        <v>-465</v>
      </c>
      <c r="E73" s="561">
        <v>-1080</v>
      </c>
      <c r="F73" s="561">
        <v>-469</v>
      </c>
      <c r="G73" s="561">
        <v>-253</v>
      </c>
      <c r="H73" s="561">
        <v>-573</v>
      </c>
      <c r="I73" s="561">
        <v>-97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476</v>
      </c>
    </row>
    <row r="74" spans="1:20" outlineLevel="1" x14ac:dyDescent="0.35">
      <c r="A74" s="556" t="s">
        <v>1041</v>
      </c>
      <c r="C74" s="561">
        <v>0</v>
      </c>
      <c r="D74" s="561">
        <v>0</v>
      </c>
      <c r="E74" s="561">
        <v>0</v>
      </c>
      <c r="F74" s="561">
        <v>0</v>
      </c>
      <c r="G74" s="561">
        <v>0</v>
      </c>
      <c r="H74" s="561">
        <v>0</v>
      </c>
      <c r="I74" s="561">
        <v>0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0</v>
      </c>
    </row>
    <row r="75" spans="1:20" outlineLevel="1" x14ac:dyDescent="0.35">
      <c r="A75" s="556" t="s">
        <v>1042</v>
      </c>
      <c r="C75" s="561">
        <v>0</v>
      </c>
      <c r="D75" s="561">
        <v>0</v>
      </c>
      <c r="E75" s="561">
        <v>0</v>
      </c>
      <c r="F75" s="561">
        <v>0</v>
      </c>
      <c r="G75" s="561">
        <v>0</v>
      </c>
      <c r="H75" s="561">
        <v>0</v>
      </c>
      <c r="I75" s="561">
        <v>0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0</v>
      </c>
    </row>
    <row r="76" spans="1:20" outlineLevel="1" x14ac:dyDescent="0.35">
      <c r="A76" s="556" t="s">
        <v>1043</v>
      </c>
      <c r="C76" s="561">
        <v>0</v>
      </c>
      <c r="D76" s="561">
        <v>0</v>
      </c>
      <c r="E76" s="561">
        <v>0</v>
      </c>
      <c r="F76" s="561">
        <v>0</v>
      </c>
      <c r="G76" s="561">
        <v>0</v>
      </c>
      <c r="H76" s="561">
        <v>0</v>
      </c>
      <c r="I76" s="561">
        <v>0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0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0</v>
      </c>
    </row>
    <row r="78" spans="1:20" x14ac:dyDescent="0.35">
      <c r="A78" s="555" t="s">
        <v>1045</v>
      </c>
      <c r="C78" s="560">
        <f t="shared" ref="C78:H78" si="19">SUM(C79:C80)</f>
        <v>0</v>
      </c>
      <c r="D78" s="560">
        <f t="shared" si="19"/>
        <v>0</v>
      </c>
      <c r="E78" s="560">
        <f t="shared" si="19"/>
        <v>1376</v>
      </c>
      <c r="F78" s="560">
        <f t="shared" si="19"/>
        <v>950</v>
      </c>
      <c r="G78" s="560">
        <f t="shared" si="19"/>
        <v>-16</v>
      </c>
      <c r="H78" s="560">
        <f t="shared" si="19"/>
        <v>-42</v>
      </c>
      <c r="I78" s="560">
        <f>SUM(I79:I80)</f>
        <v>-315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-273</v>
      </c>
    </row>
    <row r="79" spans="1:20" outlineLevel="1" x14ac:dyDescent="0.35">
      <c r="A79" s="556" t="s">
        <v>1046</v>
      </c>
      <c r="C79" s="561">
        <v>0</v>
      </c>
      <c r="D79" s="561">
        <v>0</v>
      </c>
      <c r="E79" s="561">
        <v>1376</v>
      </c>
      <c r="F79" s="561">
        <v>950</v>
      </c>
      <c r="G79" s="561">
        <v>-16</v>
      </c>
      <c r="H79" s="561">
        <v>-42</v>
      </c>
      <c r="I79" s="561">
        <v>-315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-273</v>
      </c>
    </row>
    <row r="80" spans="1:20" outlineLevel="1" x14ac:dyDescent="0.35">
      <c r="A80" s="556" t="s">
        <v>1047</v>
      </c>
      <c r="C80" s="561">
        <v>0</v>
      </c>
      <c r="D80" s="561">
        <v>0</v>
      </c>
      <c r="E80" s="561">
        <v>0</v>
      </c>
      <c r="F80" s="561">
        <v>0</v>
      </c>
      <c r="G80" s="561">
        <v>0</v>
      </c>
      <c r="H80" s="561">
        <v>0</v>
      </c>
      <c r="I80" s="561">
        <v>0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0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348738</v>
      </c>
      <c r="D82" s="558">
        <f t="shared" si="21"/>
        <v>646515</v>
      </c>
      <c r="E82" s="558">
        <f t="shared" si="21"/>
        <v>950862</v>
      </c>
      <c r="F82" s="558">
        <f t="shared" si="21"/>
        <v>1256793</v>
      </c>
      <c r="G82" s="558">
        <f t="shared" si="21"/>
        <v>321042</v>
      </c>
      <c r="H82" s="558">
        <f t="shared" si="21"/>
        <v>648988</v>
      </c>
      <c r="I82" s="558">
        <f>I84-I75-I52-I76</f>
        <v>980582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331594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348684</v>
      </c>
      <c r="D84" s="558">
        <f t="shared" si="22"/>
        <v>646423</v>
      </c>
      <c r="E84" s="558">
        <f t="shared" si="22"/>
        <v>950702</v>
      </c>
      <c r="F84" s="558">
        <f t="shared" si="22"/>
        <v>1256564</v>
      </c>
      <c r="G84" s="558">
        <f t="shared" si="22"/>
        <v>320973</v>
      </c>
      <c r="H84" s="558">
        <f t="shared" si="22"/>
        <v>648850</v>
      </c>
      <c r="I84" s="558">
        <f>I57+I59</f>
        <v>980379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331529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-138804</v>
      </c>
      <c r="D86" s="558">
        <f t="shared" si="23"/>
        <v>-327013</v>
      </c>
      <c r="E86" s="558">
        <f t="shared" si="23"/>
        <v>-342257</v>
      </c>
      <c r="F86" s="558">
        <f t="shared" si="23"/>
        <v>-397923</v>
      </c>
      <c r="G86" s="558">
        <f t="shared" si="23"/>
        <v>-117459</v>
      </c>
      <c r="H86" s="558">
        <f t="shared" si="23"/>
        <v>-219396</v>
      </c>
      <c r="I86" s="558">
        <f>I88+I97</f>
        <v>-264255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-44859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11726</v>
      </c>
      <c r="D88" s="562">
        <f t="shared" si="24"/>
        <v>30227</v>
      </c>
      <c r="E88" s="562">
        <f t="shared" si="24"/>
        <v>56201</v>
      </c>
      <c r="F88" s="562">
        <f t="shared" si="24"/>
        <v>80109</v>
      </c>
      <c r="G88" s="562">
        <f t="shared" si="24"/>
        <v>22867</v>
      </c>
      <c r="H88" s="562">
        <f t="shared" si="24"/>
        <v>54488</v>
      </c>
      <c r="I88" s="562">
        <f>SUM(I89:I96)</f>
        <v>78316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23828</v>
      </c>
    </row>
    <row r="89" spans="1:20" outlineLevel="1" x14ac:dyDescent="0.35">
      <c r="A89" s="556" t="s">
        <v>1049</v>
      </c>
      <c r="C89" s="561">
        <v>12297</v>
      </c>
      <c r="D89" s="561">
        <v>31662</v>
      </c>
      <c r="E89" s="561">
        <v>58904</v>
      </c>
      <c r="F89" s="561">
        <v>83945</v>
      </c>
      <c r="G89" s="561">
        <v>23977</v>
      </c>
      <c r="H89" s="561">
        <v>57135</v>
      </c>
      <c r="I89" s="561">
        <v>82116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24981</v>
      </c>
    </row>
    <row r="90" spans="1:20" outlineLevel="1" x14ac:dyDescent="0.35">
      <c r="A90" s="556" t="s">
        <v>1050</v>
      </c>
      <c r="C90" s="561">
        <v>-572</v>
      </c>
      <c r="D90" s="561">
        <v>-1473</v>
      </c>
      <c r="E90" s="561">
        <v>-2741</v>
      </c>
      <c r="F90" s="561">
        <v>-3906</v>
      </c>
      <c r="G90" s="561">
        <v>-1116</v>
      </c>
      <c r="H90" s="561">
        <v>-2657</v>
      </c>
      <c r="I90" s="561">
        <v>-3818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-1161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>
        <v>0</v>
      </c>
      <c r="D92" s="561">
        <v>0</v>
      </c>
      <c r="E92" s="561">
        <v>0</v>
      </c>
      <c r="F92" s="561">
        <v>0</v>
      </c>
      <c r="G92" s="561">
        <v>0</v>
      </c>
      <c r="H92" s="561">
        <v>0</v>
      </c>
      <c r="I92" s="561">
        <v>0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0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>
        <v>1</v>
      </c>
      <c r="D95" s="561">
        <v>38</v>
      </c>
      <c r="E95" s="561">
        <v>38</v>
      </c>
      <c r="F95" s="561">
        <v>0</v>
      </c>
      <c r="G95" s="561">
        <v>0</v>
      </c>
      <c r="H95" s="561">
        <v>0</v>
      </c>
      <c r="I95" s="561">
        <v>0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0</v>
      </c>
    </row>
    <row r="96" spans="1:20" outlineLevel="1" x14ac:dyDescent="0.35">
      <c r="A96" s="556" t="s">
        <v>1056</v>
      </c>
      <c r="C96" s="561">
        <v>0</v>
      </c>
      <c r="D96" s="561">
        <v>0</v>
      </c>
      <c r="E96" s="561">
        <v>0</v>
      </c>
      <c r="F96" s="561">
        <v>70</v>
      </c>
      <c r="G96" s="561">
        <v>6</v>
      </c>
      <c r="H96" s="561">
        <v>10</v>
      </c>
      <c r="I96" s="561">
        <v>18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8</v>
      </c>
    </row>
    <row r="97" spans="1:20" x14ac:dyDescent="0.35">
      <c r="A97" s="555" t="s">
        <v>279</v>
      </c>
      <c r="C97" s="560">
        <f t="shared" ref="C97:H97" si="26">SUM(C98:C106)</f>
        <v>-150530</v>
      </c>
      <c r="D97" s="560">
        <f t="shared" si="26"/>
        <v>-357240</v>
      </c>
      <c r="E97" s="560">
        <f t="shared" si="26"/>
        <v>-398458</v>
      </c>
      <c r="F97" s="560">
        <f t="shared" si="26"/>
        <v>-478032</v>
      </c>
      <c r="G97" s="560">
        <f t="shared" si="26"/>
        <v>-140326</v>
      </c>
      <c r="H97" s="560">
        <f t="shared" si="26"/>
        <v>-273884</v>
      </c>
      <c r="I97" s="560">
        <f>SUM(I98:I106)</f>
        <v>-342571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-68687</v>
      </c>
    </row>
    <row r="98" spans="1:20" outlineLevel="1" x14ac:dyDescent="0.35">
      <c r="A98" s="556" t="s">
        <v>1057</v>
      </c>
      <c r="C98" s="561">
        <v>-102669</v>
      </c>
      <c r="D98" s="561">
        <v>-234669</v>
      </c>
      <c r="E98" s="561">
        <v>-278031</v>
      </c>
      <c r="F98" s="561">
        <v>-313406</v>
      </c>
      <c r="G98" s="561">
        <v>-80599</v>
      </c>
      <c r="H98" s="561">
        <v>-160415</v>
      </c>
      <c r="I98" s="561">
        <v>-208347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-47932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0</v>
      </c>
    </row>
    <row r="100" spans="1:20" outlineLevel="1" x14ac:dyDescent="0.35">
      <c r="A100" s="556" t="s">
        <v>1059</v>
      </c>
      <c r="C100" s="561">
        <v>-43883</v>
      </c>
      <c r="D100" s="561">
        <v>-114613</v>
      </c>
      <c r="E100" s="561">
        <v>-108662</v>
      </c>
      <c r="F100" s="561">
        <v>-136674</v>
      </c>
      <c r="G100" s="561">
        <v>-47100</v>
      </c>
      <c r="H100" s="561">
        <v>-85995</v>
      </c>
      <c r="I100" s="561">
        <v>-93834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-7839</v>
      </c>
    </row>
    <row r="101" spans="1:20" outlineLevel="1" x14ac:dyDescent="0.35">
      <c r="A101" s="556" t="s">
        <v>1060</v>
      </c>
      <c r="C101" s="561">
        <v>0</v>
      </c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0</v>
      </c>
    </row>
    <row r="102" spans="1:20" outlineLevel="1" x14ac:dyDescent="0.35">
      <c r="A102" s="556" t="s">
        <v>1061</v>
      </c>
      <c r="C102" s="561">
        <v>0</v>
      </c>
      <c r="D102" s="561">
        <v>0</v>
      </c>
      <c r="E102" s="561">
        <v>0</v>
      </c>
      <c r="F102" s="561">
        <v>0</v>
      </c>
      <c r="G102" s="561">
        <v>0</v>
      </c>
      <c r="H102" s="561">
        <v>0</v>
      </c>
      <c r="I102" s="561">
        <v>0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0</v>
      </c>
    </row>
    <row r="103" spans="1:20" outlineLevel="1" x14ac:dyDescent="0.35">
      <c r="A103" s="556" t="s">
        <v>1062</v>
      </c>
      <c r="C103" s="561">
        <v>-7</v>
      </c>
      <c r="D103" s="561">
        <v>-8</v>
      </c>
      <c r="E103" s="561">
        <v>-27</v>
      </c>
      <c r="F103" s="561">
        <v>-31</v>
      </c>
      <c r="G103" s="561">
        <v>-3</v>
      </c>
      <c r="H103" s="561">
        <v>-316</v>
      </c>
      <c r="I103" s="561">
        <v>-329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-13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>
        <v>-125</v>
      </c>
      <c r="D105" s="561">
        <v>-310</v>
      </c>
      <c r="E105" s="561">
        <v>-561</v>
      </c>
      <c r="F105" s="561">
        <v>-736</v>
      </c>
      <c r="G105" s="561">
        <v>-331</v>
      </c>
      <c r="H105" s="561">
        <v>-696</v>
      </c>
      <c r="I105" s="561">
        <v>-1117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-421</v>
      </c>
    </row>
    <row r="106" spans="1:20" outlineLevel="1" x14ac:dyDescent="0.35">
      <c r="A106" s="556" t="s">
        <v>1065</v>
      </c>
      <c r="C106" s="561">
        <v>-3846</v>
      </c>
      <c r="D106" s="561">
        <v>-7640</v>
      </c>
      <c r="E106" s="561">
        <v>-11177</v>
      </c>
      <c r="F106" s="561">
        <v>-27185</v>
      </c>
      <c r="G106" s="561">
        <v>-12293</v>
      </c>
      <c r="H106" s="561">
        <v>-26462</v>
      </c>
      <c r="I106" s="561">
        <v>-38944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-12482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209880</v>
      </c>
      <c r="D108" s="558">
        <f t="shared" si="28"/>
        <v>319410</v>
      </c>
      <c r="E108" s="558">
        <f t="shared" si="28"/>
        <v>608445</v>
      </c>
      <c r="F108" s="558">
        <f t="shared" si="28"/>
        <v>858641</v>
      </c>
      <c r="G108" s="558">
        <f t="shared" si="28"/>
        <v>203514</v>
      </c>
      <c r="H108" s="558">
        <f t="shared" si="28"/>
        <v>429454</v>
      </c>
      <c r="I108" s="558">
        <f>I84+I86</f>
        <v>716124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286670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H110" si="29">SUM(C112:C115)</f>
        <v>-55010</v>
      </c>
      <c r="D110" s="562">
        <f t="shared" si="29"/>
        <v>-85186</v>
      </c>
      <c r="E110" s="562">
        <f t="shared" si="29"/>
        <v>-133849</v>
      </c>
      <c r="F110" s="562">
        <f t="shared" si="29"/>
        <v>-180076</v>
      </c>
      <c r="G110" s="562">
        <f t="shared" si="29"/>
        <v>-40973</v>
      </c>
      <c r="H110" s="562">
        <f t="shared" si="29"/>
        <v>-86354</v>
      </c>
      <c r="I110" s="562">
        <f>SUM(I112:I115)</f>
        <v>-140415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-54061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-4675</v>
      </c>
      <c r="D112" s="563">
        <v>-6511</v>
      </c>
      <c r="E112" s="563">
        <v>-21540</v>
      </c>
      <c r="F112" s="563">
        <v>-34353</v>
      </c>
      <c r="G112" s="563">
        <v>-9107</v>
      </c>
      <c r="H112" s="563">
        <v>-19518</v>
      </c>
      <c r="I112" s="563">
        <v>-38038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-18520</v>
      </c>
    </row>
    <row r="113" spans="1:20" x14ac:dyDescent="0.35">
      <c r="A113" s="555" t="s">
        <v>282</v>
      </c>
      <c r="C113" s="563">
        <v>-17990</v>
      </c>
      <c r="D113" s="563">
        <v>-23569</v>
      </c>
      <c r="E113" s="563">
        <v>-74593</v>
      </c>
      <c r="F113" s="563">
        <v>-114270</v>
      </c>
      <c r="G113" s="563">
        <v>-28652</v>
      </c>
      <c r="H113" s="563">
        <v>-60843</v>
      </c>
      <c r="I113" s="563">
        <v>-108957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-48114</v>
      </c>
    </row>
    <row r="114" spans="1:20" x14ac:dyDescent="0.35">
      <c r="A114" s="555" t="s">
        <v>284</v>
      </c>
      <c r="C114" s="563">
        <v>16302</v>
      </c>
      <c r="D114" s="563">
        <v>23318</v>
      </c>
      <c r="E114" s="563">
        <v>72882</v>
      </c>
      <c r="F114" s="563">
        <v>111083</v>
      </c>
      <c r="G114" s="563">
        <v>28185</v>
      </c>
      <c r="H114" s="563">
        <v>59572</v>
      </c>
      <c r="I114" s="563">
        <v>102932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43360</v>
      </c>
    </row>
    <row r="115" spans="1:20" x14ac:dyDescent="0.35">
      <c r="A115" s="555" t="s">
        <v>1068</v>
      </c>
      <c r="C115" s="563">
        <v>-48647</v>
      </c>
      <c r="D115" s="563">
        <v>-78424</v>
      </c>
      <c r="E115" s="563">
        <v>-110598</v>
      </c>
      <c r="F115" s="563">
        <v>-142536</v>
      </c>
      <c r="G115" s="563">
        <v>-31399</v>
      </c>
      <c r="H115" s="563">
        <v>-65565</v>
      </c>
      <c r="I115" s="563">
        <v>-96352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-30787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H117" si="31">C108+C110</f>
        <v>154870</v>
      </c>
      <c r="D117" s="564">
        <f t="shared" si="31"/>
        <v>234224</v>
      </c>
      <c r="E117" s="564">
        <f t="shared" si="31"/>
        <v>474596</v>
      </c>
      <c r="F117" s="564">
        <f t="shared" si="31"/>
        <v>678565</v>
      </c>
      <c r="G117" s="564">
        <f t="shared" si="31"/>
        <v>162541</v>
      </c>
      <c r="H117" s="564">
        <f t="shared" si="31"/>
        <v>343100</v>
      </c>
      <c r="I117" s="564">
        <f>I108+I110</f>
        <v>575709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232609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H120" si="32">C117-C121</f>
        <v>154870</v>
      </c>
      <c r="D120" s="563">
        <f t="shared" si="32"/>
        <v>234224</v>
      </c>
      <c r="E120" s="563">
        <f t="shared" si="32"/>
        <v>474596</v>
      </c>
      <c r="F120" s="563">
        <f t="shared" si="32"/>
        <v>678565</v>
      </c>
      <c r="G120" s="563">
        <f t="shared" si="32"/>
        <v>162541</v>
      </c>
      <c r="H120" s="563">
        <f t="shared" si="32"/>
        <v>343100</v>
      </c>
      <c r="I120" s="563">
        <f>I117-I121</f>
        <v>575709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3">I120-H120</f>
        <v>232609</v>
      </c>
    </row>
    <row r="121" spans="1:20" x14ac:dyDescent="0.35">
      <c r="A121" s="555" t="s">
        <v>1072</v>
      </c>
      <c r="C121" s="563">
        <f t="shared" ref="C121:H121" si="34">C117*C126</f>
        <v>0</v>
      </c>
      <c r="D121" s="563">
        <f t="shared" si="34"/>
        <v>0</v>
      </c>
      <c r="E121" s="563">
        <f t="shared" si="34"/>
        <v>0</v>
      </c>
      <c r="F121" s="563">
        <f t="shared" si="34"/>
        <v>0</v>
      </c>
      <c r="G121" s="563">
        <f t="shared" si="34"/>
        <v>0</v>
      </c>
      <c r="H121" s="563">
        <f t="shared" si="34"/>
        <v>0</v>
      </c>
      <c r="I121" s="563">
        <f>I117*I126</f>
        <v>0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3"/>
        <v>0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H123" si="35">SUM(C120:C121)</f>
        <v>154870</v>
      </c>
      <c r="D123" s="564">
        <f t="shared" si="35"/>
        <v>234224</v>
      </c>
      <c r="E123" s="564">
        <f t="shared" si="35"/>
        <v>474596</v>
      </c>
      <c r="F123" s="564">
        <f t="shared" si="35"/>
        <v>678565</v>
      </c>
      <c r="G123" s="564">
        <f t="shared" si="35"/>
        <v>162541</v>
      </c>
      <c r="H123" s="564">
        <f t="shared" si="35"/>
        <v>343100</v>
      </c>
      <c r="I123" s="564">
        <f>SUM(I120:I121)</f>
        <v>575709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232609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>
        <v>1</v>
      </c>
      <c r="D125" s="571">
        <v>1</v>
      </c>
      <c r="E125" s="571">
        <v>1</v>
      </c>
      <c r="F125" s="571">
        <v>1</v>
      </c>
      <c r="G125" s="571">
        <v>1</v>
      </c>
      <c r="H125" s="571">
        <v>1</v>
      </c>
      <c r="I125" s="571">
        <v>1</v>
      </c>
      <c r="T125" s="571">
        <f>I125</f>
        <v>1</v>
      </c>
    </row>
    <row r="126" spans="1:20" s="570" customFormat="1" ht="10.5" x14ac:dyDescent="0.25">
      <c r="A126" s="569" t="s">
        <v>1087</v>
      </c>
      <c r="C126" s="571">
        <v>0</v>
      </c>
      <c r="D126" s="571">
        <v>0</v>
      </c>
      <c r="E126" s="571">
        <v>0</v>
      </c>
      <c r="F126" s="571">
        <v>0</v>
      </c>
      <c r="G126" s="571">
        <v>0</v>
      </c>
      <c r="H126" s="571">
        <v>0</v>
      </c>
      <c r="I126" s="571">
        <v>0</v>
      </c>
      <c r="T126" s="571">
        <f>I126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FDCC-877B-4999-A4AF-75D66AA542BC}">
  <sheetPr>
    <tabColor theme="9" tint="0.79998168889431442"/>
  </sheetPr>
  <dimension ref="A3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3" spans="1:20" x14ac:dyDescent="0.35">
      <c r="C3" s="585" t="s">
        <v>1111</v>
      </c>
    </row>
    <row r="4" spans="1:20" x14ac:dyDescent="0.35">
      <c r="A4" s="566" t="s">
        <v>1095</v>
      </c>
      <c r="C4" s="565" t="s">
        <v>1110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67086</v>
      </c>
      <c r="D6" s="558">
        <f t="shared" si="0"/>
        <v>271077</v>
      </c>
      <c r="E6" s="558">
        <f t="shared" si="0"/>
        <v>582227</v>
      </c>
      <c r="F6" s="558">
        <f t="shared" si="0"/>
        <v>871697</v>
      </c>
      <c r="G6" s="558">
        <f t="shared" si="0"/>
        <v>250573</v>
      </c>
      <c r="H6" s="558">
        <f t="shared" si="0"/>
        <v>467925</v>
      </c>
      <c r="I6" s="558">
        <f t="shared" si="0"/>
        <v>761293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293368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0</v>
      </c>
      <c r="D8" s="560">
        <f t="shared" si="2"/>
        <v>0</v>
      </c>
      <c r="E8" s="560">
        <f t="shared" si="2"/>
        <v>0</v>
      </c>
      <c r="F8" s="560">
        <f t="shared" si="2"/>
        <v>0</v>
      </c>
      <c r="G8" s="560">
        <f t="shared" si="2"/>
        <v>0</v>
      </c>
      <c r="H8" s="560">
        <f t="shared" si="2"/>
        <v>0</v>
      </c>
      <c r="I8" s="560">
        <f>SUM(I9:I10)</f>
        <v>0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0</v>
      </c>
    </row>
    <row r="9" spans="1:20" outlineLevel="1" x14ac:dyDescent="0.35">
      <c r="A9" s="556" t="s">
        <v>996</v>
      </c>
      <c r="C9" s="561">
        <v>0</v>
      </c>
      <c r="D9" s="561">
        <v>0</v>
      </c>
      <c r="E9" s="561">
        <v>0</v>
      </c>
      <c r="F9" s="561">
        <v>0</v>
      </c>
      <c r="G9" s="561">
        <v>0</v>
      </c>
      <c r="H9" s="561">
        <v>0</v>
      </c>
      <c r="I9" s="561">
        <v>0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0</v>
      </c>
    </row>
    <row r="10" spans="1:20" outlineLevel="1" x14ac:dyDescent="0.35">
      <c r="A10" s="556" t="s">
        <v>997</v>
      </c>
      <c r="C10" s="561">
        <v>0</v>
      </c>
      <c r="D10" s="561">
        <v>0</v>
      </c>
      <c r="E10" s="561">
        <v>0</v>
      </c>
      <c r="F10" s="561">
        <v>0</v>
      </c>
      <c r="G10" s="561">
        <v>0</v>
      </c>
      <c r="H10" s="561">
        <v>0</v>
      </c>
      <c r="I10" s="561">
        <v>0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0</v>
      </c>
    </row>
    <row r="11" spans="1:20" x14ac:dyDescent="0.35">
      <c r="A11" s="555" t="s">
        <v>248</v>
      </c>
      <c r="C11" s="560">
        <v>0</v>
      </c>
      <c r="D11" s="560">
        <v>0</v>
      </c>
      <c r="E11" s="560">
        <v>0</v>
      </c>
      <c r="F11" s="560">
        <v>0</v>
      </c>
      <c r="G11" s="560">
        <v>0</v>
      </c>
      <c r="H11" s="560">
        <v>0</v>
      </c>
      <c r="I11" s="560">
        <v>0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0</v>
      </c>
    </row>
    <row r="12" spans="1:20" x14ac:dyDescent="0.35">
      <c r="A12" s="555" t="s">
        <v>252</v>
      </c>
      <c r="C12" s="560">
        <v>66744</v>
      </c>
      <c r="D12" s="560">
        <v>265619</v>
      </c>
      <c r="E12" s="560">
        <v>573582</v>
      </c>
      <c r="F12" s="560">
        <v>862231</v>
      </c>
      <c r="G12" s="560">
        <v>250025</v>
      </c>
      <c r="H12" s="560">
        <v>465137</v>
      </c>
      <c r="I12" s="560">
        <v>746949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281812</v>
      </c>
    </row>
    <row r="13" spans="1:20" x14ac:dyDescent="0.35">
      <c r="A13" s="555" t="s">
        <v>249</v>
      </c>
      <c r="C13" s="560">
        <v>0</v>
      </c>
      <c r="D13" s="560">
        <v>0</v>
      </c>
      <c r="E13" s="560">
        <v>0</v>
      </c>
      <c r="F13" s="560">
        <v>0</v>
      </c>
      <c r="G13" s="560">
        <v>0</v>
      </c>
      <c r="H13" s="560">
        <v>0</v>
      </c>
      <c r="I13" s="560">
        <v>0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0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0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0</v>
      </c>
    </row>
    <row r="17" spans="1:20" x14ac:dyDescent="0.35">
      <c r="A17" s="555" t="s">
        <v>254</v>
      </c>
      <c r="C17" s="560">
        <f t="shared" ref="C17:H17" si="4">SUM(C18:C25)</f>
        <v>342</v>
      </c>
      <c r="D17" s="560">
        <f t="shared" si="4"/>
        <v>5458</v>
      </c>
      <c r="E17" s="560">
        <f t="shared" si="4"/>
        <v>8645</v>
      </c>
      <c r="F17" s="560">
        <f t="shared" si="4"/>
        <v>9466</v>
      </c>
      <c r="G17" s="560">
        <f t="shared" si="4"/>
        <v>548</v>
      </c>
      <c r="H17" s="560">
        <f t="shared" si="4"/>
        <v>2788</v>
      </c>
      <c r="I17" s="560">
        <f>SUM(I18:I25)</f>
        <v>14344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11556</v>
      </c>
    </row>
    <row r="18" spans="1:20" outlineLevel="1" x14ac:dyDescent="0.35">
      <c r="A18" s="556" t="s">
        <v>999</v>
      </c>
      <c r="C18" s="561">
        <v>0</v>
      </c>
      <c r="D18" s="561">
        <v>0</v>
      </c>
      <c r="E18" s="561">
        <v>0</v>
      </c>
      <c r="F18" s="561">
        <v>0</v>
      </c>
      <c r="G18" s="561">
        <v>0</v>
      </c>
      <c r="H18" s="561">
        <v>0</v>
      </c>
      <c r="I18" s="561">
        <v>0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0</v>
      </c>
    </row>
    <row r="19" spans="1:20" outlineLevel="1" x14ac:dyDescent="0.35">
      <c r="A19" s="556" t="s">
        <v>1000</v>
      </c>
      <c r="C19" s="561">
        <v>0</v>
      </c>
      <c r="D19" s="561">
        <v>0</v>
      </c>
      <c r="E19" s="561">
        <v>0</v>
      </c>
      <c r="F19" s="561">
        <v>0</v>
      </c>
      <c r="G19" s="561">
        <v>0</v>
      </c>
      <c r="H19" s="561">
        <v>0</v>
      </c>
      <c r="I19" s="561">
        <v>0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0</v>
      </c>
    </row>
    <row r="20" spans="1:20" outlineLevel="1" x14ac:dyDescent="0.35">
      <c r="A20" s="556" t="s">
        <v>1001</v>
      </c>
      <c r="C20" s="561">
        <v>0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>
        <v>0</v>
      </c>
      <c r="D21" s="561">
        <v>0</v>
      </c>
      <c r="E21" s="561">
        <v>0</v>
      </c>
      <c r="F21" s="561">
        <v>0</v>
      </c>
      <c r="G21" s="561">
        <v>0</v>
      </c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0</v>
      </c>
    </row>
    <row r="22" spans="1:20" outlineLevel="1" x14ac:dyDescent="0.35">
      <c r="A22" s="556" t="s">
        <v>1003</v>
      </c>
      <c r="C22" s="561">
        <v>0</v>
      </c>
      <c r="D22" s="561">
        <v>0</v>
      </c>
      <c r="E22" s="561">
        <v>0</v>
      </c>
      <c r="F22" s="561">
        <v>0</v>
      </c>
      <c r="G22" s="561">
        <v>0</v>
      </c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0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0</v>
      </c>
    </row>
    <row r="25" spans="1:20" outlineLevel="1" x14ac:dyDescent="0.35">
      <c r="A25" s="556" t="s">
        <v>254</v>
      </c>
      <c r="C25" s="561">
        <v>342</v>
      </c>
      <c r="D25" s="561">
        <v>5458</v>
      </c>
      <c r="E25" s="561">
        <v>8645</v>
      </c>
      <c r="F25" s="561">
        <v>9466</v>
      </c>
      <c r="G25" s="561">
        <v>548</v>
      </c>
      <c r="H25" s="561">
        <v>2788</v>
      </c>
      <c r="I25" s="561">
        <v>14344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11556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-2541</v>
      </c>
      <c r="D27" s="558">
        <f t="shared" si="6"/>
        <v>-9790</v>
      </c>
      <c r="E27" s="558">
        <f t="shared" si="6"/>
        <v>-21107</v>
      </c>
      <c r="F27" s="558">
        <f t="shared" si="6"/>
        <v>-32140</v>
      </c>
      <c r="G27" s="558">
        <f t="shared" si="6"/>
        <v>-9949</v>
      </c>
      <c r="H27" s="558">
        <f t="shared" si="6"/>
        <v>-17671</v>
      </c>
      <c r="I27" s="558">
        <f>SUM(I29:I37)</f>
        <v>-27812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-10141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0</v>
      </c>
      <c r="D29" s="561">
        <v>0</v>
      </c>
      <c r="E29" s="561">
        <v>0</v>
      </c>
      <c r="F29" s="561">
        <v>0</v>
      </c>
      <c r="G29" s="561">
        <v>0</v>
      </c>
      <c r="H29" s="561">
        <v>-15</v>
      </c>
      <c r="I29" s="561">
        <v>-15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0</v>
      </c>
    </row>
    <row r="30" spans="1:20" outlineLevel="1" x14ac:dyDescent="0.35">
      <c r="A30" s="556" t="s">
        <v>1007</v>
      </c>
      <c r="C30" s="561">
        <v>-2541</v>
      </c>
      <c r="D30" s="561">
        <v>-9790</v>
      </c>
      <c r="E30" s="561">
        <v>-21107</v>
      </c>
      <c r="F30" s="561">
        <v>-32140</v>
      </c>
      <c r="G30" s="561">
        <v>-9949</v>
      </c>
      <c r="H30" s="561">
        <v>-17656</v>
      </c>
      <c r="I30" s="561">
        <v>-27557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-9901</v>
      </c>
    </row>
    <row r="31" spans="1:20" outlineLevel="1" x14ac:dyDescent="0.35">
      <c r="A31" s="556" t="s">
        <v>1008</v>
      </c>
      <c r="C31" s="561">
        <v>0</v>
      </c>
      <c r="D31" s="561">
        <v>0</v>
      </c>
      <c r="E31" s="561">
        <v>0</v>
      </c>
      <c r="F31" s="561">
        <v>0</v>
      </c>
      <c r="G31" s="561">
        <v>0</v>
      </c>
      <c r="H31" s="561">
        <v>0</v>
      </c>
      <c r="I31" s="561">
        <v>-240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-240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0</v>
      </c>
    </row>
    <row r="33" spans="1:20" outlineLevel="1" x14ac:dyDescent="0.35">
      <c r="A33" s="556" t="s">
        <v>1010</v>
      </c>
      <c r="C33" s="561">
        <v>0</v>
      </c>
      <c r="D33" s="561">
        <v>0</v>
      </c>
      <c r="E33" s="561">
        <v>0</v>
      </c>
      <c r="F33" s="561">
        <v>0</v>
      </c>
      <c r="G33" s="561">
        <v>0</v>
      </c>
      <c r="H33" s="561">
        <v>0</v>
      </c>
      <c r="I33" s="561">
        <v>0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0</v>
      </c>
    </row>
    <row r="34" spans="1:20" outlineLevel="1" x14ac:dyDescent="0.35">
      <c r="A34" s="556" t="s">
        <v>1011</v>
      </c>
      <c r="C34" s="561">
        <v>0</v>
      </c>
      <c r="D34" s="561">
        <v>0</v>
      </c>
      <c r="E34" s="561">
        <v>0</v>
      </c>
      <c r="F34" s="561">
        <v>0</v>
      </c>
      <c r="G34" s="561">
        <v>0</v>
      </c>
      <c r="H34" s="561">
        <v>0</v>
      </c>
      <c r="I34" s="561">
        <v>0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0</v>
      </c>
    </row>
    <row r="35" spans="1:20" outlineLevel="1" x14ac:dyDescent="0.35">
      <c r="A35" s="556" t="s">
        <v>1012</v>
      </c>
      <c r="C35" s="561">
        <v>0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0</v>
      </c>
    </row>
    <row r="36" spans="1:20" outlineLevel="1" x14ac:dyDescent="0.35">
      <c r="A36" s="556" t="s">
        <v>1013</v>
      </c>
      <c r="C36" s="561">
        <v>0</v>
      </c>
      <c r="D36" s="561">
        <v>0</v>
      </c>
      <c r="E36" s="561">
        <v>0</v>
      </c>
      <c r="F36" s="561">
        <v>0</v>
      </c>
      <c r="G36" s="561">
        <v>0</v>
      </c>
      <c r="H36" s="561">
        <v>0</v>
      </c>
      <c r="I36" s="561">
        <v>0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0</v>
      </c>
    </row>
    <row r="37" spans="1:20" outlineLevel="1" x14ac:dyDescent="0.35">
      <c r="A37" s="556" t="s">
        <v>270</v>
      </c>
      <c r="C37" s="561">
        <v>0</v>
      </c>
      <c r="D37" s="561">
        <v>0</v>
      </c>
      <c r="E37" s="561">
        <v>0</v>
      </c>
      <c r="F37" s="561">
        <v>0</v>
      </c>
      <c r="G37" s="561">
        <v>0</v>
      </c>
      <c r="H37" s="561">
        <v>0</v>
      </c>
      <c r="I37" s="561">
        <v>0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0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64545</v>
      </c>
      <c r="D39" s="558">
        <f t="shared" si="8"/>
        <v>261287</v>
      </c>
      <c r="E39" s="558">
        <f t="shared" si="8"/>
        <v>561120</v>
      </c>
      <c r="F39" s="558">
        <f t="shared" si="8"/>
        <v>839557</v>
      </c>
      <c r="G39" s="558">
        <f t="shared" si="8"/>
        <v>240624</v>
      </c>
      <c r="H39" s="558">
        <f t="shared" si="8"/>
        <v>450254</v>
      </c>
      <c r="I39" s="558">
        <f>I27+I6</f>
        <v>733481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283227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-43056</v>
      </c>
      <c r="D41" s="562">
        <f t="shared" si="9"/>
        <v>-175059</v>
      </c>
      <c r="E41" s="562">
        <f t="shared" si="9"/>
        <v>-307570</v>
      </c>
      <c r="F41" s="562">
        <f t="shared" si="9"/>
        <v>-440843</v>
      </c>
      <c r="G41" s="562">
        <f t="shared" si="9"/>
        <v>-149145</v>
      </c>
      <c r="H41" s="562">
        <f t="shared" si="9"/>
        <v>-303574</v>
      </c>
      <c r="I41" s="562">
        <f>SUM(I43:I48)</f>
        <v>-440208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-136634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-2745</v>
      </c>
      <c r="D43" s="560">
        <v>-3459</v>
      </c>
      <c r="E43" s="560">
        <v>-4124</v>
      </c>
      <c r="F43" s="560">
        <v>-5659</v>
      </c>
      <c r="G43" s="560">
        <v>-12504</v>
      </c>
      <c r="H43" s="560">
        <v>-21129</v>
      </c>
      <c r="I43" s="560">
        <v>-23807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-2678</v>
      </c>
    </row>
    <row r="44" spans="1:20" x14ac:dyDescent="0.35">
      <c r="A44" s="555" t="s">
        <v>1016</v>
      </c>
      <c r="C44" s="560">
        <v>0</v>
      </c>
      <c r="D44" s="560">
        <v>0</v>
      </c>
      <c r="E44" s="560">
        <v>0</v>
      </c>
      <c r="F44" s="560">
        <v>0</v>
      </c>
      <c r="G44" s="560">
        <v>0</v>
      </c>
      <c r="H44" s="560">
        <v>0</v>
      </c>
      <c r="I44" s="560">
        <v>0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0</v>
      </c>
    </row>
    <row r="45" spans="1:20" x14ac:dyDescent="0.35">
      <c r="A45" s="555" t="s">
        <v>312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-40311</v>
      </c>
      <c r="D48" s="560">
        <f t="shared" si="11"/>
        <v>-171600</v>
      </c>
      <c r="E48" s="560">
        <f t="shared" si="11"/>
        <v>-303446</v>
      </c>
      <c r="F48" s="560">
        <f t="shared" si="11"/>
        <v>-435184</v>
      </c>
      <c r="G48" s="560">
        <f t="shared" si="11"/>
        <v>-136641</v>
      </c>
      <c r="H48" s="560">
        <f t="shared" si="11"/>
        <v>-282445</v>
      </c>
      <c r="I48" s="560">
        <f>SUM(I49:I55)</f>
        <v>-416401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-133956</v>
      </c>
    </row>
    <row r="49" spans="1:20" outlineLevel="1" x14ac:dyDescent="0.35">
      <c r="A49" s="556" t="s">
        <v>1019</v>
      </c>
      <c r="C49" s="561">
        <v>-2646</v>
      </c>
      <c r="D49" s="561">
        <v>-10842</v>
      </c>
      <c r="E49" s="561">
        <v>-19658</v>
      </c>
      <c r="F49" s="561">
        <v>-24781</v>
      </c>
      <c r="G49" s="561">
        <v>-5502</v>
      </c>
      <c r="H49" s="561">
        <v>-14857</v>
      </c>
      <c r="I49" s="561">
        <v>-21426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-6569</v>
      </c>
    </row>
    <row r="50" spans="1:20" outlineLevel="1" x14ac:dyDescent="0.35">
      <c r="A50" s="556" t="s">
        <v>1020</v>
      </c>
      <c r="C50" s="561">
        <v>-964</v>
      </c>
      <c r="D50" s="561">
        <v>-4860</v>
      </c>
      <c r="E50" s="561">
        <v>-6561</v>
      </c>
      <c r="F50" s="561">
        <v>-8438</v>
      </c>
      <c r="G50" s="561">
        <v>-2190</v>
      </c>
      <c r="H50" s="561">
        <v>-6993</v>
      </c>
      <c r="I50" s="561">
        <v>-10569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-3576</v>
      </c>
    </row>
    <row r="51" spans="1:20" outlineLevel="1" x14ac:dyDescent="0.35">
      <c r="A51" s="556" t="s">
        <v>1021</v>
      </c>
      <c r="C51" s="561">
        <v>-1442</v>
      </c>
      <c r="D51" s="561">
        <v>-6377</v>
      </c>
      <c r="E51" s="561">
        <v>-9919</v>
      </c>
      <c r="F51" s="561">
        <v>-15554</v>
      </c>
      <c r="G51" s="561">
        <v>-3156</v>
      </c>
      <c r="H51" s="561">
        <v>-8520</v>
      </c>
      <c r="I51" s="561">
        <v>-11645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-3125</v>
      </c>
    </row>
    <row r="52" spans="1:20" outlineLevel="1" x14ac:dyDescent="0.35">
      <c r="A52" s="556" t="s">
        <v>1022</v>
      </c>
      <c r="C52" s="561">
        <v>-21627</v>
      </c>
      <c r="D52" s="561">
        <v>-83087</v>
      </c>
      <c r="E52" s="561">
        <v>-146669</v>
      </c>
      <c r="F52" s="561">
        <v>-215870</v>
      </c>
      <c r="G52" s="561">
        <v>-66532</v>
      </c>
      <c r="H52" s="561">
        <v>-132167</v>
      </c>
      <c r="I52" s="561">
        <v>-195393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-63226</v>
      </c>
    </row>
    <row r="53" spans="1:20" outlineLevel="1" x14ac:dyDescent="0.35">
      <c r="A53" s="556" t="s">
        <v>1023</v>
      </c>
      <c r="C53" s="561">
        <v>0</v>
      </c>
      <c r="D53" s="561">
        <v>0</v>
      </c>
      <c r="E53" s="561">
        <v>0</v>
      </c>
      <c r="F53" s="561">
        <v>0</v>
      </c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0</v>
      </c>
    </row>
    <row r="54" spans="1:20" outlineLevel="1" x14ac:dyDescent="0.35">
      <c r="A54" s="556" t="s">
        <v>1024</v>
      </c>
      <c r="C54" s="561">
        <v>0</v>
      </c>
      <c r="D54" s="561">
        <v>0</v>
      </c>
      <c r="E54" s="561">
        <v>0</v>
      </c>
      <c r="F54" s="561">
        <v>0</v>
      </c>
      <c r="G54" s="561">
        <v>0</v>
      </c>
      <c r="H54" s="561">
        <v>0</v>
      </c>
      <c r="I54" s="561">
        <v>0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0</v>
      </c>
    </row>
    <row r="55" spans="1:20" outlineLevel="1" x14ac:dyDescent="0.35">
      <c r="A55" s="556" t="s">
        <v>1025</v>
      </c>
      <c r="C55" s="561">
        <v>-13632</v>
      </c>
      <c r="D55" s="561">
        <v>-66434</v>
      </c>
      <c r="E55" s="561">
        <v>-120639</v>
      </c>
      <c r="F55" s="561">
        <v>-170541</v>
      </c>
      <c r="G55" s="561">
        <v>-59261</v>
      </c>
      <c r="H55" s="561">
        <v>-119908</v>
      </c>
      <c r="I55" s="561">
        <v>-177368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-57460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21489</v>
      </c>
      <c r="D57" s="558">
        <f t="shared" si="13"/>
        <v>86228</v>
      </c>
      <c r="E57" s="558">
        <f t="shared" si="13"/>
        <v>253550</v>
      </c>
      <c r="F57" s="558">
        <f t="shared" si="13"/>
        <v>398714</v>
      </c>
      <c r="G57" s="558">
        <f t="shared" si="13"/>
        <v>91479</v>
      </c>
      <c r="H57" s="558">
        <f t="shared" si="13"/>
        <v>146680</v>
      </c>
      <c r="I57" s="558">
        <f>I39+I41</f>
        <v>293273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146593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-7067</v>
      </c>
      <c r="D59" s="562">
        <f t="shared" si="14"/>
        <v>-29071</v>
      </c>
      <c r="E59" s="562">
        <f t="shared" si="14"/>
        <v>-48929</v>
      </c>
      <c r="F59" s="562">
        <f t="shared" si="14"/>
        <v>-78504</v>
      </c>
      <c r="G59" s="562">
        <f t="shared" si="14"/>
        <v>-29915</v>
      </c>
      <c r="H59" s="562">
        <f t="shared" si="14"/>
        <v>-35422</v>
      </c>
      <c r="I59" s="562">
        <f>I61+I67+I68+I77+I78</f>
        <v>-56774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-21352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0</v>
      </c>
      <c r="D61" s="560">
        <f t="shared" si="15"/>
        <v>0</v>
      </c>
      <c r="E61" s="560">
        <f t="shared" si="15"/>
        <v>0</v>
      </c>
      <c r="F61" s="560">
        <f t="shared" si="15"/>
        <v>0</v>
      </c>
      <c r="G61" s="560">
        <f t="shared" si="15"/>
        <v>0</v>
      </c>
      <c r="H61" s="560">
        <f t="shared" si="15"/>
        <v>0</v>
      </c>
      <c r="I61" s="560">
        <f>SUM(I62:I66)</f>
        <v>0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0</v>
      </c>
    </row>
    <row r="62" spans="1:20" outlineLevel="1" x14ac:dyDescent="0.35">
      <c r="A62" s="556" t="s">
        <v>1029</v>
      </c>
      <c r="C62" s="561">
        <v>0</v>
      </c>
      <c r="D62" s="561">
        <v>0</v>
      </c>
      <c r="E62" s="561">
        <v>0</v>
      </c>
      <c r="F62" s="561">
        <v>0</v>
      </c>
      <c r="G62" s="561">
        <v>0</v>
      </c>
      <c r="H62" s="561">
        <v>0</v>
      </c>
      <c r="I62" s="561">
        <v>0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0</v>
      </c>
    </row>
    <row r="63" spans="1:20" outlineLevel="1" x14ac:dyDescent="0.35">
      <c r="A63" s="556" t="s">
        <v>1030</v>
      </c>
      <c r="C63" s="561">
        <v>0</v>
      </c>
      <c r="D63" s="561">
        <v>0</v>
      </c>
      <c r="E63" s="561">
        <v>0</v>
      </c>
      <c r="F63" s="561">
        <v>0</v>
      </c>
      <c r="G63" s="561">
        <v>0</v>
      </c>
      <c r="H63" s="561">
        <v>0</v>
      </c>
      <c r="I63" s="561">
        <v>0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0</v>
      </c>
    </row>
    <row r="64" spans="1:20" outlineLevel="1" x14ac:dyDescent="0.35">
      <c r="A64" s="556" t="s">
        <v>1031</v>
      </c>
      <c r="C64" s="561">
        <v>0</v>
      </c>
      <c r="D64" s="561">
        <v>0</v>
      </c>
      <c r="E64" s="561">
        <v>0</v>
      </c>
      <c r="F64" s="561">
        <v>0</v>
      </c>
      <c r="G64" s="561">
        <v>0</v>
      </c>
      <c r="H64" s="561">
        <v>0</v>
      </c>
      <c r="I64" s="561">
        <v>0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0</v>
      </c>
    </row>
    <row r="65" spans="1:20" outlineLevel="1" x14ac:dyDescent="0.35">
      <c r="A65" s="556" t="s">
        <v>1032</v>
      </c>
      <c r="C65" s="561">
        <v>0</v>
      </c>
      <c r="D65" s="561">
        <v>0</v>
      </c>
      <c r="E65" s="561">
        <v>0</v>
      </c>
      <c r="F65" s="561">
        <v>0</v>
      </c>
      <c r="G65" s="561">
        <v>0</v>
      </c>
      <c r="H65" s="561">
        <v>0</v>
      </c>
      <c r="I65" s="561">
        <v>0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0</v>
      </c>
    </row>
    <row r="66" spans="1:20" outlineLevel="1" x14ac:dyDescent="0.35">
      <c r="A66" s="556" t="s">
        <v>1033</v>
      </c>
      <c r="C66" s="561">
        <v>0</v>
      </c>
      <c r="D66" s="561">
        <v>0</v>
      </c>
      <c r="E66" s="561">
        <v>0</v>
      </c>
      <c r="F66" s="561">
        <v>0</v>
      </c>
      <c r="G66" s="561">
        <v>0</v>
      </c>
      <c r="H66" s="561">
        <v>0</v>
      </c>
      <c r="I66" s="561">
        <v>0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0</v>
      </c>
    </row>
    <row r="67" spans="1:20" x14ac:dyDescent="0.35">
      <c r="A67" s="555" t="s">
        <v>1034</v>
      </c>
      <c r="C67" s="563">
        <v>0</v>
      </c>
      <c r="D67" s="563">
        <v>0</v>
      </c>
      <c r="E67" s="563">
        <v>0</v>
      </c>
      <c r="F67" s="563">
        <v>0</v>
      </c>
      <c r="G67" s="563">
        <v>0</v>
      </c>
      <c r="H67" s="563">
        <v>0</v>
      </c>
      <c r="I67" s="563">
        <v>0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0</v>
      </c>
    </row>
    <row r="68" spans="1:20" x14ac:dyDescent="0.35">
      <c r="A68" s="555" t="s">
        <v>1035</v>
      </c>
      <c r="C68" s="560">
        <f t="shared" ref="C68:H68" si="17">SUM(C69:C76)</f>
        <v>-7067</v>
      </c>
      <c r="D68" s="560">
        <f t="shared" si="17"/>
        <v>-29071</v>
      </c>
      <c r="E68" s="560">
        <f t="shared" si="17"/>
        <v>-48929</v>
      </c>
      <c r="F68" s="560">
        <f t="shared" si="17"/>
        <v>-78504</v>
      </c>
      <c r="G68" s="560">
        <f t="shared" si="17"/>
        <v>-29469</v>
      </c>
      <c r="H68" s="560">
        <f t="shared" si="17"/>
        <v>-35692</v>
      </c>
      <c r="I68" s="560">
        <f>SUM(I69:I76)</f>
        <v>-56281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-20589</v>
      </c>
    </row>
    <row r="69" spans="1:20" outlineLevel="1" x14ac:dyDescent="0.35">
      <c r="A69" s="556" t="s">
        <v>1036</v>
      </c>
      <c r="C69" s="561">
        <v>-1731</v>
      </c>
      <c r="D69" s="561">
        <v>-5170</v>
      </c>
      <c r="E69" s="561">
        <v>-11064</v>
      </c>
      <c r="F69" s="561">
        <v>-17579</v>
      </c>
      <c r="G69" s="561">
        <v>-5606</v>
      </c>
      <c r="H69" s="561">
        <v>-8887</v>
      </c>
      <c r="I69" s="561">
        <v>-15263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-6376</v>
      </c>
    </row>
    <row r="70" spans="1:20" outlineLevel="1" x14ac:dyDescent="0.35">
      <c r="A70" s="556" t="s">
        <v>1037</v>
      </c>
      <c r="C70" s="561">
        <v>0</v>
      </c>
      <c r="D70" s="561">
        <v>0</v>
      </c>
      <c r="E70" s="561">
        <v>0</v>
      </c>
      <c r="F70" s="561">
        <v>-78</v>
      </c>
      <c r="G70" s="561">
        <v>-17</v>
      </c>
      <c r="H70" s="561">
        <v>-71</v>
      </c>
      <c r="I70" s="561">
        <v>-104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-33</v>
      </c>
    </row>
    <row r="71" spans="1:20" outlineLevel="1" x14ac:dyDescent="0.35">
      <c r="A71" s="556" t="s">
        <v>1038</v>
      </c>
      <c r="C71" s="561">
        <v>-1807</v>
      </c>
      <c r="D71" s="561">
        <v>-4616</v>
      </c>
      <c r="E71" s="561">
        <v>-11201</v>
      </c>
      <c r="F71" s="561">
        <v>-17331</v>
      </c>
      <c r="G71" s="561">
        <v>-13015</v>
      </c>
      <c r="H71" s="561">
        <v>-2814</v>
      </c>
      <c r="I71" s="561">
        <v>-5444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-2630</v>
      </c>
    </row>
    <row r="72" spans="1:20" outlineLevel="1" x14ac:dyDescent="0.35">
      <c r="A72" s="556" t="s">
        <v>1039</v>
      </c>
      <c r="C72" s="561">
        <v>0</v>
      </c>
      <c r="D72" s="561">
        <v>0</v>
      </c>
      <c r="E72" s="561">
        <v>0</v>
      </c>
      <c r="F72" s="561">
        <v>0</v>
      </c>
      <c r="G72" s="561">
        <v>0</v>
      </c>
      <c r="H72" s="561">
        <v>0</v>
      </c>
      <c r="I72" s="561">
        <v>0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0</v>
      </c>
    </row>
    <row r="73" spans="1:20" outlineLevel="1" x14ac:dyDescent="0.35">
      <c r="A73" s="556" t="s">
        <v>1040</v>
      </c>
      <c r="C73" s="561">
        <v>-323</v>
      </c>
      <c r="D73" s="561">
        <v>-9378</v>
      </c>
      <c r="E73" s="561">
        <v>-3883</v>
      </c>
      <c r="F73" s="561">
        <v>-11022</v>
      </c>
      <c r="G73" s="561">
        <v>-1242</v>
      </c>
      <c r="H73" s="561">
        <v>-4686</v>
      </c>
      <c r="I73" s="561">
        <v>-5173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-487</v>
      </c>
    </row>
    <row r="74" spans="1:20" outlineLevel="1" x14ac:dyDescent="0.35">
      <c r="A74" s="556" t="s">
        <v>1041</v>
      </c>
      <c r="C74" s="561">
        <v>0</v>
      </c>
      <c r="D74" s="561">
        <v>0</v>
      </c>
      <c r="E74" s="561">
        <v>0</v>
      </c>
      <c r="F74" s="561">
        <v>0</v>
      </c>
      <c r="G74" s="561">
        <v>0</v>
      </c>
      <c r="H74" s="561">
        <v>0</v>
      </c>
      <c r="I74" s="561">
        <v>0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0</v>
      </c>
    </row>
    <row r="75" spans="1:20" outlineLevel="1" x14ac:dyDescent="0.35">
      <c r="A75" s="556" t="s">
        <v>1042</v>
      </c>
      <c r="C75" s="561">
        <v>-3206</v>
      </c>
      <c r="D75" s="561">
        <v>-9907</v>
      </c>
      <c r="E75" s="561">
        <v>-753</v>
      </c>
      <c r="F75" s="561">
        <v>-1025</v>
      </c>
      <c r="G75" s="561">
        <v>-148</v>
      </c>
      <c r="H75" s="561">
        <v>-353</v>
      </c>
      <c r="I75" s="561">
        <v>-1975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-1622</v>
      </c>
    </row>
    <row r="76" spans="1:20" outlineLevel="1" x14ac:dyDescent="0.35">
      <c r="A76" s="556" t="s">
        <v>1043</v>
      </c>
      <c r="C76" s="561">
        <v>0</v>
      </c>
      <c r="D76" s="561">
        <v>0</v>
      </c>
      <c r="E76" s="561">
        <v>-22028</v>
      </c>
      <c r="F76" s="561">
        <v>-31469</v>
      </c>
      <c r="G76" s="561">
        <v>-9441</v>
      </c>
      <c r="H76" s="561">
        <v>-18881</v>
      </c>
      <c r="I76" s="561">
        <v>-28322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-9441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0</v>
      </c>
    </row>
    <row r="78" spans="1:20" x14ac:dyDescent="0.35">
      <c r="A78" s="555" t="s">
        <v>1045</v>
      </c>
      <c r="C78" s="560">
        <f t="shared" ref="C78:H78" si="19">SUM(C79:C80)</f>
        <v>0</v>
      </c>
      <c r="D78" s="560">
        <f t="shared" si="19"/>
        <v>0</v>
      </c>
      <c r="E78" s="560">
        <f t="shared" si="19"/>
        <v>0</v>
      </c>
      <c r="F78" s="560">
        <f t="shared" si="19"/>
        <v>0</v>
      </c>
      <c r="G78" s="560">
        <f t="shared" si="19"/>
        <v>-446</v>
      </c>
      <c r="H78" s="560">
        <f t="shared" si="19"/>
        <v>270</v>
      </c>
      <c r="I78" s="560">
        <f>SUM(I79:I80)</f>
        <v>-493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-763</v>
      </c>
    </row>
    <row r="79" spans="1:20" outlineLevel="1" x14ac:dyDescent="0.35">
      <c r="A79" s="556" t="s">
        <v>1046</v>
      </c>
      <c r="C79" s="561">
        <v>0</v>
      </c>
      <c r="D79" s="561">
        <v>0</v>
      </c>
      <c r="E79" s="561">
        <v>0</v>
      </c>
      <c r="F79" s="561">
        <v>0</v>
      </c>
      <c r="G79" s="561">
        <v>-446</v>
      </c>
      <c r="H79" s="561">
        <v>270</v>
      </c>
      <c r="I79" s="561">
        <v>-493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-763</v>
      </c>
    </row>
    <row r="80" spans="1:20" outlineLevel="1" x14ac:dyDescent="0.35">
      <c r="A80" s="556" t="s">
        <v>1047</v>
      </c>
      <c r="C80" s="561">
        <v>0</v>
      </c>
      <c r="D80" s="561">
        <v>0</v>
      </c>
      <c r="E80" s="561">
        <v>0</v>
      </c>
      <c r="F80" s="561">
        <v>0</v>
      </c>
      <c r="G80" s="561">
        <v>0</v>
      </c>
      <c r="H80" s="561">
        <v>0</v>
      </c>
      <c r="I80" s="561">
        <v>0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0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39255</v>
      </c>
      <c r="D82" s="558">
        <f t="shared" si="21"/>
        <v>150151</v>
      </c>
      <c r="E82" s="558">
        <f t="shared" si="21"/>
        <v>374071</v>
      </c>
      <c r="F82" s="558">
        <f t="shared" si="21"/>
        <v>568574</v>
      </c>
      <c r="G82" s="558">
        <f t="shared" si="21"/>
        <v>137685</v>
      </c>
      <c r="H82" s="558">
        <f t="shared" si="21"/>
        <v>262659</v>
      </c>
      <c r="I82" s="558">
        <f>I84-I75-I52-I76</f>
        <v>462189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199530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14422</v>
      </c>
      <c r="D84" s="558">
        <f t="shared" si="22"/>
        <v>57157</v>
      </c>
      <c r="E84" s="558">
        <f t="shared" si="22"/>
        <v>204621</v>
      </c>
      <c r="F84" s="558">
        <f t="shared" si="22"/>
        <v>320210</v>
      </c>
      <c r="G84" s="558">
        <f t="shared" si="22"/>
        <v>61564</v>
      </c>
      <c r="H84" s="558">
        <f t="shared" si="22"/>
        <v>111258</v>
      </c>
      <c r="I84" s="558">
        <f>I57+I59</f>
        <v>236499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125241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-43230</v>
      </c>
      <c r="D86" s="558">
        <f t="shared" si="23"/>
        <v>-172981</v>
      </c>
      <c r="E86" s="558">
        <f t="shared" si="23"/>
        <v>-230249</v>
      </c>
      <c r="F86" s="558">
        <f t="shared" si="23"/>
        <v>-292548</v>
      </c>
      <c r="G86" s="558">
        <f t="shared" si="23"/>
        <v>-90274</v>
      </c>
      <c r="H86" s="558">
        <f t="shared" si="23"/>
        <v>-176461</v>
      </c>
      <c r="I86" s="558">
        <f>I88+I97</f>
        <v>-226255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-49794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6816</v>
      </c>
      <c r="D88" s="562">
        <f t="shared" si="24"/>
        <v>28331</v>
      </c>
      <c r="E88" s="562">
        <f t="shared" si="24"/>
        <v>53683</v>
      </c>
      <c r="F88" s="562">
        <f t="shared" si="24"/>
        <v>83340</v>
      </c>
      <c r="G88" s="562">
        <f t="shared" si="24"/>
        <v>30826</v>
      </c>
      <c r="H88" s="562">
        <f t="shared" si="24"/>
        <v>57384</v>
      </c>
      <c r="I88" s="562">
        <f>SUM(I89:I96)</f>
        <v>86030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28646</v>
      </c>
    </row>
    <row r="89" spans="1:20" outlineLevel="1" x14ac:dyDescent="0.35">
      <c r="A89" s="556" t="s">
        <v>1049</v>
      </c>
      <c r="C89" s="561">
        <v>6810</v>
      </c>
      <c r="D89" s="561">
        <v>27646</v>
      </c>
      <c r="E89" s="561">
        <v>51481</v>
      </c>
      <c r="F89" s="561">
        <v>76658</v>
      </c>
      <c r="G89" s="561">
        <v>30672</v>
      </c>
      <c r="H89" s="561">
        <v>56766</v>
      </c>
      <c r="I89" s="561">
        <v>84510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27744</v>
      </c>
    </row>
    <row r="90" spans="1:20" outlineLevel="1" x14ac:dyDescent="0.35">
      <c r="A90" s="556" t="s">
        <v>1050</v>
      </c>
      <c r="C90" s="561">
        <v>0</v>
      </c>
      <c r="D90" s="561">
        <v>0</v>
      </c>
      <c r="E90" s="561">
        <v>0</v>
      </c>
      <c r="F90" s="561">
        <v>0</v>
      </c>
      <c r="G90" s="561">
        <v>0</v>
      </c>
      <c r="H90" s="561">
        <v>0</v>
      </c>
      <c r="I90" s="561">
        <v>-546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-546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>
        <v>0</v>
      </c>
      <c r="D92" s="561">
        <v>0</v>
      </c>
      <c r="E92" s="561">
        <v>0</v>
      </c>
      <c r="F92" s="561">
        <v>0</v>
      </c>
      <c r="G92" s="561">
        <v>0</v>
      </c>
      <c r="H92" s="561">
        <v>0</v>
      </c>
      <c r="I92" s="561">
        <v>0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0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>
        <v>6</v>
      </c>
      <c r="D95" s="561">
        <v>685</v>
      </c>
      <c r="E95" s="561">
        <v>2202</v>
      </c>
      <c r="F95" s="561">
        <v>6682</v>
      </c>
      <c r="G95" s="561">
        <v>154</v>
      </c>
      <c r="H95" s="561">
        <v>618</v>
      </c>
      <c r="I95" s="561">
        <v>2066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1448</v>
      </c>
    </row>
    <row r="96" spans="1:20" outlineLevel="1" x14ac:dyDescent="0.35">
      <c r="A96" s="556" t="s">
        <v>1056</v>
      </c>
      <c r="C96" s="561">
        <v>0</v>
      </c>
      <c r="D96" s="561">
        <v>0</v>
      </c>
      <c r="E96" s="561">
        <v>0</v>
      </c>
      <c r="F96" s="561">
        <v>0</v>
      </c>
      <c r="G96" s="561">
        <v>0</v>
      </c>
      <c r="H96" s="561">
        <v>0</v>
      </c>
      <c r="I96" s="561">
        <v>0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0</v>
      </c>
    </row>
    <row r="97" spans="1:20" x14ac:dyDescent="0.35">
      <c r="A97" s="555" t="s">
        <v>279</v>
      </c>
      <c r="C97" s="560">
        <f t="shared" ref="C97:H97" si="26">SUM(C98:C106)</f>
        <v>-50046</v>
      </c>
      <c r="D97" s="560">
        <f t="shared" si="26"/>
        <v>-201312</v>
      </c>
      <c r="E97" s="560">
        <f t="shared" si="26"/>
        <v>-283932</v>
      </c>
      <c r="F97" s="560">
        <f t="shared" si="26"/>
        <v>-375888</v>
      </c>
      <c r="G97" s="560">
        <f t="shared" si="26"/>
        <v>-121100</v>
      </c>
      <c r="H97" s="560">
        <f t="shared" si="26"/>
        <v>-233845</v>
      </c>
      <c r="I97" s="560">
        <f>SUM(I98:I106)</f>
        <v>-312285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-78440</v>
      </c>
    </row>
    <row r="98" spans="1:20" outlineLevel="1" x14ac:dyDescent="0.35">
      <c r="A98" s="556" t="s">
        <v>1057</v>
      </c>
      <c r="C98" s="561">
        <v>-46369</v>
      </c>
      <c r="D98" s="561">
        <v>-189178</v>
      </c>
      <c r="E98" s="561">
        <v>-248455</v>
      </c>
      <c r="F98" s="561">
        <v>-332217</v>
      </c>
      <c r="G98" s="561">
        <v>-111501</v>
      </c>
      <c r="H98" s="561">
        <v>-212780</v>
      </c>
      <c r="I98" s="561">
        <v>-281764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-68984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0</v>
      </c>
    </row>
    <row r="100" spans="1:20" outlineLevel="1" x14ac:dyDescent="0.35">
      <c r="A100" s="556" t="s">
        <v>1059</v>
      </c>
      <c r="C100" s="561">
        <v>0</v>
      </c>
      <c r="D100" s="561">
        <v>0</v>
      </c>
      <c r="E100" s="561">
        <v>0</v>
      </c>
      <c r="F100" s="561">
        <v>0</v>
      </c>
      <c r="G100" s="561">
        <v>0</v>
      </c>
      <c r="H100" s="561">
        <v>0</v>
      </c>
      <c r="I100" s="561">
        <v>0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0</v>
      </c>
    </row>
    <row r="101" spans="1:20" outlineLevel="1" x14ac:dyDescent="0.35">
      <c r="A101" s="556" t="s">
        <v>1060</v>
      </c>
      <c r="C101" s="561"/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0</v>
      </c>
    </row>
    <row r="102" spans="1:20" outlineLevel="1" x14ac:dyDescent="0.35">
      <c r="A102" s="556" t="s">
        <v>1061</v>
      </c>
      <c r="C102" s="561"/>
      <c r="D102" s="561">
        <v>0</v>
      </c>
      <c r="E102" s="561">
        <v>0</v>
      </c>
      <c r="F102" s="561">
        <v>0</v>
      </c>
      <c r="G102" s="561">
        <v>0</v>
      </c>
      <c r="H102" s="561">
        <v>0</v>
      </c>
      <c r="I102" s="561">
        <v>0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0</v>
      </c>
    </row>
    <row r="103" spans="1:20" outlineLevel="1" x14ac:dyDescent="0.35">
      <c r="A103" s="556" t="s">
        <v>1062</v>
      </c>
      <c r="C103" s="561"/>
      <c r="D103" s="561">
        <v>0</v>
      </c>
      <c r="E103" s="561">
        <v>0</v>
      </c>
      <c r="F103" s="561">
        <v>0</v>
      </c>
      <c r="G103" s="561">
        <v>0</v>
      </c>
      <c r="H103" s="561">
        <v>0</v>
      </c>
      <c r="I103" s="561">
        <v>0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0</v>
      </c>
    </row>
    <row r="104" spans="1:20" outlineLevel="1" x14ac:dyDescent="0.35">
      <c r="A104" s="556" t="s">
        <v>1063</v>
      </c>
      <c r="C104" s="561"/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/>
      <c r="D105" s="561">
        <v>0</v>
      </c>
      <c r="E105" s="561">
        <v>0</v>
      </c>
      <c r="F105" s="561">
        <v>0</v>
      </c>
      <c r="G105" s="561">
        <v>0</v>
      </c>
      <c r="H105" s="561">
        <v>0</v>
      </c>
      <c r="I105" s="561">
        <v>0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0</v>
      </c>
    </row>
    <row r="106" spans="1:20" outlineLevel="1" x14ac:dyDescent="0.35">
      <c r="A106" s="556" t="s">
        <v>1065</v>
      </c>
      <c r="C106" s="561">
        <v>-3677</v>
      </c>
      <c r="D106" s="561">
        <v>-12134</v>
      </c>
      <c r="E106" s="561">
        <v>-35477</v>
      </c>
      <c r="F106" s="561">
        <v>-43671</v>
      </c>
      <c r="G106" s="561">
        <v>-9599</v>
      </c>
      <c r="H106" s="561">
        <v>-21065</v>
      </c>
      <c r="I106" s="561">
        <v>-30521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-9456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-28808</v>
      </c>
      <c r="D108" s="558">
        <f t="shared" si="28"/>
        <v>-115824</v>
      </c>
      <c r="E108" s="558">
        <f t="shared" si="28"/>
        <v>-25628</v>
      </c>
      <c r="F108" s="558">
        <f t="shared" si="28"/>
        <v>27662</v>
      </c>
      <c r="G108" s="558">
        <f t="shared" si="28"/>
        <v>-28710</v>
      </c>
      <c r="H108" s="558">
        <f t="shared" si="28"/>
        <v>-65203</v>
      </c>
      <c r="I108" s="558">
        <f>I84+I86</f>
        <v>10244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75447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H110" si="29">SUM(C112:C115)</f>
        <v>-2699</v>
      </c>
      <c r="D110" s="562">
        <f t="shared" si="29"/>
        <v>-12548</v>
      </c>
      <c r="E110" s="562">
        <f t="shared" si="29"/>
        <v>-26532</v>
      </c>
      <c r="F110" s="562">
        <f t="shared" si="29"/>
        <v>-44230</v>
      </c>
      <c r="G110" s="562">
        <f t="shared" si="29"/>
        <v>-13024</v>
      </c>
      <c r="H110" s="562">
        <f t="shared" si="29"/>
        <v>-25508</v>
      </c>
      <c r="I110" s="562">
        <f>SUM(I112:I115)</f>
        <v>-43790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-18282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-1196</v>
      </c>
      <c r="D112" s="563">
        <v>-5274</v>
      </c>
      <c r="E112" s="563">
        <v>-10653</v>
      </c>
      <c r="F112" s="563">
        <v>-16866</v>
      </c>
      <c r="G112" s="563">
        <v>-5042</v>
      </c>
      <c r="H112" s="563">
        <v>-9829</v>
      </c>
      <c r="I112" s="563">
        <v>-16321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-6492</v>
      </c>
    </row>
    <row r="113" spans="1:20" x14ac:dyDescent="0.35">
      <c r="A113" s="555" t="s">
        <v>282</v>
      </c>
      <c r="C113" s="563">
        <v>-2573</v>
      </c>
      <c r="D113" s="563">
        <v>-11554</v>
      </c>
      <c r="E113" s="563">
        <v>-23369</v>
      </c>
      <c r="F113" s="563">
        <v>-37439</v>
      </c>
      <c r="G113" s="563">
        <v>-11287</v>
      </c>
      <c r="H113" s="563">
        <v>-22208</v>
      </c>
      <c r="I113" s="563">
        <v>-37208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-15000</v>
      </c>
    </row>
    <row r="114" spans="1:20" x14ac:dyDescent="0.35">
      <c r="A114" s="555" t="s">
        <v>284</v>
      </c>
      <c r="C114" s="563">
        <v>0</v>
      </c>
      <c r="D114" s="563">
        <v>0</v>
      </c>
      <c r="E114" s="563">
        <v>0</v>
      </c>
      <c r="F114" s="563">
        <v>0</v>
      </c>
      <c r="G114" s="563">
        <v>0</v>
      </c>
      <c r="H114" s="563">
        <v>0</v>
      </c>
      <c r="I114" s="563">
        <v>0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0</v>
      </c>
    </row>
    <row r="115" spans="1:20" x14ac:dyDescent="0.35">
      <c r="A115" s="555" t="s">
        <v>1068</v>
      </c>
      <c r="C115" s="563">
        <v>1070</v>
      </c>
      <c r="D115" s="563">
        <v>4280</v>
      </c>
      <c r="E115" s="563">
        <v>7490</v>
      </c>
      <c r="F115" s="563">
        <v>10075</v>
      </c>
      <c r="G115" s="563">
        <v>3305</v>
      </c>
      <c r="H115" s="563">
        <v>6529</v>
      </c>
      <c r="I115" s="563">
        <v>9739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3210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H117" si="31">C108+C110</f>
        <v>-31507</v>
      </c>
      <c r="D117" s="564">
        <f t="shared" si="31"/>
        <v>-128372</v>
      </c>
      <c r="E117" s="564">
        <f t="shared" si="31"/>
        <v>-52160</v>
      </c>
      <c r="F117" s="564">
        <f t="shared" si="31"/>
        <v>-16568</v>
      </c>
      <c r="G117" s="564">
        <f t="shared" si="31"/>
        <v>-41734</v>
      </c>
      <c r="H117" s="564">
        <f t="shared" si="31"/>
        <v>-90711</v>
      </c>
      <c r="I117" s="564">
        <f>I108+I110</f>
        <v>-33546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57165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H120" si="32">C117-C121</f>
        <v>-31507</v>
      </c>
      <c r="D120" s="563">
        <f t="shared" si="32"/>
        <v>-128372</v>
      </c>
      <c r="E120" s="563">
        <f t="shared" si="32"/>
        <v>-52160</v>
      </c>
      <c r="F120" s="563">
        <f t="shared" si="32"/>
        <v>-16568</v>
      </c>
      <c r="G120" s="563">
        <f t="shared" si="32"/>
        <v>-41734</v>
      </c>
      <c r="H120" s="563">
        <f t="shared" si="32"/>
        <v>-90711</v>
      </c>
      <c r="I120" s="563">
        <f>I117-I121</f>
        <v>-33637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3">I120-H120</f>
        <v>57074</v>
      </c>
    </row>
    <row r="121" spans="1:20" x14ac:dyDescent="0.35">
      <c r="A121" s="555" t="s">
        <v>1072</v>
      </c>
      <c r="C121" s="563">
        <f t="shared" ref="C121:H121" si="34">C117*C126</f>
        <v>0</v>
      </c>
      <c r="D121" s="563">
        <f t="shared" si="34"/>
        <v>0</v>
      </c>
      <c r="E121" s="563">
        <f t="shared" si="34"/>
        <v>0</v>
      </c>
      <c r="F121" s="563">
        <f t="shared" si="34"/>
        <v>0</v>
      </c>
      <c r="G121" s="563">
        <f t="shared" si="34"/>
        <v>0</v>
      </c>
      <c r="H121" s="563">
        <f t="shared" si="34"/>
        <v>0</v>
      </c>
      <c r="I121" s="563">
        <v>91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3"/>
        <v>91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H123" si="35">SUM(C120:C121)</f>
        <v>-31507</v>
      </c>
      <c r="D123" s="564">
        <f t="shared" si="35"/>
        <v>-128372</v>
      </c>
      <c r="E123" s="564">
        <f t="shared" si="35"/>
        <v>-52160</v>
      </c>
      <c r="F123" s="564">
        <f t="shared" si="35"/>
        <v>-16568</v>
      </c>
      <c r="G123" s="564">
        <f t="shared" si="35"/>
        <v>-41734</v>
      </c>
      <c r="H123" s="564">
        <f t="shared" si="35"/>
        <v>-90711</v>
      </c>
      <c r="I123" s="564">
        <f>SUM(I120:I121)</f>
        <v>-33546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57165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>
        <v>1</v>
      </c>
      <c r="D125" s="571">
        <v>1</v>
      </c>
      <c r="E125" s="571">
        <v>1</v>
      </c>
      <c r="F125" s="571">
        <v>1</v>
      </c>
      <c r="G125" s="571">
        <v>1</v>
      </c>
      <c r="H125" s="571">
        <v>1</v>
      </c>
      <c r="I125" s="571">
        <v>1</v>
      </c>
      <c r="T125" s="571">
        <f>I125</f>
        <v>1</v>
      </c>
    </row>
    <row r="126" spans="1:20" s="570" customFormat="1" ht="10.5" x14ac:dyDescent="0.25">
      <c r="A126" s="569" t="s">
        <v>1087</v>
      </c>
      <c r="C126" s="571">
        <v>0</v>
      </c>
      <c r="D126" s="571">
        <v>0</v>
      </c>
      <c r="E126" s="571">
        <v>0</v>
      </c>
      <c r="F126" s="571">
        <v>0</v>
      </c>
      <c r="G126" s="571">
        <v>0</v>
      </c>
      <c r="H126" s="571">
        <v>0</v>
      </c>
      <c r="I126" s="571">
        <v>0</v>
      </c>
      <c r="T126" s="571">
        <f>I126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DDE29-CE1D-4D6B-9013-1925D9119767}">
  <sheetPr>
    <tabColor rgb="FF002060"/>
  </sheetPr>
  <dimension ref="B4:R8"/>
  <sheetViews>
    <sheetView showGridLines="0" zoomScale="85" zoomScaleNormal="85" workbookViewId="0"/>
  </sheetViews>
  <sheetFormatPr defaultRowHeight="14.5" x14ac:dyDescent="0.35"/>
  <cols>
    <col min="2" max="2" width="1.36328125" customWidth="1"/>
    <col min="8" max="9" width="2" customWidth="1"/>
    <col min="14" max="14" width="2" customWidth="1"/>
    <col min="19" max="19" width="2" customWidth="1"/>
  </cols>
  <sheetData>
    <row r="4" spans="2:18" s="1" customFormat="1" ht="32.5" customHeight="1" x14ac:dyDescent="0.35">
      <c r="B4" s="2" t="s">
        <v>995</v>
      </c>
    </row>
    <row r="8" spans="2:18" ht="30" customHeight="1" x14ac:dyDescent="0.35">
      <c r="D8" s="35" t="s">
        <v>144</v>
      </c>
      <c r="E8" s="36"/>
      <c r="F8" s="36"/>
      <c r="G8" s="36"/>
      <c r="J8" s="35" t="s">
        <v>992</v>
      </c>
      <c r="K8" s="36"/>
      <c r="L8" s="36"/>
      <c r="M8" s="36"/>
      <c r="O8" s="35" t="s">
        <v>100</v>
      </c>
      <c r="P8" s="36"/>
      <c r="Q8" s="36"/>
      <c r="R8" s="36"/>
    </row>
  </sheetData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89D86-880C-4478-B033-BCBD525B161A}">
  <sheetPr>
    <tabColor theme="9" tint="0.79998168889431442"/>
  </sheetPr>
  <dimension ref="A3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3" spans="1:20" x14ac:dyDescent="0.35">
      <c r="C3" s="575" t="s">
        <v>1103</v>
      </c>
      <c r="D3" s="575"/>
      <c r="E3" s="575"/>
      <c r="F3" s="575"/>
      <c r="G3" s="575"/>
    </row>
    <row r="4" spans="1:20" x14ac:dyDescent="0.35">
      <c r="A4" s="566" t="s">
        <v>1096</v>
      </c>
      <c r="C4" s="574" t="s">
        <v>1079</v>
      </c>
      <c r="D4" s="574" t="s">
        <v>1078</v>
      </c>
      <c r="E4" s="574" t="s">
        <v>1077</v>
      </c>
      <c r="F4" s="574">
        <v>2022</v>
      </c>
      <c r="G4" s="574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0</v>
      </c>
      <c r="D6" s="558">
        <f t="shared" si="0"/>
        <v>0</v>
      </c>
      <c r="E6" s="558">
        <f t="shared" si="0"/>
        <v>0</v>
      </c>
      <c r="F6" s="558">
        <f t="shared" si="0"/>
        <v>0</v>
      </c>
      <c r="G6" s="558">
        <f t="shared" si="0"/>
        <v>0</v>
      </c>
      <c r="H6" s="558">
        <f t="shared" si="0"/>
        <v>0</v>
      </c>
      <c r="I6" s="558">
        <f t="shared" si="0"/>
        <v>4527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4527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0</v>
      </c>
      <c r="D8" s="560">
        <f t="shared" si="2"/>
        <v>0</v>
      </c>
      <c r="E8" s="560">
        <f t="shared" si="2"/>
        <v>0</v>
      </c>
      <c r="F8" s="560">
        <f t="shared" si="2"/>
        <v>0</v>
      </c>
      <c r="G8" s="560">
        <f t="shared" si="2"/>
        <v>0</v>
      </c>
      <c r="H8" s="560">
        <f t="shared" si="2"/>
        <v>0</v>
      </c>
      <c r="I8" s="560">
        <f>SUM(I9:I10)</f>
        <v>0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0</v>
      </c>
    </row>
    <row r="9" spans="1:20" outlineLevel="1" x14ac:dyDescent="0.35">
      <c r="A9" s="556" t="s">
        <v>996</v>
      </c>
      <c r="C9" s="561"/>
      <c r="D9" s="561"/>
      <c r="E9" s="561"/>
      <c r="F9" s="561"/>
      <c r="G9" s="561"/>
      <c r="H9" s="561">
        <v>0</v>
      </c>
      <c r="I9" s="561">
        <v>0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0</v>
      </c>
    </row>
    <row r="10" spans="1:20" outlineLevel="1" x14ac:dyDescent="0.35">
      <c r="A10" s="556" t="s">
        <v>997</v>
      </c>
      <c r="C10" s="561"/>
      <c r="D10" s="561"/>
      <c r="E10" s="561"/>
      <c r="F10" s="561"/>
      <c r="G10" s="561"/>
      <c r="H10" s="561">
        <v>0</v>
      </c>
      <c r="I10" s="561">
        <v>0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0</v>
      </c>
    </row>
    <row r="11" spans="1:20" x14ac:dyDescent="0.35">
      <c r="A11" s="555" t="s">
        <v>248</v>
      </c>
      <c r="C11" s="560"/>
      <c r="D11" s="560"/>
      <c r="E11" s="560"/>
      <c r="F11" s="560"/>
      <c r="G11" s="560"/>
      <c r="H11" s="560">
        <v>0</v>
      </c>
      <c r="I11" s="560">
        <v>0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0</v>
      </c>
    </row>
    <row r="12" spans="1:20" x14ac:dyDescent="0.35">
      <c r="A12" s="555" t="s">
        <v>252</v>
      </c>
      <c r="C12" s="560"/>
      <c r="D12" s="560"/>
      <c r="E12" s="560"/>
      <c r="F12" s="560"/>
      <c r="G12" s="560"/>
      <c r="H12" s="560">
        <v>0</v>
      </c>
      <c r="I12" s="560">
        <v>4527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4527</v>
      </c>
    </row>
    <row r="13" spans="1:20" x14ac:dyDescent="0.35">
      <c r="A13" s="555" t="s">
        <v>249</v>
      </c>
      <c r="C13" s="560"/>
      <c r="D13" s="560"/>
      <c r="E13" s="560"/>
      <c r="F13" s="560"/>
      <c r="G13" s="560"/>
      <c r="H13" s="560">
        <v>0</v>
      </c>
      <c r="I13" s="560">
        <v>0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0</v>
      </c>
    </row>
    <row r="14" spans="1:20" x14ac:dyDescent="0.35">
      <c r="A14" s="555" t="s">
        <v>250</v>
      </c>
      <c r="C14" s="560"/>
      <c r="D14" s="560"/>
      <c r="E14" s="560"/>
      <c r="F14" s="560"/>
      <c r="G14" s="560"/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/>
      <c r="D15" s="560"/>
      <c r="E15" s="560"/>
      <c r="F15" s="560"/>
      <c r="G15" s="560"/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0</v>
      </c>
    </row>
    <row r="16" spans="1:20" x14ac:dyDescent="0.35">
      <c r="A16" s="555" t="s">
        <v>253</v>
      </c>
      <c r="C16" s="560"/>
      <c r="D16" s="560"/>
      <c r="E16" s="560"/>
      <c r="F16" s="560"/>
      <c r="G16" s="560"/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0</v>
      </c>
    </row>
    <row r="17" spans="1:20" x14ac:dyDescent="0.35">
      <c r="A17" s="555" t="s">
        <v>254</v>
      </c>
      <c r="C17" s="560">
        <f t="shared" ref="C17:H17" si="4">SUM(C18:C25)</f>
        <v>0</v>
      </c>
      <c r="D17" s="560">
        <f t="shared" si="4"/>
        <v>0</v>
      </c>
      <c r="E17" s="560">
        <f t="shared" si="4"/>
        <v>0</v>
      </c>
      <c r="F17" s="560">
        <f t="shared" si="4"/>
        <v>0</v>
      </c>
      <c r="G17" s="560">
        <f t="shared" si="4"/>
        <v>0</v>
      </c>
      <c r="H17" s="560">
        <f t="shared" si="4"/>
        <v>0</v>
      </c>
      <c r="I17" s="560">
        <f>SUM(I18:I25)</f>
        <v>0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0</v>
      </c>
    </row>
    <row r="18" spans="1:20" outlineLevel="1" x14ac:dyDescent="0.35">
      <c r="A18" s="556" t="s">
        <v>999</v>
      </c>
      <c r="C18" s="561"/>
      <c r="D18" s="561"/>
      <c r="E18" s="561"/>
      <c r="F18" s="561"/>
      <c r="G18" s="561"/>
      <c r="H18" s="561">
        <v>0</v>
      </c>
      <c r="I18" s="561">
        <v>0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0</v>
      </c>
    </row>
    <row r="19" spans="1:20" outlineLevel="1" x14ac:dyDescent="0.35">
      <c r="A19" s="556" t="s">
        <v>1000</v>
      </c>
      <c r="C19" s="561"/>
      <c r="D19" s="561"/>
      <c r="E19" s="561"/>
      <c r="F19" s="561"/>
      <c r="G19" s="561"/>
      <c r="H19" s="561">
        <v>0</v>
      </c>
      <c r="I19" s="561">
        <v>0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0</v>
      </c>
    </row>
    <row r="20" spans="1:20" outlineLevel="1" x14ac:dyDescent="0.35">
      <c r="A20" s="556" t="s">
        <v>1001</v>
      </c>
      <c r="C20" s="561"/>
      <c r="D20" s="561"/>
      <c r="E20" s="561"/>
      <c r="F20" s="561"/>
      <c r="G20" s="561"/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/>
      <c r="D21" s="561"/>
      <c r="E21" s="561"/>
      <c r="F21" s="561"/>
      <c r="G21" s="561"/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0</v>
      </c>
    </row>
    <row r="22" spans="1:20" outlineLevel="1" x14ac:dyDescent="0.35">
      <c r="A22" s="556" t="s">
        <v>1003</v>
      </c>
      <c r="C22" s="561"/>
      <c r="D22" s="561"/>
      <c r="E22" s="561"/>
      <c r="F22" s="561"/>
      <c r="G22" s="561"/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0</v>
      </c>
    </row>
    <row r="23" spans="1:20" outlineLevel="1" x14ac:dyDescent="0.35">
      <c r="A23" s="556" t="s">
        <v>640</v>
      </c>
      <c r="C23" s="561"/>
      <c r="D23" s="561"/>
      <c r="E23" s="561"/>
      <c r="F23" s="561"/>
      <c r="G23" s="561"/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/>
      <c r="D24" s="561"/>
      <c r="E24" s="561"/>
      <c r="F24" s="561"/>
      <c r="G24" s="561"/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0</v>
      </c>
    </row>
    <row r="25" spans="1:20" outlineLevel="1" x14ac:dyDescent="0.35">
      <c r="A25" s="556" t="s">
        <v>254</v>
      </c>
      <c r="C25" s="561"/>
      <c r="D25" s="561"/>
      <c r="E25" s="561"/>
      <c r="F25" s="561"/>
      <c r="G25" s="561"/>
      <c r="H25" s="561">
        <v>0</v>
      </c>
      <c r="I25" s="561">
        <v>0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0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0</v>
      </c>
      <c r="D27" s="558">
        <f t="shared" si="6"/>
        <v>0</v>
      </c>
      <c r="E27" s="558">
        <f t="shared" si="6"/>
        <v>0</v>
      </c>
      <c r="F27" s="558">
        <f t="shared" si="6"/>
        <v>0</v>
      </c>
      <c r="G27" s="558">
        <f t="shared" si="6"/>
        <v>0</v>
      </c>
      <c r="H27" s="558">
        <f t="shared" si="6"/>
        <v>0</v>
      </c>
      <c r="I27" s="558">
        <f>SUM(I29:I37)</f>
        <v>-447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-447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/>
      <c r="D29" s="561"/>
      <c r="E29" s="561"/>
      <c r="F29" s="561"/>
      <c r="G29" s="561"/>
      <c r="H29" s="561">
        <v>0</v>
      </c>
      <c r="I29" s="561">
        <v>0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0</v>
      </c>
    </row>
    <row r="30" spans="1:20" outlineLevel="1" x14ac:dyDescent="0.35">
      <c r="A30" s="556" t="s">
        <v>1007</v>
      </c>
      <c r="C30" s="561"/>
      <c r="D30" s="561"/>
      <c r="E30" s="561"/>
      <c r="F30" s="561"/>
      <c r="G30" s="561"/>
      <c r="H30" s="561">
        <v>0</v>
      </c>
      <c r="I30" s="561">
        <v>0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0</v>
      </c>
    </row>
    <row r="31" spans="1:20" outlineLevel="1" x14ac:dyDescent="0.35">
      <c r="A31" s="556" t="s">
        <v>1008</v>
      </c>
      <c r="C31" s="561"/>
      <c r="D31" s="561"/>
      <c r="E31" s="561"/>
      <c r="F31" s="561"/>
      <c r="G31" s="561"/>
      <c r="H31" s="561">
        <v>0</v>
      </c>
      <c r="I31" s="561">
        <v>-447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-447</v>
      </c>
    </row>
    <row r="32" spans="1:20" outlineLevel="1" x14ac:dyDescent="0.35">
      <c r="A32" s="556" t="s">
        <v>1009</v>
      </c>
      <c r="C32" s="561"/>
      <c r="D32" s="561"/>
      <c r="E32" s="561"/>
      <c r="F32" s="561"/>
      <c r="G32" s="561"/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0</v>
      </c>
    </row>
    <row r="33" spans="1:20" outlineLevel="1" x14ac:dyDescent="0.35">
      <c r="A33" s="556" t="s">
        <v>1010</v>
      </c>
      <c r="C33" s="561"/>
      <c r="D33" s="561"/>
      <c r="E33" s="561"/>
      <c r="F33" s="561"/>
      <c r="G33" s="561"/>
      <c r="H33" s="561">
        <v>0</v>
      </c>
      <c r="I33" s="561">
        <v>0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0</v>
      </c>
    </row>
    <row r="34" spans="1:20" outlineLevel="1" x14ac:dyDescent="0.35">
      <c r="A34" s="556" t="s">
        <v>1011</v>
      </c>
      <c r="C34" s="561"/>
      <c r="D34" s="561"/>
      <c r="E34" s="561"/>
      <c r="F34" s="561"/>
      <c r="G34" s="561"/>
      <c r="H34" s="561">
        <v>0</v>
      </c>
      <c r="I34" s="561">
        <v>0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0</v>
      </c>
    </row>
    <row r="35" spans="1:20" outlineLevel="1" x14ac:dyDescent="0.35">
      <c r="A35" s="556" t="s">
        <v>1012</v>
      </c>
      <c r="C35" s="561"/>
      <c r="D35" s="561"/>
      <c r="E35" s="561"/>
      <c r="F35" s="561"/>
      <c r="G35" s="561"/>
      <c r="H35" s="561">
        <v>0</v>
      </c>
      <c r="I35" s="561">
        <v>0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0</v>
      </c>
    </row>
    <row r="36" spans="1:20" outlineLevel="1" x14ac:dyDescent="0.35">
      <c r="A36" s="556" t="s">
        <v>1013</v>
      </c>
      <c r="C36" s="561"/>
      <c r="D36" s="561"/>
      <c r="E36" s="561"/>
      <c r="F36" s="561"/>
      <c r="G36" s="561"/>
      <c r="H36" s="561">
        <v>0</v>
      </c>
      <c r="I36" s="561">
        <v>0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0</v>
      </c>
    </row>
    <row r="37" spans="1:20" outlineLevel="1" x14ac:dyDescent="0.35">
      <c r="A37" s="556" t="s">
        <v>270</v>
      </c>
      <c r="C37" s="561"/>
      <c r="D37" s="561"/>
      <c r="E37" s="561"/>
      <c r="F37" s="561"/>
      <c r="G37" s="561"/>
      <c r="H37" s="561">
        <v>0</v>
      </c>
      <c r="I37" s="561">
        <v>0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0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0</v>
      </c>
      <c r="D39" s="558">
        <f t="shared" si="8"/>
        <v>0</v>
      </c>
      <c r="E39" s="558">
        <f t="shared" si="8"/>
        <v>0</v>
      </c>
      <c r="F39" s="558">
        <f t="shared" si="8"/>
        <v>0</v>
      </c>
      <c r="G39" s="558">
        <f t="shared" si="8"/>
        <v>0</v>
      </c>
      <c r="H39" s="558">
        <f t="shared" si="8"/>
        <v>0</v>
      </c>
      <c r="I39" s="558">
        <f>I27+I6</f>
        <v>4080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4080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0</v>
      </c>
      <c r="D41" s="562">
        <f t="shared" si="9"/>
        <v>0</v>
      </c>
      <c r="E41" s="562">
        <f t="shared" si="9"/>
        <v>0</v>
      </c>
      <c r="F41" s="562">
        <f t="shared" si="9"/>
        <v>0</v>
      </c>
      <c r="G41" s="562">
        <f t="shared" si="9"/>
        <v>0</v>
      </c>
      <c r="H41" s="562">
        <f t="shared" si="9"/>
        <v>0</v>
      </c>
      <c r="I41" s="562">
        <f>SUM(I43:I48)</f>
        <v>-3989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-3989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/>
      <c r="D43" s="560"/>
      <c r="E43" s="560"/>
      <c r="F43" s="560"/>
      <c r="G43" s="560"/>
      <c r="H43" s="560">
        <v>0</v>
      </c>
      <c r="I43" s="560">
        <v>-4591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-4591</v>
      </c>
    </row>
    <row r="44" spans="1:20" x14ac:dyDescent="0.35">
      <c r="A44" s="555" t="s">
        <v>1016</v>
      </c>
      <c r="C44" s="560"/>
      <c r="D44" s="560"/>
      <c r="E44" s="560"/>
      <c r="F44" s="560"/>
      <c r="G44" s="560"/>
      <c r="H44" s="560">
        <v>0</v>
      </c>
      <c r="I44" s="560">
        <v>0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0</v>
      </c>
    </row>
    <row r="45" spans="1:20" x14ac:dyDescent="0.35">
      <c r="A45" s="555" t="s">
        <v>312</v>
      </c>
      <c r="C45" s="560"/>
      <c r="D45" s="560"/>
      <c r="E45" s="560"/>
      <c r="F45" s="560"/>
      <c r="G45" s="560"/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/>
      <c r="D46" s="560"/>
      <c r="E46" s="560"/>
      <c r="F46" s="560"/>
      <c r="G46" s="560"/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/>
      <c r="D47" s="560"/>
      <c r="E47" s="560"/>
      <c r="F47" s="560"/>
      <c r="G47" s="560"/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0</v>
      </c>
      <c r="D48" s="560">
        <f t="shared" si="11"/>
        <v>0</v>
      </c>
      <c r="E48" s="560">
        <f t="shared" si="11"/>
        <v>0</v>
      </c>
      <c r="F48" s="560">
        <f t="shared" si="11"/>
        <v>0</v>
      </c>
      <c r="G48" s="560">
        <f t="shared" si="11"/>
        <v>0</v>
      </c>
      <c r="H48" s="560">
        <f t="shared" si="11"/>
        <v>0</v>
      </c>
      <c r="I48" s="560">
        <f>SUM(I49:I55)</f>
        <v>602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602</v>
      </c>
    </row>
    <row r="49" spans="1:20" outlineLevel="1" x14ac:dyDescent="0.35">
      <c r="A49" s="556" t="s">
        <v>1019</v>
      </c>
      <c r="C49" s="561"/>
      <c r="D49" s="561"/>
      <c r="E49" s="561"/>
      <c r="F49" s="561"/>
      <c r="G49" s="561"/>
      <c r="H49" s="561">
        <v>0</v>
      </c>
      <c r="I49" s="561">
        <v>-10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-10</v>
      </c>
    </row>
    <row r="50" spans="1:20" outlineLevel="1" x14ac:dyDescent="0.35">
      <c r="A50" s="556" t="s">
        <v>1020</v>
      </c>
      <c r="C50" s="561"/>
      <c r="D50" s="561"/>
      <c r="E50" s="561"/>
      <c r="F50" s="561"/>
      <c r="G50" s="561"/>
      <c r="H50" s="561">
        <v>0</v>
      </c>
      <c r="I50" s="561">
        <v>0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0</v>
      </c>
    </row>
    <row r="51" spans="1:20" outlineLevel="1" x14ac:dyDescent="0.35">
      <c r="A51" s="556" t="s">
        <v>1021</v>
      </c>
      <c r="C51" s="561"/>
      <c r="D51" s="561"/>
      <c r="E51" s="561"/>
      <c r="F51" s="561"/>
      <c r="G51" s="561"/>
      <c r="H51" s="561">
        <v>0</v>
      </c>
      <c r="I51" s="561">
        <v>284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284</v>
      </c>
    </row>
    <row r="52" spans="1:20" outlineLevel="1" x14ac:dyDescent="0.35">
      <c r="A52" s="556" t="s">
        <v>1022</v>
      </c>
      <c r="C52" s="561"/>
      <c r="D52" s="561"/>
      <c r="E52" s="561"/>
      <c r="F52" s="561"/>
      <c r="G52" s="561"/>
      <c r="H52" s="561">
        <v>0</v>
      </c>
      <c r="I52" s="561">
        <v>-4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-4</v>
      </c>
    </row>
    <row r="53" spans="1:20" outlineLevel="1" x14ac:dyDescent="0.35">
      <c r="A53" s="556" t="s">
        <v>1023</v>
      </c>
      <c r="C53" s="561"/>
      <c r="D53" s="561"/>
      <c r="E53" s="561"/>
      <c r="F53" s="561"/>
      <c r="G53" s="561"/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0</v>
      </c>
    </row>
    <row r="54" spans="1:20" outlineLevel="1" x14ac:dyDescent="0.35">
      <c r="A54" s="556" t="s">
        <v>1024</v>
      </c>
      <c r="C54" s="561"/>
      <c r="D54" s="561"/>
      <c r="E54" s="561"/>
      <c r="F54" s="561"/>
      <c r="G54" s="561"/>
      <c r="H54" s="561">
        <v>0</v>
      </c>
      <c r="I54" s="561">
        <v>0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0</v>
      </c>
    </row>
    <row r="55" spans="1:20" outlineLevel="1" x14ac:dyDescent="0.35">
      <c r="A55" s="556" t="s">
        <v>1025</v>
      </c>
      <c r="C55" s="561"/>
      <c r="D55" s="561"/>
      <c r="E55" s="561"/>
      <c r="F55" s="561"/>
      <c r="G55" s="561"/>
      <c r="H55" s="561">
        <v>0</v>
      </c>
      <c r="I55" s="561">
        <v>332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332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0</v>
      </c>
      <c r="D57" s="558">
        <f t="shared" si="13"/>
        <v>0</v>
      </c>
      <c r="E57" s="558">
        <f t="shared" si="13"/>
        <v>0</v>
      </c>
      <c r="F57" s="558">
        <f t="shared" si="13"/>
        <v>0</v>
      </c>
      <c r="G57" s="558">
        <f t="shared" si="13"/>
        <v>0</v>
      </c>
      <c r="H57" s="558">
        <f t="shared" si="13"/>
        <v>0</v>
      </c>
      <c r="I57" s="558">
        <f>I39+I41</f>
        <v>91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91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0</v>
      </c>
      <c r="D59" s="562">
        <f t="shared" si="14"/>
        <v>0</v>
      </c>
      <c r="E59" s="562">
        <f t="shared" si="14"/>
        <v>0</v>
      </c>
      <c r="F59" s="562">
        <f t="shared" si="14"/>
        <v>0</v>
      </c>
      <c r="G59" s="562">
        <f t="shared" si="14"/>
        <v>0</v>
      </c>
      <c r="H59" s="562">
        <f t="shared" si="14"/>
        <v>91</v>
      </c>
      <c r="I59" s="562">
        <f>I61+I67+I68+I77+I78</f>
        <v>768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677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0</v>
      </c>
      <c r="D61" s="560">
        <f t="shared" si="15"/>
        <v>0</v>
      </c>
      <c r="E61" s="560">
        <f t="shared" si="15"/>
        <v>0</v>
      </c>
      <c r="F61" s="560">
        <f t="shared" si="15"/>
        <v>0</v>
      </c>
      <c r="G61" s="560">
        <f t="shared" si="15"/>
        <v>0</v>
      </c>
      <c r="H61" s="560">
        <f t="shared" si="15"/>
        <v>0</v>
      </c>
      <c r="I61" s="560">
        <f>SUM(I62:I66)</f>
        <v>0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0</v>
      </c>
    </row>
    <row r="62" spans="1:20" outlineLevel="1" x14ac:dyDescent="0.35">
      <c r="A62" s="556" t="s">
        <v>1029</v>
      </c>
      <c r="C62" s="561"/>
      <c r="D62" s="561"/>
      <c r="E62" s="561"/>
      <c r="F62" s="561"/>
      <c r="G62" s="561"/>
      <c r="H62" s="561">
        <v>0</v>
      </c>
      <c r="I62" s="561">
        <v>0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0</v>
      </c>
    </row>
    <row r="63" spans="1:20" outlineLevel="1" x14ac:dyDescent="0.35">
      <c r="A63" s="556" t="s">
        <v>1030</v>
      </c>
      <c r="C63" s="561"/>
      <c r="D63" s="561"/>
      <c r="E63" s="561"/>
      <c r="F63" s="561"/>
      <c r="G63" s="561"/>
      <c r="H63" s="561">
        <v>0</v>
      </c>
      <c r="I63" s="561">
        <v>0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0</v>
      </c>
    </row>
    <row r="64" spans="1:20" outlineLevel="1" x14ac:dyDescent="0.35">
      <c r="A64" s="556" t="s">
        <v>1031</v>
      </c>
      <c r="C64" s="561"/>
      <c r="D64" s="561"/>
      <c r="E64" s="561"/>
      <c r="F64" s="561"/>
      <c r="G64" s="561"/>
      <c r="H64" s="561">
        <v>0</v>
      </c>
      <c r="I64" s="561">
        <v>0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0</v>
      </c>
    </row>
    <row r="65" spans="1:20" outlineLevel="1" x14ac:dyDescent="0.35">
      <c r="A65" s="556" t="s">
        <v>1032</v>
      </c>
      <c r="C65" s="561"/>
      <c r="D65" s="561"/>
      <c r="E65" s="561"/>
      <c r="F65" s="561"/>
      <c r="G65" s="561"/>
      <c r="H65" s="561">
        <v>0</v>
      </c>
      <c r="I65" s="561">
        <v>0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0</v>
      </c>
    </row>
    <row r="66" spans="1:20" outlineLevel="1" x14ac:dyDescent="0.35">
      <c r="A66" s="556" t="s">
        <v>1033</v>
      </c>
      <c r="C66" s="561"/>
      <c r="D66" s="561"/>
      <c r="E66" s="561"/>
      <c r="F66" s="561"/>
      <c r="G66" s="561"/>
      <c r="H66" s="561">
        <v>0</v>
      </c>
      <c r="I66" s="561">
        <v>0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0</v>
      </c>
    </row>
    <row r="67" spans="1:20" x14ac:dyDescent="0.35">
      <c r="A67" s="555" t="s">
        <v>1034</v>
      </c>
      <c r="C67" s="563"/>
      <c r="D67" s="563"/>
      <c r="E67" s="563"/>
      <c r="F67" s="563"/>
      <c r="G67" s="563"/>
      <c r="H67" s="563">
        <v>0</v>
      </c>
      <c r="I67" s="563">
        <v>0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0</v>
      </c>
    </row>
    <row r="68" spans="1:20" x14ac:dyDescent="0.35">
      <c r="A68" s="555" t="s">
        <v>1035</v>
      </c>
      <c r="C68" s="560">
        <f t="shared" ref="C68:H68" si="17">SUM(C69:C76)</f>
        <v>0</v>
      </c>
      <c r="D68" s="560">
        <f t="shared" si="17"/>
        <v>0</v>
      </c>
      <c r="E68" s="560">
        <f t="shared" si="17"/>
        <v>0</v>
      </c>
      <c r="F68" s="560">
        <f t="shared" si="17"/>
        <v>0</v>
      </c>
      <c r="G68" s="560">
        <f t="shared" si="17"/>
        <v>0</v>
      </c>
      <c r="H68" s="560">
        <f t="shared" si="17"/>
        <v>0</v>
      </c>
      <c r="I68" s="560">
        <f>SUM(I69:I76)</f>
        <v>629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629</v>
      </c>
    </row>
    <row r="69" spans="1:20" outlineLevel="1" x14ac:dyDescent="0.35">
      <c r="A69" s="556" t="s">
        <v>1036</v>
      </c>
      <c r="C69" s="561"/>
      <c r="D69" s="561"/>
      <c r="E69" s="561"/>
      <c r="F69" s="561"/>
      <c r="G69" s="561"/>
      <c r="H69" s="561">
        <v>0</v>
      </c>
      <c r="I69" s="561">
        <v>752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752</v>
      </c>
    </row>
    <row r="70" spans="1:20" outlineLevel="1" x14ac:dyDescent="0.35">
      <c r="A70" s="556" t="s">
        <v>1037</v>
      </c>
      <c r="C70" s="561"/>
      <c r="D70" s="561"/>
      <c r="E70" s="561"/>
      <c r="F70" s="561"/>
      <c r="G70" s="561"/>
      <c r="H70" s="561">
        <v>0</v>
      </c>
      <c r="I70" s="561">
        <v>-1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-1</v>
      </c>
    </row>
    <row r="71" spans="1:20" outlineLevel="1" x14ac:dyDescent="0.35">
      <c r="A71" s="556" t="s">
        <v>1038</v>
      </c>
      <c r="C71" s="561"/>
      <c r="D71" s="561"/>
      <c r="E71" s="561"/>
      <c r="F71" s="561"/>
      <c r="G71" s="561"/>
      <c r="H71" s="561">
        <v>0</v>
      </c>
      <c r="I71" s="561">
        <v>-93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-93</v>
      </c>
    </row>
    <row r="72" spans="1:20" outlineLevel="1" x14ac:dyDescent="0.35">
      <c r="A72" s="556" t="s">
        <v>1039</v>
      </c>
      <c r="C72" s="561"/>
      <c r="D72" s="561"/>
      <c r="E72" s="561"/>
      <c r="F72" s="561"/>
      <c r="G72" s="561"/>
      <c r="H72" s="561">
        <v>0</v>
      </c>
      <c r="I72" s="561">
        <v>0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0</v>
      </c>
    </row>
    <row r="73" spans="1:20" outlineLevel="1" x14ac:dyDescent="0.35">
      <c r="A73" s="556" t="s">
        <v>1040</v>
      </c>
      <c r="C73" s="561"/>
      <c r="D73" s="561"/>
      <c r="E73" s="561"/>
      <c r="F73" s="561"/>
      <c r="G73" s="561"/>
      <c r="H73" s="561">
        <v>0</v>
      </c>
      <c r="I73" s="561">
        <v>-29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-29</v>
      </c>
    </row>
    <row r="74" spans="1:20" outlineLevel="1" x14ac:dyDescent="0.35">
      <c r="A74" s="556" t="s">
        <v>1041</v>
      </c>
      <c r="C74" s="561"/>
      <c r="D74" s="561"/>
      <c r="E74" s="561"/>
      <c r="F74" s="561"/>
      <c r="G74" s="561"/>
      <c r="H74" s="561">
        <v>0</v>
      </c>
      <c r="I74" s="561">
        <v>0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0</v>
      </c>
    </row>
    <row r="75" spans="1:20" outlineLevel="1" x14ac:dyDescent="0.35">
      <c r="A75" s="556" t="s">
        <v>1042</v>
      </c>
      <c r="C75" s="561"/>
      <c r="D75" s="561"/>
      <c r="E75" s="561"/>
      <c r="F75" s="561"/>
      <c r="G75" s="561"/>
      <c r="H75" s="561">
        <v>0</v>
      </c>
      <c r="I75" s="561">
        <v>0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0</v>
      </c>
    </row>
    <row r="76" spans="1:20" outlineLevel="1" x14ac:dyDescent="0.35">
      <c r="A76" s="556" t="s">
        <v>1043</v>
      </c>
      <c r="C76" s="561"/>
      <c r="D76" s="561"/>
      <c r="E76" s="561"/>
      <c r="F76" s="561"/>
      <c r="G76" s="561"/>
      <c r="H76" s="561">
        <v>0</v>
      </c>
      <c r="I76" s="561"/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0</v>
      </c>
    </row>
    <row r="77" spans="1:20" x14ac:dyDescent="0.35">
      <c r="A77" s="555" t="s">
        <v>1044</v>
      </c>
      <c r="C77" s="560"/>
      <c r="D77" s="560"/>
      <c r="E77" s="560"/>
      <c r="F77" s="560"/>
      <c r="G77" s="560"/>
      <c r="H77" s="560">
        <v>91</v>
      </c>
      <c r="I77" s="560">
        <v>91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0</v>
      </c>
    </row>
    <row r="78" spans="1:20" x14ac:dyDescent="0.35">
      <c r="A78" s="555" t="s">
        <v>1045</v>
      </c>
      <c r="C78" s="560">
        <f t="shared" ref="C78:H78" si="19">SUM(C79:C80)</f>
        <v>0</v>
      </c>
      <c r="D78" s="560">
        <f t="shared" si="19"/>
        <v>0</v>
      </c>
      <c r="E78" s="560">
        <f t="shared" si="19"/>
        <v>0</v>
      </c>
      <c r="F78" s="560">
        <f t="shared" si="19"/>
        <v>0</v>
      </c>
      <c r="G78" s="560">
        <f t="shared" si="19"/>
        <v>0</v>
      </c>
      <c r="H78" s="560">
        <f t="shared" si="19"/>
        <v>0</v>
      </c>
      <c r="I78" s="560">
        <f>SUM(I79:I80)</f>
        <v>48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48</v>
      </c>
    </row>
    <row r="79" spans="1:20" outlineLevel="1" x14ac:dyDescent="0.35">
      <c r="A79" s="556" t="s">
        <v>1046</v>
      </c>
      <c r="C79" s="561"/>
      <c r="D79" s="561"/>
      <c r="E79" s="561"/>
      <c r="F79" s="561"/>
      <c r="G79" s="561"/>
      <c r="H79" s="561">
        <v>0</v>
      </c>
      <c r="I79" s="561">
        <v>48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48</v>
      </c>
    </row>
    <row r="80" spans="1:20" outlineLevel="1" x14ac:dyDescent="0.35">
      <c r="A80" s="556" t="s">
        <v>1047</v>
      </c>
      <c r="C80" s="561"/>
      <c r="D80" s="561"/>
      <c r="E80" s="561"/>
      <c r="F80" s="561"/>
      <c r="G80" s="561"/>
      <c r="H80" s="561">
        <v>0</v>
      </c>
      <c r="I80" s="561">
        <v>0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0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0</v>
      </c>
      <c r="D82" s="558">
        <f t="shared" si="21"/>
        <v>0</v>
      </c>
      <c r="E82" s="558">
        <f t="shared" si="21"/>
        <v>0</v>
      </c>
      <c r="F82" s="558">
        <f t="shared" si="21"/>
        <v>0</v>
      </c>
      <c r="G82" s="558">
        <f t="shared" si="21"/>
        <v>0</v>
      </c>
      <c r="H82" s="558">
        <f t="shared" si="21"/>
        <v>91</v>
      </c>
      <c r="I82" s="558">
        <f>I84-I75-I52-I76</f>
        <v>863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772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0</v>
      </c>
      <c r="D84" s="558">
        <f t="shared" si="22"/>
        <v>0</v>
      </c>
      <c r="E84" s="558">
        <f t="shared" si="22"/>
        <v>0</v>
      </c>
      <c r="F84" s="558">
        <f t="shared" si="22"/>
        <v>0</v>
      </c>
      <c r="G84" s="558">
        <f t="shared" si="22"/>
        <v>0</v>
      </c>
      <c r="H84" s="558">
        <f t="shared" si="22"/>
        <v>91</v>
      </c>
      <c r="I84" s="558">
        <f>I57+I59</f>
        <v>859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768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0</v>
      </c>
      <c r="D86" s="558">
        <f t="shared" si="23"/>
        <v>0</v>
      </c>
      <c r="E86" s="558">
        <f t="shared" si="23"/>
        <v>0</v>
      </c>
      <c r="F86" s="558">
        <f t="shared" si="23"/>
        <v>0</v>
      </c>
      <c r="G86" s="558">
        <f t="shared" si="23"/>
        <v>0</v>
      </c>
      <c r="H86" s="558">
        <f t="shared" si="23"/>
        <v>8</v>
      </c>
      <c r="I86" s="558">
        <f>I88+I97</f>
        <v>7500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7492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0</v>
      </c>
      <c r="D88" s="562">
        <f t="shared" si="24"/>
        <v>0</v>
      </c>
      <c r="E88" s="562">
        <f t="shared" si="24"/>
        <v>0</v>
      </c>
      <c r="F88" s="562">
        <f t="shared" si="24"/>
        <v>0</v>
      </c>
      <c r="G88" s="562">
        <f t="shared" si="24"/>
        <v>0</v>
      </c>
      <c r="H88" s="562">
        <f t="shared" si="24"/>
        <v>8</v>
      </c>
      <c r="I88" s="562">
        <f>SUM(I89:I96)</f>
        <v>6477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6469</v>
      </c>
    </row>
    <row r="89" spans="1:20" outlineLevel="1" x14ac:dyDescent="0.35">
      <c r="A89" s="556" t="s">
        <v>1049</v>
      </c>
      <c r="C89" s="561"/>
      <c r="D89" s="561"/>
      <c r="E89" s="561"/>
      <c r="F89" s="561"/>
      <c r="G89" s="561"/>
      <c r="H89" s="561">
        <v>8</v>
      </c>
      <c r="I89" s="561">
        <v>6770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6762</v>
      </c>
    </row>
    <row r="90" spans="1:20" outlineLevel="1" x14ac:dyDescent="0.35">
      <c r="A90" s="556" t="s">
        <v>1050</v>
      </c>
      <c r="C90" s="561"/>
      <c r="D90" s="561"/>
      <c r="E90" s="561"/>
      <c r="F90" s="561"/>
      <c r="G90" s="561"/>
      <c r="H90" s="561">
        <v>0</v>
      </c>
      <c r="I90" s="561">
        <v>-293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-293</v>
      </c>
    </row>
    <row r="91" spans="1:20" outlineLevel="1" x14ac:dyDescent="0.35">
      <c r="A91" s="556" t="s">
        <v>1051</v>
      </c>
      <c r="C91" s="561"/>
      <c r="D91" s="561"/>
      <c r="E91" s="561"/>
      <c r="F91" s="561"/>
      <c r="G91" s="561"/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/>
      <c r="D92" s="561"/>
      <c r="E92" s="561"/>
      <c r="F92" s="561"/>
      <c r="G92" s="561"/>
      <c r="H92" s="561">
        <v>0</v>
      </c>
      <c r="I92" s="561">
        <v>0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0</v>
      </c>
    </row>
    <row r="93" spans="1:20" outlineLevel="1" x14ac:dyDescent="0.35">
      <c r="A93" s="556" t="s">
        <v>1053</v>
      </c>
      <c r="C93" s="561"/>
      <c r="D93" s="561"/>
      <c r="E93" s="561"/>
      <c r="F93" s="561"/>
      <c r="G93" s="561"/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/>
      <c r="D94" s="561"/>
      <c r="E94" s="561"/>
      <c r="F94" s="561"/>
      <c r="G94" s="561"/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/>
      <c r="D95" s="561"/>
      <c r="E95" s="561"/>
      <c r="F95" s="561"/>
      <c r="G95" s="561"/>
      <c r="H95" s="561">
        <v>0</v>
      </c>
      <c r="I95" s="561"/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0</v>
      </c>
    </row>
    <row r="96" spans="1:20" outlineLevel="1" x14ac:dyDescent="0.35">
      <c r="A96" s="556" t="s">
        <v>1056</v>
      </c>
      <c r="C96" s="561"/>
      <c r="D96" s="561"/>
      <c r="E96" s="561"/>
      <c r="F96" s="561"/>
      <c r="G96" s="561"/>
      <c r="H96" s="561">
        <v>0</v>
      </c>
      <c r="I96" s="561">
        <v>0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0</v>
      </c>
    </row>
    <row r="97" spans="1:20" x14ac:dyDescent="0.35">
      <c r="A97" s="555" t="s">
        <v>279</v>
      </c>
      <c r="C97" s="560">
        <f t="shared" ref="C97:H97" si="26">SUM(C98:C106)</f>
        <v>0</v>
      </c>
      <c r="D97" s="560">
        <f t="shared" si="26"/>
        <v>0</v>
      </c>
      <c r="E97" s="560">
        <f t="shared" si="26"/>
        <v>0</v>
      </c>
      <c r="F97" s="560">
        <f t="shared" si="26"/>
        <v>0</v>
      </c>
      <c r="G97" s="560">
        <f t="shared" si="26"/>
        <v>0</v>
      </c>
      <c r="H97" s="560">
        <f t="shared" si="26"/>
        <v>0</v>
      </c>
      <c r="I97" s="560">
        <f>SUM(I98:I106)</f>
        <v>1023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1023</v>
      </c>
    </row>
    <row r="98" spans="1:20" outlineLevel="1" x14ac:dyDescent="0.35">
      <c r="A98" s="556" t="s">
        <v>1057</v>
      </c>
      <c r="C98" s="561"/>
      <c r="D98" s="561"/>
      <c r="E98" s="561"/>
      <c r="F98" s="561"/>
      <c r="G98" s="561"/>
      <c r="H98" s="561">
        <v>0</v>
      </c>
      <c r="I98" s="561">
        <v>1049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1049</v>
      </c>
    </row>
    <row r="99" spans="1:20" outlineLevel="1" x14ac:dyDescent="0.35">
      <c r="A99" s="556" t="s">
        <v>1058</v>
      </c>
      <c r="C99" s="561"/>
      <c r="D99" s="561"/>
      <c r="E99" s="561"/>
      <c r="F99" s="561"/>
      <c r="G99" s="561"/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0</v>
      </c>
    </row>
    <row r="100" spans="1:20" outlineLevel="1" x14ac:dyDescent="0.35">
      <c r="A100" s="556" t="s">
        <v>1059</v>
      </c>
      <c r="C100" s="561"/>
      <c r="D100" s="561"/>
      <c r="E100" s="561"/>
      <c r="F100" s="561"/>
      <c r="G100" s="561"/>
      <c r="H100" s="561">
        <v>0</v>
      </c>
      <c r="I100" s="561">
        <v>0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0</v>
      </c>
    </row>
    <row r="101" spans="1:20" outlineLevel="1" x14ac:dyDescent="0.35">
      <c r="A101" s="556" t="s">
        <v>1060</v>
      </c>
      <c r="C101" s="561"/>
      <c r="D101" s="561"/>
      <c r="E101" s="561"/>
      <c r="F101" s="561"/>
      <c r="G101" s="561"/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0</v>
      </c>
    </row>
    <row r="102" spans="1:20" outlineLevel="1" x14ac:dyDescent="0.35">
      <c r="A102" s="556" t="s">
        <v>1061</v>
      </c>
      <c r="C102" s="561"/>
      <c r="D102" s="561"/>
      <c r="E102" s="561"/>
      <c r="F102" s="561"/>
      <c r="G102" s="561"/>
      <c r="H102" s="561">
        <v>0</v>
      </c>
      <c r="I102" s="561">
        <v>0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0</v>
      </c>
    </row>
    <row r="103" spans="1:20" outlineLevel="1" x14ac:dyDescent="0.35">
      <c r="A103" s="556" t="s">
        <v>1062</v>
      </c>
      <c r="C103" s="561"/>
      <c r="D103" s="561"/>
      <c r="E103" s="561"/>
      <c r="F103" s="561"/>
      <c r="G103" s="561"/>
      <c r="H103" s="561">
        <v>0</v>
      </c>
      <c r="I103" s="561">
        <v>0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0</v>
      </c>
    </row>
    <row r="104" spans="1:20" outlineLevel="1" x14ac:dyDescent="0.35">
      <c r="A104" s="556" t="s">
        <v>1063</v>
      </c>
      <c r="C104" s="561"/>
      <c r="D104" s="561"/>
      <c r="E104" s="561"/>
      <c r="F104" s="561"/>
      <c r="G104" s="561"/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/>
      <c r="D105" s="561"/>
      <c r="E105" s="561"/>
      <c r="F105" s="561"/>
      <c r="G105" s="561"/>
      <c r="H105" s="561">
        <v>0</v>
      </c>
      <c r="I105" s="561">
        <v>0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0</v>
      </c>
    </row>
    <row r="106" spans="1:20" outlineLevel="1" x14ac:dyDescent="0.35">
      <c r="A106" s="556" t="s">
        <v>1065</v>
      </c>
      <c r="C106" s="561"/>
      <c r="D106" s="561"/>
      <c r="E106" s="561"/>
      <c r="F106" s="561"/>
      <c r="G106" s="561"/>
      <c r="H106" s="561">
        <v>0</v>
      </c>
      <c r="I106" s="561">
        <v>-26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-26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0</v>
      </c>
      <c r="D108" s="558">
        <f t="shared" si="28"/>
        <v>0</v>
      </c>
      <c r="E108" s="558">
        <f t="shared" si="28"/>
        <v>0</v>
      </c>
      <c r="F108" s="558">
        <f t="shared" si="28"/>
        <v>0</v>
      </c>
      <c r="G108" s="558">
        <f t="shared" si="28"/>
        <v>0</v>
      </c>
      <c r="H108" s="558">
        <f t="shared" si="28"/>
        <v>99</v>
      </c>
      <c r="I108" s="558">
        <f>I84+I86</f>
        <v>8359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8260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H110" si="29">SUM(C112:C115)</f>
        <v>0</v>
      </c>
      <c r="D110" s="562">
        <f t="shared" si="29"/>
        <v>0</v>
      </c>
      <c r="E110" s="562">
        <f t="shared" si="29"/>
        <v>0</v>
      </c>
      <c r="F110" s="562">
        <f t="shared" si="29"/>
        <v>0</v>
      </c>
      <c r="G110" s="562">
        <f t="shared" si="29"/>
        <v>0</v>
      </c>
      <c r="H110" s="562">
        <f t="shared" si="29"/>
        <v>-2</v>
      </c>
      <c r="I110" s="562">
        <f>SUM(I112:I115)</f>
        <v>-2048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-2046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/>
      <c r="D112" s="563"/>
      <c r="E112" s="563"/>
      <c r="F112" s="563"/>
      <c r="G112" s="563"/>
      <c r="H112" s="563">
        <v>0</v>
      </c>
      <c r="I112" s="563">
        <v>-605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-605</v>
      </c>
    </row>
    <row r="113" spans="1:20" x14ac:dyDescent="0.35">
      <c r="A113" s="555" t="s">
        <v>282</v>
      </c>
      <c r="C113" s="563"/>
      <c r="D113" s="563"/>
      <c r="E113" s="563"/>
      <c r="F113" s="563"/>
      <c r="G113" s="563"/>
      <c r="H113" s="563">
        <v>-2</v>
      </c>
      <c r="I113" s="563">
        <v>-1535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-1533</v>
      </c>
    </row>
    <row r="114" spans="1:20" x14ac:dyDescent="0.35">
      <c r="A114" s="555" t="s">
        <v>284</v>
      </c>
      <c r="C114" s="563"/>
      <c r="D114" s="563"/>
      <c r="E114" s="563"/>
      <c r="F114" s="563"/>
      <c r="G114" s="563"/>
      <c r="H114" s="563">
        <v>0</v>
      </c>
      <c r="I114" s="563">
        <v>0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0</v>
      </c>
    </row>
    <row r="115" spans="1:20" x14ac:dyDescent="0.35">
      <c r="A115" s="555" t="s">
        <v>1068</v>
      </c>
      <c r="C115" s="563"/>
      <c r="D115" s="563"/>
      <c r="E115" s="563"/>
      <c r="F115" s="563"/>
      <c r="G115" s="563"/>
      <c r="H115" s="563">
        <v>0</v>
      </c>
      <c r="I115" s="563">
        <v>92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92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H117" si="31">C108+C110</f>
        <v>0</v>
      </c>
      <c r="D117" s="564">
        <f t="shared" si="31"/>
        <v>0</v>
      </c>
      <c r="E117" s="564">
        <f t="shared" si="31"/>
        <v>0</v>
      </c>
      <c r="F117" s="564">
        <f t="shared" si="31"/>
        <v>0</v>
      </c>
      <c r="G117" s="564">
        <f t="shared" si="31"/>
        <v>0</v>
      </c>
      <c r="H117" s="564">
        <f t="shared" si="31"/>
        <v>97</v>
      </c>
      <c r="I117" s="564">
        <f>I108+I110</f>
        <v>6311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6214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H120" si="32">C117-C121</f>
        <v>0</v>
      </c>
      <c r="D120" s="563">
        <f t="shared" si="32"/>
        <v>0</v>
      </c>
      <c r="E120" s="563">
        <f t="shared" si="32"/>
        <v>0</v>
      </c>
      <c r="F120" s="563">
        <f t="shared" si="32"/>
        <v>0</v>
      </c>
      <c r="G120" s="563">
        <f t="shared" si="32"/>
        <v>0</v>
      </c>
      <c r="H120" s="563">
        <f t="shared" si="32"/>
        <v>97</v>
      </c>
      <c r="I120" s="563">
        <f>I117-I121</f>
        <v>6311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3">I120-H120</f>
        <v>6214</v>
      </c>
    </row>
    <row r="121" spans="1:20" x14ac:dyDescent="0.35">
      <c r="A121" s="555" t="s">
        <v>1072</v>
      </c>
      <c r="C121" s="563">
        <f t="shared" ref="C121:H121" si="34">C117*C126</f>
        <v>0</v>
      </c>
      <c r="D121" s="563">
        <f t="shared" si="34"/>
        <v>0</v>
      </c>
      <c r="E121" s="563">
        <f t="shared" si="34"/>
        <v>0</v>
      </c>
      <c r="F121" s="563">
        <f t="shared" si="34"/>
        <v>0</v>
      </c>
      <c r="G121" s="563">
        <f t="shared" si="34"/>
        <v>0</v>
      </c>
      <c r="H121" s="563">
        <f t="shared" si="34"/>
        <v>0</v>
      </c>
      <c r="I121" s="563">
        <f>I117*I126</f>
        <v>0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3"/>
        <v>0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H123" si="35">SUM(C120:C121)</f>
        <v>0</v>
      </c>
      <c r="D123" s="564">
        <f t="shared" si="35"/>
        <v>0</v>
      </c>
      <c r="E123" s="564">
        <f t="shared" si="35"/>
        <v>0</v>
      </c>
      <c r="F123" s="564">
        <f t="shared" si="35"/>
        <v>0</v>
      </c>
      <c r="G123" s="564">
        <f t="shared" si="35"/>
        <v>0</v>
      </c>
      <c r="H123" s="564">
        <f t="shared" si="35"/>
        <v>97</v>
      </c>
      <c r="I123" s="564">
        <f>SUM(I120:I121)</f>
        <v>6311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6214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>
        <v>1</v>
      </c>
      <c r="D125" s="571">
        <v>1</v>
      </c>
      <c r="E125" s="571">
        <v>1</v>
      </c>
      <c r="F125" s="571">
        <v>1</v>
      </c>
      <c r="G125" s="571">
        <v>1</v>
      </c>
      <c r="H125" s="571">
        <v>1</v>
      </c>
      <c r="I125" s="571">
        <v>1</v>
      </c>
      <c r="T125" s="571">
        <f>I125</f>
        <v>1</v>
      </c>
    </row>
    <row r="126" spans="1:20" s="570" customFormat="1" ht="10.5" x14ac:dyDescent="0.25">
      <c r="A126" s="569" t="s">
        <v>1087</v>
      </c>
      <c r="C126" s="571">
        <v>0</v>
      </c>
      <c r="D126" s="571">
        <v>0</v>
      </c>
      <c r="E126" s="571">
        <v>0</v>
      </c>
      <c r="F126" s="571">
        <v>0</v>
      </c>
      <c r="G126" s="571">
        <v>0</v>
      </c>
      <c r="H126" s="571">
        <v>0</v>
      </c>
      <c r="I126" s="571">
        <v>0</v>
      </c>
      <c r="T126" s="571">
        <f>I126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1592-6B7F-45A1-B521-BAB40D846819}">
  <sheetPr>
    <tabColor theme="9" tint="0.79998168889431442"/>
  </sheetPr>
  <dimension ref="A4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1097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543322</v>
      </c>
      <c r="D6" s="558">
        <f t="shared" si="0"/>
        <v>1108661</v>
      </c>
      <c r="E6" s="558">
        <f t="shared" si="0"/>
        <v>1723541</v>
      </c>
      <c r="F6" s="558">
        <f t="shared" si="0"/>
        <v>2363383</v>
      </c>
      <c r="G6" s="558">
        <f t="shared" si="0"/>
        <v>606718</v>
      </c>
      <c r="H6" s="558">
        <f t="shared" si="0"/>
        <v>1199922</v>
      </c>
      <c r="I6" s="558">
        <f t="shared" si="0"/>
        <v>1933706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733784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0</v>
      </c>
      <c r="D8" s="560">
        <f t="shared" si="2"/>
        <v>0</v>
      </c>
      <c r="E8" s="560">
        <f t="shared" si="2"/>
        <v>0</v>
      </c>
      <c r="F8" s="560">
        <f t="shared" si="2"/>
        <v>0</v>
      </c>
      <c r="G8" s="560">
        <f t="shared" si="2"/>
        <v>0</v>
      </c>
      <c r="H8" s="560">
        <f t="shared" si="2"/>
        <v>0</v>
      </c>
      <c r="I8" s="560">
        <f>SUM(I9:I10)</f>
        <v>0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0</v>
      </c>
    </row>
    <row r="9" spans="1:20" outlineLevel="1" x14ac:dyDescent="0.35">
      <c r="A9" s="556" t="s">
        <v>996</v>
      </c>
      <c r="C9" s="561">
        <v>0</v>
      </c>
      <c r="D9" s="561">
        <v>0</v>
      </c>
      <c r="E9" s="561">
        <v>0</v>
      </c>
      <c r="F9" s="561">
        <v>0</v>
      </c>
      <c r="G9" s="561">
        <v>0</v>
      </c>
      <c r="H9" s="561">
        <v>0</v>
      </c>
      <c r="I9" s="561">
        <v>0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0</v>
      </c>
    </row>
    <row r="10" spans="1:20" outlineLevel="1" x14ac:dyDescent="0.35">
      <c r="A10" s="556" t="s">
        <v>997</v>
      </c>
      <c r="C10" s="561">
        <v>0</v>
      </c>
      <c r="D10" s="561">
        <v>0</v>
      </c>
      <c r="E10" s="561">
        <v>0</v>
      </c>
      <c r="F10" s="561">
        <v>0</v>
      </c>
      <c r="G10" s="561">
        <v>0</v>
      </c>
      <c r="H10" s="561">
        <v>0</v>
      </c>
      <c r="I10" s="561">
        <v>0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0</v>
      </c>
    </row>
    <row r="11" spans="1:20" x14ac:dyDescent="0.35">
      <c r="A11" s="555" t="s">
        <v>248</v>
      </c>
      <c r="C11" s="560">
        <v>0</v>
      </c>
      <c r="D11" s="560">
        <v>0</v>
      </c>
      <c r="E11" s="560">
        <v>0</v>
      </c>
      <c r="F11" s="560">
        <v>0</v>
      </c>
      <c r="G11" s="560">
        <v>0</v>
      </c>
      <c r="H11" s="560">
        <v>0</v>
      </c>
      <c r="I11" s="560">
        <v>0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0</v>
      </c>
    </row>
    <row r="12" spans="1:20" x14ac:dyDescent="0.35">
      <c r="A12" s="555" t="s">
        <v>252</v>
      </c>
      <c r="C12" s="560">
        <v>66744</v>
      </c>
      <c r="D12" s="560">
        <v>265619</v>
      </c>
      <c r="E12" s="560">
        <v>573582</v>
      </c>
      <c r="F12" s="560">
        <v>862231</v>
      </c>
      <c r="G12" s="560">
        <v>250025</v>
      </c>
      <c r="H12" s="560">
        <v>465137</v>
      </c>
      <c r="I12" s="560">
        <v>751476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286339</v>
      </c>
    </row>
    <row r="13" spans="1:20" x14ac:dyDescent="0.35">
      <c r="A13" s="555" t="s">
        <v>249</v>
      </c>
      <c r="C13" s="560">
        <v>107282</v>
      </c>
      <c r="D13" s="560">
        <v>107282</v>
      </c>
      <c r="E13" s="560">
        <v>107282</v>
      </c>
      <c r="F13" s="560">
        <v>107282</v>
      </c>
      <c r="G13" s="560">
        <v>1356</v>
      </c>
      <c r="H13" s="560">
        <v>8588</v>
      </c>
      <c r="I13" s="560">
        <v>69601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61013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>
        <v>15039</v>
      </c>
      <c r="D15" s="560">
        <v>43096</v>
      </c>
      <c r="E15" s="560">
        <v>64325</v>
      </c>
      <c r="F15" s="560">
        <v>93685</v>
      </c>
      <c r="G15" s="560">
        <v>25689</v>
      </c>
      <c r="H15" s="560">
        <v>50348</v>
      </c>
      <c r="I15" s="560">
        <v>98112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47764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0</v>
      </c>
    </row>
    <row r="17" spans="1:20" x14ac:dyDescent="0.35">
      <c r="A17" s="555" t="s">
        <v>254</v>
      </c>
      <c r="C17" s="560">
        <f t="shared" ref="C17:H17" si="4">SUM(C18:C25)</f>
        <v>354257</v>
      </c>
      <c r="D17" s="560">
        <f t="shared" si="4"/>
        <v>692664</v>
      </c>
      <c r="E17" s="560">
        <f t="shared" si="4"/>
        <v>978352</v>
      </c>
      <c r="F17" s="560">
        <f t="shared" si="4"/>
        <v>1300185</v>
      </c>
      <c r="G17" s="560">
        <f t="shared" si="4"/>
        <v>329648</v>
      </c>
      <c r="H17" s="560">
        <f t="shared" si="4"/>
        <v>675849</v>
      </c>
      <c r="I17" s="560">
        <f>SUM(I18:I25)</f>
        <v>1014517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338668</v>
      </c>
    </row>
    <row r="18" spans="1:20" outlineLevel="1" x14ac:dyDescent="0.35">
      <c r="A18" s="556" t="s">
        <v>999</v>
      </c>
      <c r="C18" s="561">
        <v>0</v>
      </c>
      <c r="D18" s="561">
        <v>0</v>
      </c>
      <c r="E18" s="561">
        <v>0</v>
      </c>
      <c r="F18" s="561">
        <v>0</v>
      </c>
      <c r="G18" s="561">
        <v>0</v>
      </c>
      <c r="H18" s="561">
        <v>0</v>
      </c>
      <c r="I18" s="561">
        <v>0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0</v>
      </c>
    </row>
    <row r="19" spans="1:20" outlineLevel="1" x14ac:dyDescent="0.35">
      <c r="A19" s="556" t="s">
        <v>1000</v>
      </c>
      <c r="C19" s="561">
        <v>0</v>
      </c>
      <c r="D19" s="561">
        <v>0</v>
      </c>
      <c r="E19" s="561">
        <v>0</v>
      </c>
      <c r="F19" s="561">
        <v>0</v>
      </c>
      <c r="G19" s="561">
        <v>0</v>
      </c>
      <c r="H19" s="561">
        <v>0</v>
      </c>
      <c r="I19" s="561">
        <v>0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0</v>
      </c>
    </row>
    <row r="20" spans="1:20" outlineLevel="1" x14ac:dyDescent="0.35">
      <c r="A20" s="556" t="s">
        <v>1001</v>
      </c>
      <c r="C20" s="561">
        <v>0</v>
      </c>
      <c r="D20" s="561">
        <v>14956</v>
      </c>
      <c r="E20" s="561">
        <v>14956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>
        <v>374522</v>
      </c>
      <c r="D21" s="561">
        <v>704044</v>
      </c>
      <c r="E21" s="561">
        <v>1049686</v>
      </c>
      <c r="F21" s="561">
        <v>1422140</v>
      </c>
      <c r="G21" s="561">
        <v>362644</v>
      </c>
      <c r="H21" s="561">
        <v>741662</v>
      </c>
      <c r="I21" s="561">
        <v>1102115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360453</v>
      </c>
    </row>
    <row r="22" spans="1:20" outlineLevel="1" x14ac:dyDescent="0.35">
      <c r="A22" s="556" t="s">
        <v>1003</v>
      </c>
      <c r="C22" s="561">
        <v>-34643</v>
      </c>
      <c r="D22" s="561">
        <v>-66508</v>
      </c>
      <c r="E22" s="561">
        <v>-98480</v>
      </c>
      <c r="F22" s="561">
        <v>-131548</v>
      </c>
      <c r="G22" s="561">
        <v>-33544</v>
      </c>
      <c r="H22" s="561">
        <v>-68604</v>
      </c>
      <c r="I22" s="561">
        <v>-101945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-33341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0</v>
      </c>
    </row>
    <row r="25" spans="1:20" outlineLevel="1" x14ac:dyDescent="0.35">
      <c r="A25" s="556" t="s">
        <v>254</v>
      </c>
      <c r="C25" s="561">
        <v>14378</v>
      </c>
      <c r="D25" s="561">
        <v>40172</v>
      </c>
      <c r="E25" s="561">
        <v>12190</v>
      </c>
      <c r="F25" s="561">
        <v>9593</v>
      </c>
      <c r="G25" s="561">
        <v>548</v>
      </c>
      <c r="H25" s="561">
        <v>2791</v>
      </c>
      <c r="I25" s="561">
        <v>14347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11556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-34186</v>
      </c>
      <c r="D27" s="558">
        <f t="shared" si="6"/>
        <v>-61193</v>
      </c>
      <c r="E27" s="558">
        <f t="shared" si="6"/>
        <v>-92125</v>
      </c>
      <c r="F27" s="558">
        <f t="shared" si="6"/>
        <v>-125142</v>
      </c>
      <c r="G27" s="558">
        <f t="shared" si="6"/>
        <v>-30476</v>
      </c>
      <c r="H27" s="558">
        <f t="shared" si="6"/>
        <v>-59342</v>
      </c>
      <c r="I27" s="558">
        <f>SUM(I29:I37)</f>
        <v>-95546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-36204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0</v>
      </c>
      <c r="D29" s="561">
        <v>-76</v>
      </c>
      <c r="E29" s="561">
        <v>-92</v>
      </c>
      <c r="F29" s="561">
        <v>-92</v>
      </c>
      <c r="G29" s="561">
        <v>0</v>
      </c>
      <c r="H29" s="561">
        <v>-15</v>
      </c>
      <c r="I29" s="561">
        <v>-15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0</v>
      </c>
    </row>
    <row r="30" spans="1:20" outlineLevel="1" x14ac:dyDescent="0.35">
      <c r="A30" s="556" t="s">
        <v>1007</v>
      </c>
      <c r="C30" s="561">
        <v>-21155</v>
      </c>
      <c r="D30" s="561">
        <v>-44331</v>
      </c>
      <c r="E30" s="561">
        <v>-71820</v>
      </c>
      <c r="F30" s="561">
        <v>-99890</v>
      </c>
      <c r="G30" s="561">
        <v>-26109</v>
      </c>
      <c r="H30" s="561">
        <v>-49962</v>
      </c>
      <c r="I30" s="561">
        <v>-75670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-25708</v>
      </c>
    </row>
    <row r="31" spans="1:20" outlineLevel="1" x14ac:dyDescent="0.35">
      <c r="A31" s="556" t="s">
        <v>1008</v>
      </c>
      <c r="C31" s="561">
        <v>-9573</v>
      </c>
      <c r="D31" s="561">
        <v>-9923</v>
      </c>
      <c r="E31" s="561">
        <v>-9259</v>
      </c>
      <c r="F31" s="561">
        <v>-9925</v>
      </c>
      <c r="G31" s="561">
        <v>-125</v>
      </c>
      <c r="H31" s="561">
        <v>-794</v>
      </c>
      <c r="I31" s="561">
        <v>-7125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-6331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0</v>
      </c>
    </row>
    <row r="33" spans="1:20" outlineLevel="1" x14ac:dyDescent="0.35">
      <c r="A33" s="556" t="s">
        <v>1010</v>
      </c>
      <c r="C33" s="561">
        <v>-2572</v>
      </c>
      <c r="D33" s="561">
        <v>-5090</v>
      </c>
      <c r="E33" s="561">
        <v>-7894</v>
      </c>
      <c r="F33" s="561">
        <v>-10741</v>
      </c>
      <c r="G33" s="561">
        <v>-2808</v>
      </c>
      <c r="H33" s="561">
        <v>-5703</v>
      </c>
      <c r="I33" s="561">
        <v>-8629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-2926</v>
      </c>
    </row>
    <row r="34" spans="1:20" outlineLevel="1" x14ac:dyDescent="0.35">
      <c r="A34" s="556" t="s">
        <v>1011</v>
      </c>
      <c r="C34" s="561">
        <v>-886</v>
      </c>
      <c r="D34" s="561">
        <v>-1773</v>
      </c>
      <c r="E34" s="561">
        <v>-3060</v>
      </c>
      <c r="F34" s="561">
        <v>-4494</v>
      </c>
      <c r="G34" s="561">
        <v>-1434</v>
      </c>
      <c r="H34" s="561">
        <v>-2868</v>
      </c>
      <c r="I34" s="561">
        <v>-4103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-1235</v>
      </c>
    </row>
    <row r="35" spans="1:20" outlineLevel="1" x14ac:dyDescent="0.35">
      <c r="A35" s="556" t="s">
        <v>1012</v>
      </c>
      <c r="C35" s="561">
        <v>0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0</v>
      </c>
    </row>
    <row r="36" spans="1:20" outlineLevel="1" x14ac:dyDescent="0.35">
      <c r="A36" s="556" t="s">
        <v>1013</v>
      </c>
      <c r="C36" s="561">
        <v>0</v>
      </c>
      <c r="D36" s="561">
        <v>0</v>
      </c>
      <c r="E36" s="561">
        <v>0</v>
      </c>
      <c r="F36" s="561">
        <v>0</v>
      </c>
      <c r="G36" s="561">
        <v>0</v>
      </c>
      <c r="H36" s="561">
        <v>0</v>
      </c>
      <c r="I36" s="561">
        <v>-4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-4</v>
      </c>
    </row>
    <row r="37" spans="1:20" outlineLevel="1" x14ac:dyDescent="0.35">
      <c r="A37" s="556" t="s">
        <v>270</v>
      </c>
      <c r="C37" s="561">
        <v>0</v>
      </c>
      <c r="D37" s="561">
        <v>0</v>
      </c>
      <c r="E37" s="561">
        <v>0</v>
      </c>
      <c r="F37" s="561">
        <v>0</v>
      </c>
      <c r="G37" s="561">
        <v>0</v>
      </c>
      <c r="H37" s="561">
        <v>0</v>
      </c>
      <c r="I37" s="561">
        <v>0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0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509136</v>
      </c>
      <c r="D39" s="558">
        <f t="shared" si="8"/>
        <v>1047468</v>
      </c>
      <c r="E39" s="558">
        <f t="shared" si="8"/>
        <v>1631416</v>
      </c>
      <c r="F39" s="558">
        <f t="shared" si="8"/>
        <v>2238241</v>
      </c>
      <c r="G39" s="558">
        <f t="shared" si="8"/>
        <v>576242</v>
      </c>
      <c r="H39" s="558">
        <f t="shared" si="8"/>
        <v>1140580</v>
      </c>
      <c r="I39" s="558">
        <f>I27+I6</f>
        <v>1838160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697580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-137872</v>
      </c>
      <c r="D41" s="562">
        <f t="shared" si="9"/>
        <v>-310942</v>
      </c>
      <c r="E41" s="562">
        <f t="shared" si="9"/>
        <v>-416957</v>
      </c>
      <c r="F41" s="562">
        <f t="shared" si="9"/>
        <v>-553616</v>
      </c>
      <c r="G41" s="562">
        <f t="shared" si="9"/>
        <v>-161794</v>
      </c>
      <c r="H41" s="562">
        <f t="shared" si="9"/>
        <v>-341418</v>
      </c>
      <c r="I41" s="562">
        <f>SUM(I43:I48)</f>
        <v>-553975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-212557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-2745</v>
      </c>
      <c r="D43" s="560">
        <v>-3459</v>
      </c>
      <c r="E43" s="560">
        <v>-4124</v>
      </c>
      <c r="F43" s="560">
        <v>-5659</v>
      </c>
      <c r="G43" s="560">
        <v>-12504</v>
      </c>
      <c r="H43" s="560">
        <v>-21129</v>
      </c>
      <c r="I43" s="560">
        <v>-28398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-7269</v>
      </c>
    </row>
    <row r="44" spans="1:20" x14ac:dyDescent="0.35">
      <c r="A44" s="555" t="s">
        <v>1016</v>
      </c>
      <c r="C44" s="560">
        <v>-5465</v>
      </c>
      <c r="D44" s="560">
        <v>-5465</v>
      </c>
      <c r="E44" s="560">
        <v>-5465</v>
      </c>
      <c r="F44" s="560">
        <v>-5465</v>
      </c>
      <c r="G44" s="560">
        <v>-904</v>
      </c>
      <c r="H44" s="560">
        <v>-5725</v>
      </c>
      <c r="I44" s="560">
        <v>-46316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-40591</v>
      </c>
    </row>
    <row r="45" spans="1:20" x14ac:dyDescent="0.35">
      <c r="A45" s="555" t="s">
        <v>312</v>
      </c>
      <c r="C45" s="560">
        <v>-87083</v>
      </c>
      <c r="D45" s="560">
        <v>-112430</v>
      </c>
      <c r="E45" s="560">
        <v>-70154</v>
      </c>
      <c r="F45" s="560">
        <v>-70154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>
        <v>8057</v>
      </c>
      <c r="D46" s="560">
        <v>10399</v>
      </c>
      <c r="E46" s="560">
        <v>6490</v>
      </c>
      <c r="F46" s="560">
        <v>6490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-50636</v>
      </c>
      <c r="D48" s="560">
        <f t="shared" si="11"/>
        <v>-199987</v>
      </c>
      <c r="E48" s="560">
        <f t="shared" si="11"/>
        <v>-343704</v>
      </c>
      <c r="F48" s="560">
        <f t="shared" si="11"/>
        <v>-478828</v>
      </c>
      <c r="G48" s="560">
        <f t="shared" si="11"/>
        <v>-148386</v>
      </c>
      <c r="H48" s="560">
        <f t="shared" si="11"/>
        <v>-314564</v>
      </c>
      <c r="I48" s="560">
        <f>SUM(I49:I55)</f>
        <v>-479261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-164697</v>
      </c>
    </row>
    <row r="49" spans="1:20" outlineLevel="1" x14ac:dyDescent="0.35">
      <c r="A49" s="556" t="s">
        <v>1019</v>
      </c>
      <c r="C49" s="561">
        <v>-9263</v>
      </c>
      <c r="D49" s="561">
        <v>-24276</v>
      </c>
      <c r="E49" s="561">
        <v>-35745</v>
      </c>
      <c r="F49" s="561">
        <v>-42506</v>
      </c>
      <c r="G49" s="561">
        <v>-6700</v>
      </c>
      <c r="H49" s="561">
        <v>-20600</v>
      </c>
      <c r="I49" s="561">
        <v>-34651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-14051</v>
      </c>
    </row>
    <row r="50" spans="1:20" outlineLevel="1" x14ac:dyDescent="0.35">
      <c r="A50" s="556" t="s">
        <v>1020</v>
      </c>
      <c r="C50" s="561">
        <v>-1191</v>
      </c>
      <c r="D50" s="561">
        <v>-5727</v>
      </c>
      <c r="E50" s="561">
        <v>-7779</v>
      </c>
      <c r="F50" s="561">
        <v>-10378</v>
      </c>
      <c r="G50" s="561">
        <v>-3001</v>
      </c>
      <c r="H50" s="561">
        <v>-8515</v>
      </c>
      <c r="I50" s="561">
        <v>-12320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-3805</v>
      </c>
    </row>
    <row r="51" spans="1:20" outlineLevel="1" x14ac:dyDescent="0.35">
      <c r="A51" s="556" t="s">
        <v>1021</v>
      </c>
      <c r="C51" s="561">
        <v>-4090</v>
      </c>
      <c r="D51" s="561">
        <v>-20093</v>
      </c>
      <c r="E51" s="561">
        <v>-32216</v>
      </c>
      <c r="F51" s="561">
        <v>-47879</v>
      </c>
      <c r="G51" s="561">
        <v>-12721</v>
      </c>
      <c r="H51" s="561">
        <v>-33061</v>
      </c>
      <c r="I51" s="561">
        <v>-59446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-26385</v>
      </c>
    </row>
    <row r="52" spans="1:20" outlineLevel="1" x14ac:dyDescent="0.35">
      <c r="A52" s="556" t="s">
        <v>1022</v>
      </c>
      <c r="C52" s="561">
        <v>-21681</v>
      </c>
      <c r="D52" s="561">
        <v>-83179</v>
      </c>
      <c r="E52" s="561">
        <v>-146829</v>
      </c>
      <c r="F52" s="561">
        <v>-210514</v>
      </c>
      <c r="G52" s="561">
        <v>-66601</v>
      </c>
      <c r="H52" s="561">
        <v>-132305</v>
      </c>
      <c r="I52" s="561">
        <v>-195600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-63295</v>
      </c>
    </row>
    <row r="53" spans="1:20" outlineLevel="1" x14ac:dyDescent="0.35">
      <c r="A53" s="556" t="s">
        <v>1023</v>
      </c>
      <c r="C53" s="561">
        <v>0</v>
      </c>
      <c r="D53" s="561">
        <v>0</v>
      </c>
      <c r="E53" s="561">
        <v>0</v>
      </c>
      <c r="F53" s="561">
        <v>0</v>
      </c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0</v>
      </c>
    </row>
    <row r="54" spans="1:20" outlineLevel="1" x14ac:dyDescent="0.35">
      <c r="A54" s="556" t="s">
        <v>1024</v>
      </c>
      <c r="C54" s="561">
        <v>-715</v>
      </c>
      <c r="D54" s="561">
        <v>-168</v>
      </c>
      <c r="E54" s="561">
        <v>-496</v>
      </c>
      <c r="F54" s="561">
        <v>-554</v>
      </c>
      <c r="G54" s="561">
        <v>-102</v>
      </c>
      <c r="H54" s="561">
        <v>-175</v>
      </c>
      <c r="I54" s="561">
        <v>-206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-31</v>
      </c>
    </row>
    <row r="55" spans="1:20" outlineLevel="1" x14ac:dyDescent="0.35">
      <c r="A55" s="556" t="s">
        <v>1025</v>
      </c>
      <c r="C55" s="561">
        <v>-13696</v>
      </c>
      <c r="D55" s="561">
        <v>-66544</v>
      </c>
      <c r="E55" s="561">
        <v>-120639</v>
      </c>
      <c r="F55" s="561">
        <v>-166997</v>
      </c>
      <c r="G55" s="561">
        <v>-59261</v>
      </c>
      <c r="H55" s="561">
        <v>-119908</v>
      </c>
      <c r="I55" s="561">
        <v>-177038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-57130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371264</v>
      </c>
      <c r="D57" s="558">
        <f t="shared" si="13"/>
        <v>736526</v>
      </c>
      <c r="E57" s="558">
        <f t="shared" si="13"/>
        <v>1214459</v>
      </c>
      <c r="F57" s="558">
        <f t="shared" si="13"/>
        <v>1684625</v>
      </c>
      <c r="G57" s="558">
        <f t="shared" si="13"/>
        <v>414448</v>
      </c>
      <c r="H57" s="558">
        <f t="shared" si="13"/>
        <v>799162</v>
      </c>
      <c r="I57" s="558">
        <f>I39+I41</f>
        <v>1284185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485023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-11291</v>
      </c>
      <c r="D59" s="562">
        <f t="shared" si="14"/>
        <v>-135137</v>
      </c>
      <c r="E59" s="562">
        <f t="shared" si="14"/>
        <v>-214635</v>
      </c>
      <c r="F59" s="562">
        <f t="shared" si="14"/>
        <v>-318107</v>
      </c>
      <c r="G59" s="562">
        <f t="shared" si="14"/>
        <v>-110654</v>
      </c>
      <c r="H59" s="562">
        <f t="shared" si="14"/>
        <v>-177566</v>
      </c>
      <c r="I59" s="562">
        <f>I61+I67+I68+I77+I78</f>
        <v>-268029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-90463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0</v>
      </c>
      <c r="D61" s="560">
        <f t="shared" si="15"/>
        <v>0</v>
      </c>
      <c r="E61" s="560">
        <f t="shared" si="15"/>
        <v>0</v>
      </c>
      <c r="F61" s="560">
        <f t="shared" si="15"/>
        <v>0</v>
      </c>
      <c r="G61" s="560">
        <f t="shared" si="15"/>
        <v>0</v>
      </c>
      <c r="H61" s="560">
        <f t="shared" si="15"/>
        <v>0</v>
      </c>
      <c r="I61" s="560">
        <f>SUM(I62:I66)</f>
        <v>0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0</v>
      </c>
    </row>
    <row r="62" spans="1:20" outlineLevel="1" x14ac:dyDescent="0.35">
      <c r="A62" s="556" t="s">
        <v>1029</v>
      </c>
      <c r="C62" s="561">
        <v>0</v>
      </c>
      <c r="D62" s="561">
        <v>0</v>
      </c>
      <c r="E62" s="561">
        <v>0</v>
      </c>
      <c r="F62" s="561">
        <v>0</v>
      </c>
      <c r="G62" s="561">
        <v>0</v>
      </c>
      <c r="H62" s="561">
        <v>0</v>
      </c>
      <c r="I62" s="561">
        <v>0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0</v>
      </c>
    </row>
    <row r="63" spans="1:20" outlineLevel="1" x14ac:dyDescent="0.35">
      <c r="A63" s="556" t="s">
        <v>1030</v>
      </c>
      <c r="C63" s="561">
        <v>0</v>
      </c>
      <c r="D63" s="561">
        <v>0</v>
      </c>
      <c r="E63" s="561">
        <v>0</v>
      </c>
      <c r="F63" s="561">
        <v>0</v>
      </c>
      <c r="G63" s="561">
        <v>0</v>
      </c>
      <c r="H63" s="561">
        <v>0</v>
      </c>
      <c r="I63" s="561">
        <v>0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0</v>
      </c>
    </row>
    <row r="64" spans="1:20" outlineLevel="1" x14ac:dyDescent="0.35">
      <c r="A64" s="556" t="s">
        <v>1031</v>
      </c>
      <c r="C64" s="561">
        <v>0</v>
      </c>
      <c r="D64" s="561">
        <v>0</v>
      </c>
      <c r="E64" s="561">
        <v>0</v>
      </c>
      <c r="F64" s="561">
        <v>0</v>
      </c>
      <c r="G64" s="561">
        <v>0</v>
      </c>
      <c r="H64" s="561">
        <v>0</v>
      </c>
      <c r="I64" s="561">
        <v>0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0</v>
      </c>
    </row>
    <row r="65" spans="1:20" outlineLevel="1" x14ac:dyDescent="0.35">
      <c r="A65" s="556" t="s">
        <v>1032</v>
      </c>
      <c r="C65" s="561">
        <v>0</v>
      </c>
      <c r="D65" s="561">
        <v>0</v>
      </c>
      <c r="E65" s="561">
        <v>0</v>
      </c>
      <c r="F65" s="561">
        <v>0</v>
      </c>
      <c r="G65" s="561">
        <v>0</v>
      </c>
      <c r="H65" s="561">
        <v>0</v>
      </c>
      <c r="I65" s="561">
        <v>0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0</v>
      </c>
    </row>
    <row r="66" spans="1:20" outlineLevel="1" x14ac:dyDescent="0.35">
      <c r="A66" s="556" t="s">
        <v>1033</v>
      </c>
      <c r="C66" s="561">
        <v>0</v>
      </c>
      <c r="D66" s="561">
        <v>0</v>
      </c>
      <c r="E66" s="561">
        <v>0</v>
      </c>
      <c r="F66" s="561">
        <v>0</v>
      </c>
      <c r="G66" s="561">
        <v>0</v>
      </c>
      <c r="H66" s="561">
        <v>0</v>
      </c>
      <c r="I66" s="561">
        <v>0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0</v>
      </c>
    </row>
    <row r="67" spans="1:20" x14ac:dyDescent="0.35">
      <c r="A67" s="555" t="s">
        <v>1034</v>
      </c>
      <c r="C67" s="563">
        <v>0</v>
      </c>
      <c r="D67" s="563">
        <v>0</v>
      </c>
      <c r="E67" s="563">
        <v>0</v>
      </c>
      <c r="F67" s="563">
        <v>0</v>
      </c>
      <c r="G67" s="563">
        <v>0</v>
      </c>
      <c r="H67" s="563">
        <v>0</v>
      </c>
      <c r="I67" s="563">
        <v>0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0</v>
      </c>
    </row>
    <row r="68" spans="1:20" x14ac:dyDescent="0.35">
      <c r="A68" s="555" t="s">
        <v>1035</v>
      </c>
      <c r="C68" s="560">
        <f t="shared" ref="C68:H68" si="17">SUM(C69:C76)</f>
        <v>-11291</v>
      </c>
      <c r="D68" s="560">
        <f t="shared" si="17"/>
        <v>-135137</v>
      </c>
      <c r="E68" s="560">
        <f t="shared" si="17"/>
        <v>-216011</v>
      </c>
      <c r="F68" s="560">
        <f t="shared" si="17"/>
        <v>-318887</v>
      </c>
      <c r="G68" s="560">
        <f t="shared" si="17"/>
        <v>-110152</v>
      </c>
      <c r="H68" s="560">
        <f t="shared" si="17"/>
        <v>-177704</v>
      </c>
      <c r="I68" s="560">
        <f>SUM(I69:I76)</f>
        <v>-265190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-87486</v>
      </c>
    </row>
    <row r="69" spans="1:20" outlineLevel="1" x14ac:dyDescent="0.35">
      <c r="A69" s="556" t="s">
        <v>1036</v>
      </c>
      <c r="C69" s="561">
        <v>-3537</v>
      </c>
      <c r="D69" s="561">
        <v>-8735</v>
      </c>
      <c r="E69" s="561">
        <v>-20865</v>
      </c>
      <c r="F69" s="561">
        <v>-36271</v>
      </c>
      <c r="G69" s="561">
        <v>-15042</v>
      </c>
      <c r="H69" s="561">
        <v>-22698</v>
      </c>
      <c r="I69" s="561">
        <v>-31981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-9283</v>
      </c>
    </row>
    <row r="70" spans="1:20" outlineLevel="1" x14ac:dyDescent="0.35">
      <c r="A70" s="556" t="s">
        <v>1037</v>
      </c>
      <c r="C70" s="561">
        <v>-77</v>
      </c>
      <c r="D70" s="561">
        <v>-119</v>
      </c>
      <c r="E70" s="561">
        <v>-57</v>
      </c>
      <c r="F70" s="561">
        <v>-375</v>
      </c>
      <c r="G70" s="561">
        <v>-194</v>
      </c>
      <c r="H70" s="561">
        <v>-177</v>
      </c>
      <c r="I70" s="561">
        <v>-315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-138</v>
      </c>
    </row>
    <row r="71" spans="1:20" outlineLevel="1" x14ac:dyDescent="0.35">
      <c r="A71" s="556" t="s">
        <v>1038</v>
      </c>
      <c r="C71" s="561">
        <v>-3653</v>
      </c>
      <c r="D71" s="561">
        <v>-10392</v>
      </c>
      <c r="E71" s="561">
        <v>-21216</v>
      </c>
      <c r="F71" s="561">
        <v>-29017</v>
      </c>
      <c r="G71" s="561">
        <v>-15739</v>
      </c>
      <c r="H71" s="561">
        <v>-8424</v>
      </c>
      <c r="I71" s="561">
        <v>-13511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-5087</v>
      </c>
    </row>
    <row r="72" spans="1:20" outlineLevel="1" x14ac:dyDescent="0.35">
      <c r="A72" s="556" t="s">
        <v>1039</v>
      </c>
      <c r="C72" s="561">
        <v>-270</v>
      </c>
      <c r="D72" s="561">
        <v>-558</v>
      </c>
      <c r="E72" s="561">
        <v>-383</v>
      </c>
      <c r="F72" s="561">
        <v>-390</v>
      </c>
      <c r="G72" s="561">
        <v>-3</v>
      </c>
      <c r="H72" s="561">
        <v>0</v>
      </c>
      <c r="I72" s="561">
        <v>-33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-33</v>
      </c>
    </row>
    <row r="73" spans="1:20" outlineLevel="1" x14ac:dyDescent="0.35">
      <c r="A73" s="556" t="s">
        <v>1040</v>
      </c>
      <c r="C73" s="561">
        <v>-548</v>
      </c>
      <c r="D73" s="561">
        <v>-9949</v>
      </c>
      <c r="E73" s="561">
        <v>-5136</v>
      </c>
      <c r="F73" s="561">
        <v>-11563</v>
      </c>
      <c r="G73" s="561">
        <v>-1505</v>
      </c>
      <c r="H73" s="561">
        <v>-5333</v>
      </c>
      <c r="I73" s="561">
        <v>-5373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-40</v>
      </c>
    </row>
    <row r="74" spans="1:20" outlineLevel="1" x14ac:dyDescent="0.35">
      <c r="A74" s="556" t="s">
        <v>1041</v>
      </c>
      <c r="C74" s="561">
        <v>0</v>
      </c>
      <c r="D74" s="561">
        <v>0</v>
      </c>
      <c r="E74" s="561">
        <v>0</v>
      </c>
      <c r="F74" s="561">
        <v>0</v>
      </c>
      <c r="G74" s="561">
        <v>0</v>
      </c>
      <c r="H74" s="561">
        <v>0</v>
      </c>
      <c r="I74" s="561">
        <v>0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0</v>
      </c>
    </row>
    <row r="75" spans="1:20" outlineLevel="1" x14ac:dyDescent="0.35">
      <c r="A75" s="556" t="s">
        <v>1042</v>
      </c>
      <c r="C75" s="561">
        <v>-3206</v>
      </c>
      <c r="D75" s="561">
        <v>-9907</v>
      </c>
      <c r="E75" s="561">
        <v>-753</v>
      </c>
      <c r="F75" s="561">
        <v>-1841</v>
      </c>
      <c r="G75" s="561">
        <v>-179</v>
      </c>
      <c r="H75" s="561">
        <v>-422</v>
      </c>
      <c r="I75" s="561">
        <v>-2062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-1640</v>
      </c>
    </row>
    <row r="76" spans="1:20" outlineLevel="1" x14ac:dyDescent="0.35">
      <c r="A76" s="556" t="s">
        <v>1043</v>
      </c>
      <c r="C76" s="561">
        <v>0</v>
      </c>
      <c r="D76" s="561">
        <v>-95477</v>
      </c>
      <c r="E76" s="561">
        <v>-167601</v>
      </c>
      <c r="F76" s="561">
        <v>-239430</v>
      </c>
      <c r="G76" s="561">
        <v>-77490</v>
      </c>
      <c r="H76" s="561">
        <v>-140650</v>
      </c>
      <c r="I76" s="561">
        <v>-211915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-71265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0</v>
      </c>
    </row>
    <row r="78" spans="1:20" x14ac:dyDescent="0.35">
      <c r="A78" s="555" t="s">
        <v>1045</v>
      </c>
      <c r="C78" s="560">
        <f t="shared" ref="C78:H78" si="19">SUM(C79:C80)</f>
        <v>0</v>
      </c>
      <c r="D78" s="560">
        <f t="shared" si="19"/>
        <v>0</v>
      </c>
      <c r="E78" s="560">
        <f t="shared" si="19"/>
        <v>1376</v>
      </c>
      <c r="F78" s="560">
        <f t="shared" si="19"/>
        <v>780</v>
      </c>
      <c r="G78" s="560">
        <f t="shared" si="19"/>
        <v>-502</v>
      </c>
      <c r="H78" s="560">
        <f t="shared" si="19"/>
        <v>138</v>
      </c>
      <c r="I78" s="560">
        <f>SUM(I79:I80)</f>
        <v>-2839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-2977</v>
      </c>
    </row>
    <row r="79" spans="1:20" outlineLevel="1" x14ac:dyDescent="0.35">
      <c r="A79" s="556" t="s">
        <v>1046</v>
      </c>
      <c r="C79" s="561">
        <v>0</v>
      </c>
      <c r="D79" s="561">
        <v>0</v>
      </c>
      <c r="E79" s="561">
        <v>1376</v>
      </c>
      <c r="F79" s="561">
        <v>780</v>
      </c>
      <c r="G79" s="561">
        <v>-502</v>
      </c>
      <c r="H79" s="561">
        <v>138</v>
      </c>
      <c r="I79" s="561">
        <v>-2839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-2977</v>
      </c>
    </row>
    <row r="80" spans="1:20" outlineLevel="1" x14ac:dyDescent="0.35">
      <c r="A80" s="556" t="s">
        <v>1047</v>
      </c>
      <c r="C80" s="561">
        <v>0</v>
      </c>
      <c r="D80" s="561">
        <v>0</v>
      </c>
      <c r="E80" s="561">
        <v>0</v>
      </c>
      <c r="F80" s="561">
        <v>0</v>
      </c>
      <c r="G80" s="561">
        <v>0</v>
      </c>
      <c r="H80" s="561">
        <v>0</v>
      </c>
      <c r="I80" s="561">
        <v>0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0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384860</v>
      </c>
      <c r="D82" s="558">
        <f t="shared" si="21"/>
        <v>789952</v>
      </c>
      <c r="E82" s="558">
        <f t="shared" si="21"/>
        <v>1315007</v>
      </c>
      <c r="F82" s="558">
        <f t="shared" si="21"/>
        <v>1818303</v>
      </c>
      <c r="G82" s="558">
        <f t="shared" si="21"/>
        <v>448064</v>
      </c>
      <c r="H82" s="558">
        <f t="shared" si="21"/>
        <v>894973</v>
      </c>
      <c r="I82" s="558">
        <f>I84-I75-I52-I76</f>
        <v>1425733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530760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359973</v>
      </c>
      <c r="D84" s="558">
        <f t="shared" si="22"/>
        <v>601389</v>
      </c>
      <c r="E84" s="558">
        <f t="shared" si="22"/>
        <v>999824</v>
      </c>
      <c r="F84" s="558">
        <f t="shared" si="22"/>
        <v>1366518</v>
      </c>
      <c r="G84" s="558">
        <f t="shared" si="22"/>
        <v>303794</v>
      </c>
      <c r="H84" s="558">
        <f t="shared" si="22"/>
        <v>621596</v>
      </c>
      <c r="I84" s="558">
        <f>I57+I59</f>
        <v>1016156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394560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-217034</v>
      </c>
      <c r="D86" s="558">
        <f t="shared" si="23"/>
        <v>-574799</v>
      </c>
      <c r="E86" s="558">
        <f t="shared" si="23"/>
        <v>-651033</v>
      </c>
      <c r="F86" s="558">
        <f t="shared" si="23"/>
        <v>-783007</v>
      </c>
      <c r="G86" s="558">
        <f t="shared" si="23"/>
        <v>-237583</v>
      </c>
      <c r="H86" s="558">
        <f t="shared" si="23"/>
        <v>-446942</v>
      </c>
      <c r="I86" s="558">
        <f>I88+I97</f>
        <v>-547760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-100818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25086</v>
      </c>
      <c r="D88" s="562">
        <f t="shared" si="24"/>
        <v>67589</v>
      </c>
      <c r="E88" s="562">
        <f t="shared" si="24"/>
        <v>121562</v>
      </c>
      <c r="F88" s="562">
        <f t="shared" si="24"/>
        <v>185689</v>
      </c>
      <c r="G88" s="562">
        <f t="shared" si="24"/>
        <v>55750</v>
      </c>
      <c r="H88" s="562">
        <f t="shared" si="24"/>
        <v>116341</v>
      </c>
      <c r="I88" s="562">
        <f>SUM(I89:I96)</f>
        <v>191994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75653</v>
      </c>
    </row>
    <row r="89" spans="1:20" outlineLevel="1" x14ac:dyDescent="0.35">
      <c r="A89" s="556" t="s">
        <v>1049</v>
      </c>
      <c r="C89" s="561">
        <v>25970</v>
      </c>
      <c r="D89" s="561">
        <v>68735</v>
      </c>
      <c r="E89" s="561">
        <v>122632</v>
      </c>
      <c r="F89" s="561">
        <v>183928</v>
      </c>
      <c r="G89" s="561">
        <v>57062</v>
      </c>
      <c r="H89" s="561">
        <v>119070</v>
      </c>
      <c r="I89" s="561">
        <v>190174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71104</v>
      </c>
    </row>
    <row r="90" spans="1:20" outlineLevel="1" x14ac:dyDescent="0.35">
      <c r="A90" s="556" t="s">
        <v>1050</v>
      </c>
      <c r="C90" s="561">
        <v>-891</v>
      </c>
      <c r="D90" s="561">
        <v>-1869</v>
      </c>
      <c r="E90" s="561">
        <v>-3310</v>
      </c>
      <c r="F90" s="561">
        <v>-4991</v>
      </c>
      <c r="G90" s="561">
        <v>-1472</v>
      </c>
      <c r="H90" s="561">
        <v>-3357</v>
      </c>
      <c r="I90" s="561">
        <v>-5765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-2408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>
        <v>0</v>
      </c>
      <c r="D92" s="561">
        <v>0</v>
      </c>
      <c r="E92" s="561">
        <v>0</v>
      </c>
      <c r="F92" s="561">
        <v>0</v>
      </c>
      <c r="G92" s="561">
        <v>0</v>
      </c>
      <c r="H92" s="561">
        <v>0</v>
      </c>
      <c r="I92" s="561">
        <v>0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0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>
        <v>7</v>
      </c>
      <c r="D95" s="561">
        <v>723</v>
      </c>
      <c r="E95" s="561">
        <v>2240</v>
      </c>
      <c r="F95" s="561">
        <v>6682</v>
      </c>
      <c r="G95" s="561">
        <v>154</v>
      </c>
      <c r="H95" s="561">
        <v>618</v>
      </c>
      <c r="I95" s="561">
        <v>2066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1448</v>
      </c>
    </row>
    <row r="96" spans="1:20" outlineLevel="1" x14ac:dyDescent="0.35">
      <c r="A96" s="556" t="s">
        <v>1056</v>
      </c>
      <c r="C96" s="561">
        <v>0</v>
      </c>
      <c r="D96" s="561">
        <v>0</v>
      </c>
      <c r="E96" s="561">
        <v>0</v>
      </c>
      <c r="F96" s="561">
        <v>70</v>
      </c>
      <c r="G96" s="561">
        <v>6</v>
      </c>
      <c r="H96" s="561">
        <v>10</v>
      </c>
      <c r="I96" s="561">
        <v>5519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5509</v>
      </c>
    </row>
    <row r="97" spans="1:20" x14ac:dyDescent="0.35">
      <c r="A97" s="555" t="s">
        <v>279</v>
      </c>
      <c r="C97" s="560">
        <f t="shared" ref="C97:H97" si="26">SUM(C98:C106)</f>
        <v>-242120</v>
      </c>
      <c r="D97" s="560">
        <f t="shared" si="26"/>
        <v>-642388</v>
      </c>
      <c r="E97" s="560">
        <f t="shared" si="26"/>
        <v>-772595</v>
      </c>
      <c r="F97" s="560">
        <f t="shared" si="26"/>
        <v>-968696</v>
      </c>
      <c r="G97" s="560">
        <f t="shared" si="26"/>
        <v>-293333</v>
      </c>
      <c r="H97" s="560">
        <f t="shared" si="26"/>
        <v>-563283</v>
      </c>
      <c r="I97" s="560">
        <f>SUM(I98:I106)</f>
        <v>-739754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-176471</v>
      </c>
    </row>
    <row r="98" spans="1:20" outlineLevel="1" x14ac:dyDescent="0.35">
      <c r="A98" s="556" t="s">
        <v>1057</v>
      </c>
      <c r="C98" s="561">
        <v>-162435</v>
      </c>
      <c r="D98" s="561">
        <v>-450869</v>
      </c>
      <c r="E98" s="561">
        <v>-567520</v>
      </c>
      <c r="F98" s="561">
        <v>-700222</v>
      </c>
      <c r="G98" s="561">
        <v>-206456</v>
      </c>
      <c r="H98" s="561">
        <v>-402209</v>
      </c>
      <c r="I98" s="561">
        <v>-550170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-147961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0</v>
      </c>
    </row>
    <row r="100" spans="1:20" outlineLevel="1" x14ac:dyDescent="0.35">
      <c r="A100" s="556" t="s">
        <v>1059</v>
      </c>
      <c r="C100" s="561">
        <v>-70136</v>
      </c>
      <c r="D100" s="561">
        <v>-169473</v>
      </c>
      <c r="E100" s="561">
        <v>-155785</v>
      </c>
      <c r="F100" s="561">
        <v>-194704</v>
      </c>
      <c r="G100" s="561">
        <v>-69817</v>
      </c>
      <c r="H100" s="561">
        <v>-122994</v>
      </c>
      <c r="I100" s="561">
        <v>-133876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-10882</v>
      </c>
    </row>
    <row r="101" spans="1:20" outlineLevel="1" x14ac:dyDescent="0.35">
      <c r="A101" s="556" t="s">
        <v>1060</v>
      </c>
      <c r="C101" s="561">
        <v>0</v>
      </c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0</v>
      </c>
    </row>
    <row r="102" spans="1:20" outlineLevel="1" x14ac:dyDescent="0.35">
      <c r="A102" s="556" t="s">
        <v>1061</v>
      </c>
      <c r="C102" s="561">
        <v>0</v>
      </c>
      <c r="D102" s="561">
        <v>0</v>
      </c>
      <c r="E102" s="561">
        <v>0</v>
      </c>
      <c r="F102" s="561">
        <v>0</v>
      </c>
      <c r="G102" s="561">
        <v>0</v>
      </c>
      <c r="H102" s="561">
        <v>0</v>
      </c>
      <c r="I102" s="561">
        <v>0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0</v>
      </c>
    </row>
    <row r="103" spans="1:20" outlineLevel="1" x14ac:dyDescent="0.35">
      <c r="A103" s="556" t="s">
        <v>1062</v>
      </c>
      <c r="C103" s="561">
        <v>-7</v>
      </c>
      <c r="D103" s="561">
        <v>-9</v>
      </c>
      <c r="E103" s="561">
        <v>-32</v>
      </c>
      <c r="F103" s="561">
        <v>-37</v>
      </c>
      <c r="G103" s="561">
        <v>-3</v>
      </c>
      <c r="H103" s="561">
        <v>-317</v>
      </c>
      <c r="I103" s="561">
        <v>-330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-13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>
        <v>-125</v>
      </c>
      <c r="D105" s="561">
        <v>-310</v>
      </c>
      <c r="E105" s="561">
        <v>-561</v>
      </c>
      <c r="F105" s="561">
        <v>-736</v>
      </c>
      <c r="G105" s="561">
        <v>-331</v>
      </c>
      <c r="H105" s="561">
        <v>-696</v>
      </c>
      <c r="I105" s="561">
        <v>-1117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-421</v>
      </c>
    </row>
    <row r="106" spans="1:20" outlineLevel="1" x14ac:dyDescent="0.35">
      <c r="A106" s="556" t="s">
        <v>1065</v>
      </c>
      <c r="C106" s="561">
        <v>-9417</v>
      </c>
      <c r="D106" s="561">
        <v>-21727</v>
      </c>
      <c r="E106" s="561">
        <v>-48697</v>
      </c>
      <c r="F106" s="561">
        <v>-72997</v>
      </c>
      <c r="G106" s="561">
        <v>-16726</v>
      </c>
      <c r="H106" s="561">
        <v>-37067</v>
      </c>
      <c r="I106" s="561">
        <v>-54261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-17194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142939</v>
      </c>
      <c r="D108" s="558">
        <f t="shared" si="28"/>
        <v>26590</v>
      </c>
      <c r="E108" s="558">
        <f t="shared" si="28"/>
        <v>348791</v>
      </c>
      <c r="F108" s="558">
        <f t="shared" si="28"/>
        <v>583511</v>
      </c>
      <c r="G108" s="558">
        <f t="shared" si="28"/>
        <v>66211</v>
      </c>
      <c r="H108" s="558">
        <f t="shared" si="28"/>
        <v>174654</v>
      </c>
      <c r="I108" s="558">
        <f>I84+I86</f>
        <v>468396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293742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H110" si="29">SUM(C112:C115)</f>
        <v>-57709</v>
      </c>
      <c r="D110" s="562">
        <f t="shared" si="29"/>
        <v>-102014</v>
      </c>
      <c r="E110" s="562">
        <f t="shared" si="29"/>
        <v>-167871</v>
      </c>
      <c r="F110" s="562">
        <f t="shared" si="29"/>
        <v>-234381</v>
      </c>
      <c r="G110" s="562">
        <f t="shared" si="29"/>
        <v>-57302</v>
      </c>
      <c r="H110" s="562">
        <f t="shared" si="29"/>
        <v>-118393</v>
      </c>
      <c r="I110" s="562">
        <f>SUM(I112:I115)</f>
        <v>-196507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-78114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-5871</v>
      </c>
      <c r="D112" s="563">
        <v>-11785</v>
      </c>
      <c r="E112" s="563">
        <v>-32193</v>
      </c>
      <c r="F112" s="563">
        <v>-51219</v>
      </c>
      <c r="G112" s="563">
        <v>-14149</v>
      </c>
      <c r="H112" s="563">
        <v>-29347</v>
      </c>
      <c r="I112" s="563">
        <v>-54964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-25617</v>
      </c>
    </row>
    <row r="113" spans="1:20" x14ac:dyDescent="0.35">
      <c r="A113" s="555" t="s">
        <v>282</v>
      </c>
      <c r="C113" s="563">
        <v>-20563</v>
      </c>
      <c r="D113" s="563">
        <v>-35123</v>
      </c>
      <c r="E113" s="563">
        <v>-97962</v>
      </c>
      <c r="F113" s="563">
        <v>-151709</v>
      </c>
      <c r="G113" s="563">
        <v>-39939</v>
      </c>
      <c r="H113" s="563">
        <v>-83053</v>
      </c>
      <c r="I113" s="563">
        <v>-147700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-64647</v>
      </c>
    </row>
    <row r="114" spans="1:20" x14ac:dyDescent="0.35">
      <c r="A114" s="555" t="s">
        <v>284</v>
      </c>
      <c r="C114" s="563">
        <v>16302</v>
      </c>
      <c r="D114" s="563">
        <v>23318</v>
      </c>
      <c r="E114" s="563">
        <v>72882</v>
      </c>
      <c r="F114" s="563">
        <v>111083</v>
      </c>
      <c r="G114" s="563">
        <v>28185</v>
      </c>
      <c r="H114" s="563">
        <v>59572</v>
      </c>
      <c r="I114" s="563">
        <v>102932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43360</v>
      </c>
    </row>
    <row r="115" spans="1:20" x14ac:dyDescent="0.35">
      <c r="A115" s="555" t="s">
        <v>1068</v>
      </c>
      <c r="C115" s="563">
        <v>-47577</v>
      </c>
      <c r="D115" s="563">
        <v>-78424</v>
      </c>
      <c r="E115" s="563">
        <v>-110598</v>
      </c>
      <c r="F115" s="563">
        <v>-142536</v>
      </c>
      <c r="G115" s="563">
        <v>-31399</v>
      </c>
      <c r="H115" s="563">
        <v>-65565</v>
      </c>
      <c r="I115" s="563">
        <v>-96775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-31210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H117" si="31">C108+C110</f>
        <v>85230</v>
      </c>
      <c r="D117" s="564">
        <f t="shared" si="31"/>
        <v>-75424</v>
      </c>
      <c r="E117" s="564">
        <f t="shared" si="31"/>
        <v>180920</v>
      </c>
      <c r="F117" s="564">
        <f t="shared" si="31"/>
        <v>349130</v>
      </c>
      <c r="G117" s="564">
        <f t="shared" si="31"/>
        <v>8909</v>
      </c>
      <c r="H117" s="564">
        <f t="shared" si="31"/>
        <v>56261</v>
      </c>
      <c r="I117" s="564">
        <f>I108+I110</f>
        <v>271889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215628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H120" si="32">C117-C121</f>
        <v>85230</v>
      </c>
      <c r="D120" s="563">
        <f t="shared" si="32"/>
        <v>-75424</v>
      </c>
      <c r="E120" s="563">
        <f t="shared" si="32"/>
        <v>180920</v>
      </c>
      <c r="F120" s="563">
        <f t="shared" si="32"/>
        <v>349130</v>
      </c>
      <c r="G120" s="563">
        <f t="shared" si="32"/>
        <v>8909</v>
      </c>
      <c r="H120" s="563">
        <f t="shared" si="32"/>
        <v>56261</v>
      </c>
      <c r="I120" s="563">
        <f>I117-I121</f>
        <v>271889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3">I120-H120</f>
        <v>215628</v>
      </c>
    </row>
    <row r="121" spans="1:20" x14ac:dyDescent="0.35">
      <c r="A121" s="555" t="s">
        <v>1072</v>
      </c>
      <c r="C121" s="563">
        <f t="shared" ref="C121:H121" si="34">C117*C126</f>
        <v>0</v>
      </c>
      <c r="D121" s="563">
        <f t="shared" si="34"/>
        <v>0</v>
      </c>
      <c r="E121" s="563">
        <f t="shared" si="34"/>
        <v>0</v>
      </c>
      <c r="F121" s="563">
        <f t="shared" si="34"/>
        <v>0</v>
      </c>
      <c r="G121" s="563">
        <f t="shared" si="34"/>
        <v>0</v>
      </c>
      <c r="H121" s="563">
        <f t="shared" si="34"/>
        <v>0</v>
      </c>
      <c r="I121" s="563">
        <f>I117*I126</f>
        <v>0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3"/>
        <v>0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H123" si="35">SUM(C120:C121)</f>
        <v>85230</v>
      </c>
      <c r="D123" s="564">
        <f t="shared" si="35"/>
        <v>-75424</v>
      </c>
      <c r="E123" s="564">
        <f t="shared" si="35"/>
        <v>180920</v>
      </c>
      <c r="F123" s="564">
        <f t="shared" si="35"/>
        <v>349130</v>
      </c>
      <c r="G123" s="564">
        <f t="shared" si="35"/>
        <v>8909</v>
      </c>
      <c r="H123" s="564">
        <f t="shared" si="35"/>
        <v>56261</v>
      </c>
      <c r="I123" s="564">
        <f>SUM(I120:I121)</f>
        <v>271889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215628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>
        <v>1</v>
      </c>
      <c r="D125" s="571">
        <v>1</v>
      </c>
      <c r="E125" s="571">
        <v>1</v>
      </c>
      <c r="F125" s="571">
        <v>1</v>
      </c>
      <c r="G125" s="571">
        <v>1</v>
      </c>
      <c r="H125" s="571">
        <v>1</v>
      </c>
      <c r="I125" s="571">
        <v>1</v>
      </c>
      <c r="T125" s="571">
        <f>I125</f>
        <v>1</v>
      </c>
    </row>
    <row r="126" spans="1:20" s="570" customFormat="1" ht="10.5" x14ac:dyDescent="0.25">
      <c r="A126" s="569" t="s">
        <v>1087</v>
      </c>
      <c r="C126" s="571">
        <v>0</v>
      </c>
      <c r="D126" s="571">
        <v>0</v>
      </c>
      <c r="E126" s="571">
        <v>0</v>
      </c>
      <c r="F126" s="571">
        <v>0</v>
      </c>
      <c r="G126" s="571">
        <v>0</v>
      </c>
      <c r="H126" s="571">
        <v>0</v>
      </c>
      <c r="I126" s="571">
        <v>0</v>
      </c>
      <c r="T126" s="571">
        <f>I126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74C9-9389-4DBA-B8D1-EAB16B970E54}">
  <sheetPr>
    <tabColor theme="9" tint="0.79998168889431442"/>
  </sheetPr>
  <dimension ref="A4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1098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45236</v>
      </c>
      <c r="D6" s="558">
        <f t="shared" si="0"/>
        <v>88859</v>
      </c>
      <c r="E6" s="558">
        <f t="shared" si="0"/>
        <v>135788</v>
      </c>
      <c r="F6" s="558">
        <f t="shared" si="0"/>
        <v>166807</v>
      </c>
      <c r="G6" s="558">
        <f t="shared" si="0"/>
        <v>32978</v>
      </c>
      <c r="H6" s="558">
        <f t="shared" si="0"/>
        <v>81243</v>
      </c>
      <c r="I6" s="558">
        <f t="shared" si="0"/>
        <v>126739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45496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0</v>
      </c>
      <c r="D8" s="560">
        <f t="shared" si="2"/>
        <v>0</v>
      </c>
      <c r="E8" s="560">
        <f t="shared" si="2"/>
        <v>0</v>
      </c>
      <c r="F8" s="560">
        <f t="shared" si="2"/>
        <v>0</v>
      </c>
      <c r="G8" s="560">
        <f t="shared" si="2"/>
        <v>0</v>
      </c>
      <c r="H8" s="560">
        <f t="shared" si="2"/>
        <v>0</v>
      </c>
      <c r="I8" s="560">
        <f>SUM(I9:I10)</f>
        <v>0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0</v>
      </c>
    </row>
    <row r="9" spans="1:20" outlineLevel="1" x14ac:dyDescent="0.35">
      <c r="A9" s="556" t="s">
        <v>996</v>
      </c>
      <c r="C9" s="561">
        <v>0</v>
      </c>
      <c r="D9" s="561">
        <v>0</v>
      </c>
      <c r="E9" s="561">
        <v>0</v>
      </c>
      <c r="F9" s="561">
        <v>0</v>
      </c>
      <c r="G9" s="561">
        <v>0</v>
      </c>
      <c r="H9" s="561">
        <v>0</v>
      </c>
      <c r="I9" s="561">
        <v>0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0</v>
      </c>
    </row>
    <row r="10" spans="1:20" outlineLevel="1" x14ac:dyDescent="0.35">
      <c r="A10" s="556" t="s">
        <v>997</v>
      </c>
      <c r="C10" s="561">
        <v>0</v>
      </c>
      <c r="D10" s="561">
        <v>0</v>
      </c>
      <c r="E10" s="561">
        <v>0</v>
      </c>
      <c r="F10" s="561">
        <v>0</v>
      </c>
      <c r="G10" s="561">
        <v>0</v>
      </c>
      <c r="H10" s="561">
        <v>0</v>
      </c>
      <c r="I10" s="561">
        <v>0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0</v>
      </c>
    </row>
    <row r="11" spans="1:20" x14ac:dyDescent="0.35">
      <c r="A11" s="555" t="s">
        <v>248</v>
      </c>
      <c r="C11" s="560">
        <v>0</v>
      </c>
      <c r="D11" s="560">
        <v>0</v>
      </c>
      <c r="E11" s="560">
        <v>0</v>
      </c>
      <c r="F11" s="560">
        <v>0</v>
      </c>
      <c r="G11" s="560">
        <v>0</v>
      </c>
      <c r="H11" s="560">
        <v>0</v>
      </c>
      <c r="I11" s="560">
        <v>0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0</v>
      </c>
    </row>
    <row r="12" spans="1:20" x14ac:dyDescent="0.35">
      <c r="A12" s="555" t="s">
        <v>252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0</v>
      </c>
    </row>
    <row r="13" spans="1:20" x14ac:dyDescent="0.35">
      <c r="A13" s="555" t="s">
        <v>249</v>
      </c>
      <c r="C13" s="560">
        <v>447</v>
      </c>
      <c r="D13" s="560">
        <v>435</v>
      </c>
      <c r="E13" s="560">
        <v>435</v>
      </c>
      <c r="F13" s="560">
        <v>435</v>
      </c>
      <c r="G13" s="560">
        <v>0</v>
      </c>
      <c r="H13" s="560">
        <v>0</v>
      </c>
      <c r="I13" s="560">
        <v>0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0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>
        <v>4298</v>
      </c>
      <c r="D15" s="560">
        <v>6732</v>
      </c>
      <c r="E15" s="560">
        <v>14141</v>
      </c>
      <c r="F15" s="560">
        <v>20755</v>
      </c>
      <c r="G15" s="560">
        <v>3194</v>
      </c>
      <c r="H15" s="560">
        <v>6420</v>
      </c>
      <c r="I15" s="560">
        <v>9220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2800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0</v>
      </c>
    </row>
    <row r="17" spans="1:20" x14ac:dyDescent="0.35">
      <c r="A17" s="555" t="s">
        <v>254</v>
      </c>
      <c r="C17" s="560">
        <f t="shared" ref="C17:H17" si="4">SUM(C18:C25)</f>
        <v>40491</v>
      </c>
      <c r="D17" s="560">
        <f t="shared" si="4"/>
        <v>81692</v>
      </c>
      <c r="E17" s="560">
        <f t="shared" si="4"/>
        <v>121212</v>
      </c>
      <c r="F17" s="560">
        <f t="shared" si="4"/>
        <v>145617</v>
      </c>
      <c r="G17" s="560">
        <f t="shared" si="4"/>
        <v>29784</v>
      </c>
      <c r="H17" s="560">
        <f t="shared" si="4"/>
        <v>74823</v>
      </c>
      <c r="I17" s="560">
        <f>SUM(I18:I25)</f>
        <v>117519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42696</v>
      </c>
    </row>
    <row r="18" spans="1:20" outlineLevel="1" x14ac:dyDescent="0.35">
      <c r="A18" s="556" t="s">
        <v>999</v>
      </c>
      <c r="C18" s="561">
        <v>0</v>
      </c>
      <c r="D18" s="561">
        <v>0</v>
      </c>
      <c r="E18" s="561">
        <v>0</v>
      </c>
      <c r="F18" s="561">
        <v>0</v>
      </c>
      <c r="G18" s="561">
        <v>0</v>
      </c>
      <c r="H18" s="561">
        <v>0</v>
      </c>
      <c r="I18" s="561">
        <v>0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0</v>
      </c>
    </row>
    <row r="19" spans="1:20" outlineLevel="1" x14ac:dyDescent="0.35">
      <c r="A19" s="556" t="s">
        <v>1000</v>
      </c>
      <c r="C19" s="561">
        <v>0</v>
      </c>
      <c r="D19" s="561">
        <v>0</v>
      </c>
      <c r="E19" s="561">
        <v>0</v>
      </c>
      <c r="F19" s="561">
        <v>0</v>
      </c>
      <c r="G19" s="561">
        <v>0</v>
      </c>
      <c r="H19" s="561">
        <v>0</v>
      </c>
      <c r="I19" s="561">
        <v>0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0</v>
      </c>
    </row>
    <row r="20" spans="1:20" outlineLevel="1" x14ac:dyDescent="0.35">
      <c r="A20" s="556" t="s">
        <v>1001</v>
      </c>
      <c r="C20" s="561">
        <v>0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>
        <v>41359</v>
      </c>
      <c r="D21" s="561">
        <v>82282</v>
      </c>
      <c r="E21" s="561">
        <v>123200</v>
      </c>
      <c r="F21" s="561">
        <v>156811</v>
      </c>
      <c r="G21" s="561">
        <v>31903</v>
      </c>
      <c r="H21" s="561">
        <v>80616</v>
      </c>
      <c r="I21" s="561">
        <v>126667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46051</v>
      </c>
    </row>
    <row r="22" spans="1:20" outlineLevel="1" x14ac:dyDescent="0.35">
      <c r="A22" s="556" t="s">
        <v>1003</v>
      </c>
      <c r="C22" s="561">
        <v>-3826</v>
      </c>
      <c r="D22" s="561">
        <v>-7611</v>
      </c>
      <c r="E22" s="561">
        <v>-11396</v>
      </c>
      <c r="F22" s="561">
        <v>-14505</v>
      </c>
      <c r="G22" s="561">
        <v>-2951</v>
      </c>
      <c r="H22" s="561">
        <v>-7457</v>
      </c>
      <c r="I22" s="561">
        <v>-11717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-4260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0</v>
      </c>
    </row>
    <row r="25" spans="1:20" outlineLevel="1" x14ac:dyDescent="0.35">
      <c r="A25" s="556" t="s">
        <v>254</v>
      </c>
      <c r="C25" s="561">
        <v>2958</v>
      </c>
      <c r="D25" s="561">
        <v>7021</v>
      </c>
      <c r="E25" s="561">
        <v>9408</v>
      </c>
      <c r="F25" s="561">
        <v>3311</v>
      </c>
      <c r="G25" s="561">
        <v>832</v>
      </c>
      <c r="H25" s="561">
        <v>1664</v>
      </c>
      <c r="I25" s="561">
        <v>2569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905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-4981</v>
      </c>
      <c r="D27" s="558">
        <f t="shared" si="6"/>
        <v>-9643</v>
      </c>
      <c r="E27" s="558">
        <f t="shared" si="6"/>
        <v>-14506</v>
      </c>
      <c r="F27" s="558">
        <f t="shared" si="6"/>
        <v>-19482</v>
      </c>
      <c r="G27" s="558">
        <f t="shared" si="6"/>
        <v>-4812</v>
      </c>
      <c r="H27" s="558">
        <f t="shared" si="6"/>
        <v>-9639</v>
      </c>
      <c r="I27" s="558">
        <f>SUM(I29:I37)</f>
        <v>-13240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-3601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0</v>
      </c>
      <c r="D29" s="561">
        <v>0</v>
      </c>
      <c r="E29" s="561">
        <v>0</v>
      </c>
      <c r="F29" s="561">
        <v>0</v>
      </c>
      <c r="G29" s="561">
        <v>0</v>
      </c>
      <c r="H29" s="561">
        <v>0</v>
      </c>
      <c r="I29" s="561">
        <v>0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0</v>
      </c>
    </row>
    <row r="30" spans="1:20" outlineLevel="1" x14ac:dyDescent="0.35">
      <c r="A30" s="556" t="s">
        <v>1007</v>
      </c>
      <c r="C30" s="561">
        <v>-3065</v>
      </c>
      <c r="D30" s="561">
        <v>-5865</v>
      </c>
      <c r="E30" s="561">
        <v>-8877</v>
      </c>
      <c r="F30" s="561">
        <v>-12032</v>
      </c>
      <c r="G30" s="561">
        <v>-3000</v>
      </c>
      <c r="H30" s="561">
        <v>-6021</v>
      </c>
      <c r="I30" s="561">
        <v>-7817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-1796</v>
      </c>
    </row>
    <row r="31" spans="1:20" outlineLevel="1" x14ac:dyDescent="0.35">
      <c r="A31" s="556" t="s">
        <v>1008</v>
      </c>
      <c r="C31" s="561">
        <v>-41</v>
      </c>
      <c r="D31" s="561">
        <v>-41</v>
      </c>
      <c r="E31" s="561">
        <v>-40</v>
      </c>
      <c r="F31" s="561">
        <v>-40</v>
      </c>
      <c r="G31" s="561">
        <v>0</v>
      </c>
      <c r="H31" s="561">
        <v>0</v>
      </c>
      <c r="I31" s="561">
        <v>0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0</v>
      </c>
    </row>
    <row r="32" spans="1:20" outlineLevel="1" x14ac:dyDescent="0.35">
      <c r="A32" s="556" t="s">
        <v>1009</v>
      </c>
      <c r="C32" s="561">
        <v>-1301</v>
      </c>
      <c r="D32" s="561">
        <v>-2602</v>
      </c>
      <c r="E32" s="561">
        <v>-3833</v>
      </c>
      <c r="F32" s="561">
        <v>-5029</v>
      </c>
      <c r="G32" s="561">
        <v>-1196</v>
      </c>
      <c r="H32" s="561">
        <v>-2392</v>
      </c>
      <c r="I32" s="561">
        <v>-3813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-1421</v>
      </c>
    </row>
    <row r="33" spans="1:20" outlineLevel="1" x14ac:dyDescent="0.35">
      <c r="A33" s="556" t="s">
        <v>1010</v>
      </c>
      <c r="C33" s="561">
        <v>-406</v>
      </c>
      <c r="D33" s="561">
        <v>-798</v>
      </c>
      <c r="E33" s="561">
        <v>-1241</v>
      </c>
      <c r="F33" s="561">
        <v>-1693</v>
      </c>
      <c r="G33" s="561">
        <v>-443</v>
      </c>
      <c r="H33" s="561">
        <v>-880</v>
      </c>
      <c r="I33" s="561">
        <v>-1139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-259</v>
      </c>
    </row>
    <row r="34" spans="1:20" outlineLevel="1" x14ac:dyDescent="0.35">
      <c r="A34" s="556" t="s">
        <v>1011</v>
      </c>
      <c r="C34" s="561">
        <v>-165</v>
      </c>
      <c r="D34" s="561">
        <v>-330</v>
      </c>
      <c r="E34" s="561">
        <v>-504</v>
      </c>
      <c r="F34" s="561">
        <v>-673</v>
      </c>
      <c r="G34" s="561">
        <v>-169</v>
      </c>
      <c r="H34" s="561">
        <v>-338</v>
      </c>
      <c r="I34" s="561">
        <v>-459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-121</v>
      </c>
    </row>
    <row r="35" spans="1:20" outlineLevel="1" x14ac:dyDescent="0.35">
      <c r="A35" s="556" t="s">
        <v>1012</v>
      </c>
      <c r="C35" s="561">
        <v>0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0</v>
      </c>
    </row>
    <row r="36" spans="1:20" outlineLevel="1" x14ac:dyDescent="0.35">
      <c r="A36" s="556" t="s">
        <v>1013</v>
      </c>
      <c r="C36" s="561">
        <v>-3</v>
      </c>
      <c r="D36" s="561">
        <v>-7</v>
      </c>
      <c r="E36" s="561">
        <v>-11</v>
      </c>
      <c r="F36" s="561">
        <v>-15</v>
      </c>
      <c r="G36" s="561">
        <v>-4</v>
      </c>
      <c r="H36" s="561">
        <v>-8</v>
      </c>
      <c r="I36" s="561">
        <v>-12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-4</v>
      </c>
    </row>
    <row r="37" spans="1:20" outlineLevel="1" x14ac:dyDescent="0.35">
      <c r="A37" s="556" t="s">
        <v>270</v>
      </c>
      <c r="C37" s="561">
        <v>0</v>
      </c>
      <c r="D37" s="561">
        <v>0</v>
      </c>
      <c r="E37" s="561">
        <v>0</v>
      </c>
      <c r="F37" s="561">
        <v>0</v>
      </c>
      <c r="G37" s="561">
        <v>0</v>
      </c>
      <c r="H37" s="561">
        <v>0</v>
      </c>
      <c r="I37" s="561">
        <v>0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0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40255</v>
      </c>
      <c r="D39" s="558">
        <f t="shared" si="8"/>
        <v>79216</v>
      </c>
      <c r="E39" s="558">
        <f t="shared" si="8"/>
        <v>121282</v>
      </c>
      <c r="F39" s="558">
        <f t="shared" si="8"/>
        <v>147325</v>
      </c>
      <c r="G39" s="558">
        <f t="shared" si="8"/>
        <v>28166</v>
      </c>
      <c r="H39" s="558">
        <f t="shared" si="8"/>
        <v>71604</v>
      </c>
      <c r="I39" s="558">
        <f>I27+I6</f>
        <v>113499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41895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-24033</v>
      </c>
      <c r="D41" s="562">
        <f t="shared" si="9"/>
        <v>-38190</v>
      </c>
      <c r="E41" s="562">
        <f t="shared" si="9"/>
        <v>-57228</v>
      </c>
      <c r="F41" s="562">
        <f t="shared" si="9"/>
        <v>-64066</v>
      </c>
      <c r="G41" s="562">
        <f t="shared" si="9"/>
        <v>-3328</v>
      </c>
      <c r="H41" s="562">
        <f t="shared" si="9"/>
        <v>-6617</v>
      </c>
      <c r="I41" s="562">
        <f>SUM(I43:I48)</f>
        <v>-10126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-3509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0</v>
      </c>
      <c r="D43" s="560">
        <v>0</v>
      </c>
      <c r="E43" s="560">
        <v>0</v>
      </c>
      <c r="F43" s="560">
        <v>0</v>
      </c>
      <c r="G43" s="560">
        <v>-227</v>
      </c>
      <c r="H43" s="560">
        <v>0</v>
      </c>
      <c r="I43" s="560">
        <v>0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0</v>
      </c>
    </row>
    <row r="44" spans="1:20" x14ac:dyDescent="0.35">
      <c r="A44" s="555" t="s">
        <v>1016</v>
      </c>
      <c r="C44" s="560">
        <v>-199</v>
      </c>
      <c r="D44" s="560">
        <v>-194</v>
      </c>
      <c r="E44" s="560">
        <v>-194</v>
      </c>
      <c r="F44" s="560">
        <v>-194</v>
      </c>
      <c r="G44" s="560">
        <v>0</v>
      </c>
      <c r="H44" s="560">
        <v>0</v>
      </c>
      <c r="I44" s="560">
        <v>0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0</v>
      </c>
    </row>
    <row r="45" spans="1:20" x14ac:dyDescent="0.35">
      <c r="A45" s="555" t="s">
        <v>312</v>
      </c>
      <c r="C45" s="560">
        <v>-23099</v>
      </c>
      <c r="D45" s="560">
        <v>-34570</v>
      </c>
      <c r="E45" s="560">
        <v>-47926</v>
      </c>
      <c r="F45" s="560">
        <v>-47926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>
        <v>2137</v>
      </c>
      <c r="D46" s="560">
        <v>3198</v>
      </c>
      <c r="E46" s="560">
        <v>4433</v>
      </c>
      <c r="F46" s="560">
        <v>4433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-2872</v>
      </c>
      <c r="D48" s="560">
        <f t="shared" si="11"/>
        <v>-6624</v>
      </c>
      <c r="E48" s="560">
        <f t="shared" si="11"/>
        <v>-13541</v>
      </c>
      <c r="F48" s="560">
        <f t="shared" si="11"/>
        <v>-20379</v>
      </c>
      <c r="G48" s="560">
        <f t="shared" si="11"/>
        <v>-3101</v>
      </c>
      <c r="H48" s="560">
        <f t="shared" si="11"/>
        <v>-6617</v>
      </c>
      <c r="I48" s="560">
        <f>SUM(I49:I55)</f>
        <v>-10126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-3509</v>
      </c>
    </row>
    <row r="49" spans="1:20" outlineLevel="1" x14ac:dyDescent="0.35">
      <c r="A49" s="556" t="s">
        <v>1019</v>
      </c>
      <c r="C49" s="561">
        <v>-1471</v>
      </c>
      <c r="D49" s="561">
        <v>-2897</v>
      </c>
      <c r="E49" s="561">
        <v>-3449</v>
      </c>
      <c r="F49" s="561">
        <v>-4241</v>
      </c>
      <c r="G49" s="561">
        <v>-751</v>
      </c>
      <c r="H49" s="561">
        <v>-1715</v>
      </c>
      <c r="I49" s="561">
        <v>-2692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-977</v>
      </c>
    </row>
    <row r="50" spans="1:20" outlineLevel="1" x14ac:dyDescent="0.35">
      <c r="A50" s="556" t="s">
        <v>1020</v>
      </c>
      <c r="C50" s="561">
        <v>-27</v>
      </c>
      <c r="D50" s="561">
        <v>-256</v>
      </c>
      <c r="E50" s="561">
        <v>-564</v>
      </c>
      <c r="F50" s="561">
        <v>-769</v>
      </c>
      <c r="G50" s="561">
        <v>-33</v>
      </c>
      <c r="H50" s="561">
        <v>-200</v>
      </c>
      <c r="I50" s="561">
        <v>-519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-319</v>
      </c>
    </row>
    <row r="51" spans="1:20" outlineLevel="1" x14ac:dyDescent="0.35">
      <c r="A51" s="556" t="s">
        <v>1021</v>
      </c>
      <c r="C51" s="561">
        <v>-1307</v>
      </c>
      <c r="D51" s="561">
        <v>-3322</v>
      </c>
      <c r="E51" s="561">
        <v>-9441</v>
      </c>
      <c r="F51" s="561">
        <v>-14836</v>
      </c>
      <c r="G51" s="561">
        <v>-2263</v>
      </c>
      <c r="H51" s="561">
        <v>-4608</v>
      </c>
      <c r="I51" s="561">
        <v>-6784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-2176</v>
      </c>
    </row>
    <row r="52" spans="1:20" outlineLevel="1" x14ac:dyDescent="0.35">
      <c r="A52" s="556" t="s">
        <v>1022</v>
      </c>
      <c r="C52" s="561">
        <v>-1</v>
      </c>
      <c r="D52" s="561">
        <v>-3</v>
      </c>
      <c r="E52" s="561">
        <v>-4</v>
      </c>
      <c r="F52" s="561">
        <v>-219</v>
      </c>
      <c r="G52" s="561">
        <v>-1</v>
      </c>
      <c r="H52" s="561">
        <v>-3</v>
      </c>
      <c r="I52" s="561">
        <v>-4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-1</v>
      </c>
    </row>
    <row r="53" spans="1:20" outlineLevel="1" x14ac:dyDescent="0.35">
      <c r="A53" s="556" t="s">
        <v>1023</v>
      </c>
      <c r="C53" s="561">
        <v>0</v>
      </c>
      <c r="D53" s="561">
        <v>0</v>
      </c>
      <c r="E53" s="561">
        <v>0</v>
      </c>
      <c r="F53" s="561">
        <v>0</v>
      </c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0</v>
      </c>
    </row>
    <row r="54" spans="1:20" outlineLevel="1" x14ac:dyDescent="0.35">
      <c r="A54" s="556" t="s">
        <v>1024</v>
      </c>
      <c r="C54" s="561">
        <v>-3</v>
      </c>
      <c r="D54" s="561">
        <v>-1</v>
      </c>
      <c r="E54" s="561">
        <v>-83</v>
      </c>
      <c r="F54" s="561">
        <v>-108</v>
      </c>
      <c r="G54" s="561">
        <v>-53</v>
      </c>
      <c r="H54" s="561">
        <v>-91</v>
      </c>
      <c r="I54" s="561">
        <v>-127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-36</v>
      </c>
    </row>
    <row r="55" spans="1:20" outlineLevel="1" x14ac:dyDescent="0.35">
      <c r="A55" s="556" t="s">
        <v>1025</v>
      </c>
      <c r="C55" s="561">
        <v>-63</v>
      </c>
      <c r="D55" s="561">
        <v>-145</v>
      </c>
      <c r="E55" s="561">
        <v>0</v>
      </c>
      <c r="F55" s="561">
        <v>-206</v>
      </c>
      <c r="G55" s="561">
        <v>0</v>
      </c>
      <c r="H55" s="561">
        <v>0</v>
      </c>
      <c r="I55" s="561">
        <v>0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0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16222</v>
      </c>
      <c r="D57" s="558">
        <f t="shared" si="13"/>
        <v>41026</v>
      </c>
      <c r="E57" s="558">
        <f t="shared" si="13"/>
        <v>64054</v>
      </c>
      <c r="F57" s="558">
        <f t="shared" si="13"/>
        <v>83259</v>
      </c>
      <c r="G57" s="558">
        <f t="shared" si="13"/>
        <v>24838</v>
      </c>
      <c r="H57" s="558">
        <f t="shared" si="13"/>
        <v>64987</v>
      </c>
      <c r="I57" s="558">
        <f>I39+I41</f>
        <v>103373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38386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-84</v>
      </c>
      <c r="D59" s="562">
        <f t="shared" si="14"/>
        <v>-618</v>
      </c>
      <c r="E59" s="562">
        <f t="shared" si="14"/>
        <v>-1377</v>
      </c>
      <c r="F59" s="562">
        <f t="shared" si="14"/>
        <v>-1786</v>
      </c>
      <c r="G59" s="562">
        <f t="shared" si="14"/>
        <v>-188</v>
      </c>
      <c r="H59" s="562">
        <f t="shared" si="14"/>
        <v>-484</v>
      </c>
      <c r="I59" s="562">
        <f>I61+I67+I68+I77+I78</f>
        <v>-959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-475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0</v>
      </c>
      <c r="D61" s="560">
        <f t="shared" si="15"/>
        <v>0</v>
      </c>
      <c r="E61" s="560">
        <f t="shared" si="15"/>
        <v>0</v>
      </c>
      <c r="F61" s="560">
        <f t="shared" si="15"/>
        <v>0</v>
      </c>
      <c r="G61" s="560">
        <f t="shared" si="15"/>
        <v>0</v>
      </c>
      <c r="H61" s="560">
        <f t="shared" si="15"/>
        <v>0</v>
      </c>
      <c r="I61" s="560">
        <f>SUM(I62:I66)</f>
        <v>0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0</v>
      </c>
    </row>
    <row r="62" spans="1:20" outlineLevel="1" x14ac:dyDescent="0.35">
      <c r="A62" s="556" t="s">
        <v>1029</v>
      </c>
      <c r="C62" s="561">
        <v>0</v>
      </c>
      <c r="D62" s="561">
        <v>0</v>
      </c>
      <c r="E62" s="561">
        <v>0</v>
      </c>
      <c r="F62" s="561">
        <v>0</v>
      </c>
      <c r="G62" s="561">
        <v>0</v>
      </c>
      <c r="H62" s="561">
        <v>0</v>
      </c>
      <c r="I62" s="561">
        <v>0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0</v>
      </c>
    </row>
    <row r="63" spans="1:20" outlineLevel="1" x14ac:dyDescent="0.35">
      <c r="A63" s="556" t="s">
        <v>1030</v>
      </c>
      <c r="C63" s="561">
        <v>0</v>
      </c>
      <c r="D63" s="561">
        <v>0</v>
      </c>
      <c r="E63" s="561">
        <v>0</v>
      </c>
      <c r="F63" s="561">
        <v>0</v>
      </c>
      <c r="G63" s="561">
        <v>0</v>
      </c>
      <c r="H63" s="561">
        <v>0</v>
      </c>
      <c r="I63" s="561">
        <v>0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0</v>
      </c>
    </row>
    <row r="64" spans="1:20" outlineLevel="1" x14ac:dyDescent="0.35">
      <c r="A64" s="556" t="s">
        <v>1031</v>
      </c>
      <c r="C64" s="561">
        <v>0</v>
      </c>
      <c r="D64" s="561">
        <v>0</v>
      </c>
      <c r="E64" s="561">
        <v>0</v>
      </c>
      <c r="F64" s="561">
        <v>0</v>
      </c>
      <c r="G64" s="561">
        <v>0</v>
      </c>
      <c r="H64" s="561">
        <v>0</v>
      </c>
      <c r="I64" s="561">
        <v>0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0</v>
      </c>
    </row>
    <row r="65" spans="1:20" outlineLevel="1" x14ac:dyDescent="0.35">
      <c r="A65" s="556" t="s">
        <v>1032</v>
      </c>
      <c r="C65" s="561">
        <v>0</v>
      </c>
      <c r="D65" s="561">
        <v>0</v>
      </c>
      <c r="E65" s="561">
        <v>0</v>
      </c>
      <c r="F65" s="561">
        <v>0</v>
      </c>
      <c r="G65" s="561">
        <v>0</v>
      </c>
      <c r="H65" s="561">
        <v>0</v>
      </c>
      <c r="I65" s="561">
        <v>0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0</v>
      </c>
    </row>
    <row r="66" spans="1:20" outlineLevel="1" x14ac:dyDescent="0.35">
      <c r="A66" s="556" t="s">
        <v>1033</v>
      </c>
      <c r="C66" s="561">
        <v>0</v>
      </c>
      <c r="D66" s="561">
        <v>0</v>
      </c>
      <c r="E66" s="561">
        <v>0</v>
      </c>
      <c r="F66" s="561">
        <v>0</v>
      </c>
      <c r="G66" s="561">
        <v>0</v>
      </c>
      <c r="H66" s="561">
        <v>0</v>
      </c>
      <c r="I66" s="561">
        <v>0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0</v>
      </c>
    </row>
    <row r="67" spans="1:20" x14ac:dyDescent="0.35">
      <c r="A67" s="555" t="s">
        <v>1034</v>
      </c>
      <c r="C67" s="563">
        <v>0</v>
      </c>
      <c r="D67" s="563">
        <v>0</v>
      </c>
      <c r="E67" s="563">
        <v>0</v>
      </c>
      <c r="F67" s="563">
        <v>0</v>
      </c>
      <c r="G67" s="563">
        <v>0</v>
      </c>
      <c r="H67" s="563">
        <v>0</v>
      </c>
      <c r="I67" s="563">
        <v>0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0</v>
      </c>
    </row>
    <row r="68" spans="1:20" x14ac:dyDescent="0.35">
      <c r="A68" s="555" t="s">
        <v>1035</v>
      </c>
      <c r="C68" s="560">
        <f t="shared" ref="C68:H68" si="17">SUM(C69:C76)</f>
        <v>-84</v>
      </c>
      <c r="D68" s="560">
        <f t="shared" si="17"/>
        <v>-618</v>
      </c>
      <c r="E68" s="560">
        <f t="shared" si="17"/>
        <v>-1377</v>
      </c>
      <c r="F68" s="560">
        <f t="shared" si="17"/>
        <v>-1732</v>
      </c>
      <c r="G68" s="560">
        <f t="shared" si="17"/>
        <v>-188</v>
      </c>
      <c r="H68" s="560">
        <f t="shared" si="17"/>
        <v>-479</v>
      </c>
      <c r="I68" s="560">
        <f>SUM(I69:I76)</f>
        <v>-953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-474</v>
      </c>
    </row>
    <row r="69" spans="1:20" outlineLevel="1" x14ac:dyDescent="0.35">
      <c r="A69" s="556" t="s">
        <v>1036</v>
      </c>
      <c r="C69" s="561">
        <v>0</v>
      </c>
      <c r="D69" s="561">
        <v>0</v>
      </c>
      <c r="E69" s="561">
        <v>-796</v>
      </c>
      <c r="F69" s="561">
        <v>-846</v>
      </c>
      <c r="G69" s="561">
        <v>-14</v>
      </c>
      <c r="H69" s="561">
        <v>-1</v>
      </c>
      <c r="I69" s="561">
        <v>-198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-197</v>
      </c>
    </row>
    <row r="70" spans="1:20" outlineLevel="1" x14ac:dyDescent="0.35">
      <c r="A70" s="556" t="s">
        <v>1037</v>
      </c>
      <c r="C70" s="561">
        <v>-9</v>
      </c>
      <c r="D70" s="561">
        <v>-16</v>
      </c>
      <c r="E70" s="561">
        <v>-4</v>
      </c>
      <c r="F70" s="561">
        <v>-4</v>
      </c>
      <c r="G70" s="561">
        <v>-17</v>
      </c>
      <c r="H70" s="561">
        <v>0</v>
      </c>
      <c r="I70" s="561">
        <v>-1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-1</v>
      </c>
    </row>
    <row r="71" spans="1:20" outlineLevel="1" x14ac:dyDescent="0.35">
      <c r="A71" s="556" t="s">
        <v>1038</v>
      </c>
      <c r="C71" s="561">
        <v>-63</v>
      </c>
      <c r="D71" s="561">
        <v>-489</v>
      </c>
      <c r="E71" s="561">
        <v>-317</v>
      </c>
      <c r="F71" s="561">
        <v>-785</v>
      </c>
      <c r="G71" s="561">
        <v>-120</v>
      </c>
      <c r="H71" s="561">
        <v>-299</v>
      </c>
      <c r="I71" s="561">
        <v>-571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-272</v>
      </c>
    </row>
    <row r="72" spans="1:20" outlineLevel="1" x14ac:dyDescent="0.35">
      <c r="A72" s="556" t="s">
        <v>1039</v>
      </c>
      <c r="C72" s="561">
        <v>0</v>
      </c>
      <c r="D72" s="561">
        <v>-72</v>
      </c>
      <c r="E72" s="561">
        <v>-4</v>
      </c>
      <c r="F72" s="561">
        <v>-4</v>
      </c>
      <c r="G72" s="561">
        <v>-1</v>
      </c>
      <c r="H72" s="561">
        <v>0</v>
      </c>
      <c r="I72" s="561">
        <v>-5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-5</v>
      </c>
    </row>
    <row r="73" spans="1:20" outlineLevel="1" x14ac:dyDescent="0.35">
      <c r="A73" s="556" t="s">
        <v>1040</v>
      </c>
      <c r="C73" s="561">
        <v>-12</v>
      </c>
      <c r="D73" s="561">
        <v>-41</v>
      </c>
      <c r="E73" s="561">
        <v>-256</v>
      </c>
      <c r="F73" s="561">
        <v>-93</v>
      </c>
      <c r="G73" s="561">
        <v>-36</v>
      </c>
      <c r="H73" s="561">
        <v>-179</v>
      </c>
      <c r="I73" s="561">
        <v>-178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1</v>
      </c>
    </row>
    <row r="74" spans="1:20" outlineLevel="1" x14ac:dyDescent="0.35">
      <c r="A74" s="556" t="s">
        <v>1041</v>
      </c>
      <c r="C74" s="561">
        <v>0</v>
      </c>
      <c r="D74" s="561">
        <v>0</v>
      </c>
      <c r="E74" s="561">
        <v>0</v>
      </c>
      <c r="F74" s="561">
        <v>0</v>
      </c>
      <c r="G74" s="561">
        <v>0</v>
      </c>
      <c r="H74" s="561">
        <v>0</v>
      </c>
      <c r="I74" s="561">
        <v>0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0</v>
      </c>
    </row>
    <row r="75" spans="1:20" outlineLevel="1" x14ac:dyDescent="0.35">
      <c r="A75" s="556" t="s">
        <v>1042</v>
      </c>
      <c r="C75" s="561">
        <v>0</v>
      </c>
      <c r="D75" s="561">
        <v>0</v>
      </c>
      <c r="E75" s="561">
        <v>0</v>
      </c>
      <c r="F75" s="561">
        <v>0</v>
      </c>
      <c r="G75" s="561">
        <v>0</v>
      </c>
      <c r="H75" s="561">
        <v>0</v>
      </c>
      <c r="I75" s="561">
        <v>0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0</v>
      </c>
    </row>
    <row r="76" spans="1:20" outlineLevel="1" x14ac:dyDescent="0.35">
      <c r="A76" s="556" t="s">
        <v>1043</v>
      </c>
      <c r="C76" s="561">
        <v>0</v>
      </c>
      <c r="D76" s="561">
        <v>0</v>
      </c>
      <c r="E76" s="561">
        <v>0</v>
      </c>
      <c r="F76" s="561">
        <v>0</v>
      </c>
      <c r="G76" s="561">
        <v>0</v>
      </c>
      <c r="H76" s="561">
        <v>0</v>
      </c>
      <c r="I76" s="561">
        <v>0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0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0</v>
      </c>
    </row>
    <row r="78" spans="1:20" x14ac:dyDescent="0.35">
      <c r="A78" s="555" t="s">
        <v>1045</v>
      </c>
      <c r="C78" s="560">
        <f t="shared" ref="C78:H78" si="19">SUM(C79:C80)</f>
        <v>0</v>
      </c>
      <c r="D78" s="560">
        <f t="shared" si="19"/>
        <v>0</v>
      </c>
      <c r="E78" s="560">
        <f t="shared" si="19"/>
        <v>0</v>
      </c>
      <c r="F78" s="560">
        <f t="shared" si="19"/>
        <v>-54</v>
      </c>
      <c r="G78" s="560">
        <f t="shared" si="19"/>
        <v>0</v>
      </c>
      <c r="H78" s="560">
        <f t="shared" si="19"/>
        <v>-5</v>
      </c>
      <c r="I78" s="560">
        <f>SUM(I79:I80)</f>
        <v>-6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-1</v>
      </c>
    </row>
    <row r="79" spans="1:20" outlineLevel="1" x14ac:dyDescent="0.35">
      <c r="A79" s="556" t="s">
        <v>1046</v>
      </c>
      <c r="C79" s="561">
        <v>0</v>
      </c>
      <c r="D79" s="561">
        <v>0</v>
      </c>
      <c r="E79" s="561">
        <v>0</v>
      </c>
      <c r="F79" s="561">
        <v>-54</v>
      </c>
      <c r="G79" s="561">
        <v>0</v>
      </c>
      <c r="H79" s="561">
        <v>-5</v>
      </c>
      <c r="I79" s="561">
        <v>-6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-1</v>
      </c>
    </row>
    <row r="80" spans="1:20" outlineLevel="1" x14ac:dyDescent="0.35">
      <c r="A80" s="556" t="s">
        <v>1047</v>
      </c>
      <c r="C80" s="561">
        <v>0</v>
      </c>
      <c r="D80" s="561">
        <v>0</v>
      </c>
      <c r="E80" s="561">
        <v>0</v>
      </c>
      <c r="F80" s="561">
        <v>0</v>
      </c>
      <c r="G80" s="561">
        <v>0</v>
      </c>
      <c r="H80" s="561">
        <v>0</v>
      </c>
      <c r="I80" s="561">
        <v>0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0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16139</v>
      </c>
      <c r="D82" s="558">
        <f t="shared" si="21"/>
        <v>40411</v>
      </c>
      <c r="E82" s="558">
        <f t="shared" si="21"/>
        <v>62681</v>
      </c>
      <c r="F82" s="558">
        <f t="shared" si="21"/>
        <v>81692</v>
      </c>
      <c r="G82" s="558">
        <f t="shared" si="21"/>
        <v>24651</v>
      </c>
      <c r="H82" s="558">
        <f t="shared" si="21"/>
        <v>64506</v>
      </c>
      <c r="I82" s="558">
        <f>I84-I75-I52-I76</f>
        <v>102418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37912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16138</v>
      </c>
      <c r="D84" s="558">
        <f t="shared" si="22"/>
        <v>40408</v>
      </c>
      <c r="E84" s="558">
        <f t="shared" si="22"/>
        <v>62677</v>
      </c>
      <c r="F84" s="558">
        <f t="shared" si="22"/>
        <v>81473</v>
      </c>
      <c r="G84" s="558">
        <f t="shared" si="22"/>
        <v>24650</v>
      </c>
      <c r="H84" s="558">
        <f t="shared" si="22"/>
        <v>64503</v>
      </c>
      <c r="I84" s="558">
        <f>I57+I59</f>
        <v>102414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37911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-13164</v>
      </c>
      <c r="D86" s="558">
        <f t="shared" si="23"/>
        <v>-28326</v>
      </c>
      <c r="E86" s="558">
        <f t="shared" si="23"/>
        <v>-39550</v>
      </c>
      <c r="F86" s="558">
        <f t="shared" si="23"/>
        <v>-52200</v>
      </c>
      <c r="G86" s="558">
        <f t="shared" si="23"/>
        <v>-14061</v>
      </c>
      <c r="H86" s="558">
        <f t="shared" si="23"/>
        <v>-24500</v>
      </c>
      <c r="I86" s="558">
        <f>I88+I97</f>
        <v>-34200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-9700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2585</v>
      </c>
      <c r="D88" s="562">
        <f t="shared" si="24"/>
        <v>5931</v>
      </c>
      <c r="E88" s="562">
        <f t="shared" si="24"/>
        <v>10909</v>
      </c>
      <c r="F88" s="562">
        <f t="shared" si="24"/>
        <v>15696</v>
      </c>
      <c r="G88" s="562">
        <f t="shared" si="24"/>
        <v>5829</v>
      </c>
      <c r="H88" s="562">
        <f t="shared" si="24"/>
        <v>13031</v>
      </c>
      <c r="I88" s="562">
        <f>SUM(I89:I96)</f>
        <v>20655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7624</v>
      </c>
    </row>
    <row r="89" spans="1:20" outlineLevel="1" x14ac:dyDescent="0.35">
      <c r="A89" s="556" t="s">
        <v>1049</v>
      </c>
      <c r="C89" s="561">
        <v>2711</v>
      </c>
      <c r="D89" s="561">
        <v>6208</v>
      </c>
      <c r="E89" s="561">
        <v>11429</v>
      </c>
      <c r="F89" s="561">
        <v>16444</v>
      </c>
      <c r="G89" s="561">
        <v>6100</v>
      </c>
      <c r="H89" s="561">
        <v>13650</v>
      </c>
      <c r="I89" s="561">
        <v>21646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7996</v>
      </c>
    </row>
    <row r="90" spans="1:20" outlineLevel="1" x14ac:dyDescent="0.35">
      <c r="A90" s="556" t="s">
        <v>1050</v>
      </c>
      <c r="C90" s="561">
        <v>-126</v>
      </c>
      <c r="D90" s="561">
        <v>-289</v>
      </c>
      <c r="E90" s="561">
        <v>-532</v>
      </c>
      <c r="F90" s="561">
        <v>-765</v>
      </c>
      <c r="G90" s="561">
        <v>-284</v>
      </c>
      <c r="H90" s="561">
        <v>-635</v>
      </c>
      <c r="I90" s="561">
        <v>-1007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-372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>
        <v>0</v>
      </c>
      <c r="D92" s="561">
        <v>0</v>
      </c>
      <c r="E92" s="561">
        <v>0</v>
      </c>
      <c r="F92" s="561">
        <v>0</v>
      </c>
      <c r="G92" s="561">
        <v>0</v>
      </c>
      <c r="H92" s="561">
        <v>0</v>
      </c>
      <c r="I92" s="561">
        <v>0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0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>
        <v>0</v>
      </c>
      <c r="D95" s="561">
        <v>12</v>
      </c>
      <c r="E95" s="561">
        <v>12</v>
      </c>
      <c r="F95" s="561">
        <v>0</v>
      </c>
      <c r="G95" s="561">
        <v>0</v>
      </c>
      <c r="H95" s="561">
        <v>0</v>
      </c>
      <c r="I95" s="561">
        <v>0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0</v>
      </c>
    </row>
    <row r="96" spans="1:20" outlineLevel="1" x14ac:dyDescent="0.35">
      <c r="A96" s="556" t="s">
        <v>1056</v>
      </c>
      <c r="C96" s="561">
        <v>0</v>
      </c>
      <c r="D96" s="561">
        <v>0</v>
      </c>
      <c r="E96" s="561">
        <v>0</v>
      </c>
      <c r="F96" s="561">
        <v>17</v>
      </c>
      <c r="G96" s="561">
        <v>13</v>
      </c>
      <c r="H96" s="561">
        <v>16</v>
      </c>
      <c r="I96" s="561">
        <v>16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0</v>
      </c>
    </row>
    <row r="97" spans="1:20" x14ac:dyDescent="0.35">
      <c r="A97" s="555" t="s">
        <v>279</v>
      </c>
      <c r="C97" s="560">
        <f t="shared" ref="C97:H97" si="26">SUM(C98:C106)</f>
        <v>-15749</v>
      </c>
      <c r="D97" s="560">
        <f t="shared" si="26"/>
        <v>-34257</v>
      </c>
      <c r="E97" s="560">
        <f t="shared" si="26"/>
        <v>-50459</v>
      </c>
      <c r="F97" s="560">
        <f t="shared" si="26"/>
        <v>-67896</v>
      </c>
      <c r="G97" s="560">
        <f t="shared" si="26"/>
        <v>-19890</v>
      </c>
      <c r="H97" s="560">
        <f t="shared" si="26"/>
        <v>-37531</v>
      </c>
      <c r="I97" s="560">
        <f>SUM(I98:I106)</f>
        <v>-54855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-17324</v>
      </c>
    </row>
    <row r="98" spans="1:20" outlineLevel="1" x14ac:dyDescent="0.35">
      <c r="A98" s="556" t="s">
        <v>1057</v>
      </c>
      <c r="C98" s="561">
        <v>-12703</v>
      </c>
      <c r="D98" s="561">
        <v>-27381</v>
      </c>
      <c r="E98" s="561">
        <v>-44205</v>
      </c>
      <c r="F98" s="561">
        <v>-59996</v>
      </c>
      <c r="G98" s="561">
        <v>-16593</v>
      </c>
      <c r="H98" s="561">
        <v>-32269</v>
      </c>
      <c r="I98" s="561">
        <v>-48853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-16584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0</v>
      </c>
    </row>
    <row r="100" spans="1:20" outlineLevel="1" x14ac:dyDescent="0.35">
      <c r="A100" s="556" t="s">
        <v>1059</v>
      </c>
      <c r="C100" s="561">
        <v>-2791</v>
      </c>
      <c r="D100" s="561">
        <v>-6310</v>
      </c>
      <c r="E100" s="561">
        <v>-5321</v>
      </c>
      <c r="F100" s="561">
        <v>-6706</v>
      </c>
      <c r="G100" s="561">
        <v>-2860</v>
      </c>
      <c r="H100" s="561">
        <v>-4428</v>
      </c>
      <c r="I100" s="561">
        <v>-4782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-354</v>
      </c>
    </row>
    <row r="101" spans="1:20" outlineLevel="1" x14ac:dyDescent="0.35">
      <c r="A101" s="556" t="s">
        <v>1060</v>
      </c>
      <c r="C101" s="561">
        <v>0</v>
      </c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0</v>
      </c>
    </row>
    <row r="102" spans="1:20" outlineLevel="1" x14ac:dyDescent="0.35">
      <c r="A102" s="556" t="s">
        <v>1061</v>
      </c>
      <c r="C102" s="561">
        <v>0</v>
      </c>
      <c r="D102" s="561">
        <v>0</v>
      </c>
      <c r="E102" s="561">
        <v>0</v>
      </c>
      <c r="F102" s="561">
        <v>0</v>
      </c>
      <c r="G102" s="561">
        <v>0</v>
      </c>
      <c r="H102" s="561">
        <v>0</v>
      </c>
      <c r="I102" s="561">
        <v>0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0</v>
      </c>
    </row>
    <row r="103" spans="1:20" outlineLevel="1" x14ac:dyDescent="0.35">
      <c r="A103" s="556" t="s">
        <v>1062</v>
      </c>
      <c r="C103" s="561">
        <v>-14</v>
      </c>
      <c r="D103" s="561">
        <v>-20</v>
      </c>
      <c r="E103" s="561">
        <v>-41</v>
      </c>
      <c r="F103" s="561">
        <v>-42</v>
      </c>
      <c r="G103" s="561">
        <v>-2</v>
      </c>
      <c r="H103" s="561">
        <v>-2</v>
      </c>
      <c r="I103" s="561">
        <v>-2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0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>
        <v>-177</v>
      </c>
      <c r="D105" s="561">
        <v>-397</v>
      </c>
      <c r="E105" s="561">
        <v>-658</v>
      </c>
      <c r="F105" s="561">
        <v>-827</v>
      </c>
      <c r="G105" s="561">
        <v>-283</v>
      </c>
      <c r="H105" s="561">
        <v>-570</v>
      </c>
      <c r="I105" s="561">
        <v>-876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-306</v>
      </c>
    </row>
    <row r="106" spans="1:20" outlineLevel="1" x14ac:dyDescent="0.35">
      <c r="A106" s="556" t="s">
        <v>1065</v>
      </c>
      <c r="C106" s="561">
        <v>-64</v>
      </c>
      <c r="D106" s="561">
        <v>-149</v>
      </c>
      <c r="E106" s="561">
        <v>-234</v>
      </c>
      <c r="F106" s="561">
        <v>-325</v>
      </c>
      <c r="G106" s="561">
        <v>-152</v>
      </c>
      <c r="H106" s="561">
        <v>-262</v>
      </c>
      <c r="I106" s="561">
        <v>-342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-80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2974</v>
      </c>
      <c r="D108" s="558">
        <f t="shared" si="28"/>
        <v>12082</v>
      </c>
      <c r="E108" s="558">
        <f t="shared" si="28"/>
        <v>23127</v>
      </c>
      <c r="F108" s="558">
        <f t="shared" si="28"/>
        <v>29273</v>
      </c>
      <c r="G108" s="558">
        <f t="shared" si="28"/>
        <v>10589</v>
      </c>
      <c r="H108" s="558">
        <f t="shared" si="28"/>
        <v>40003</v>
      </c>
      <c r="I108" s="558">
        <f>I84+I86</f>
        <v>68214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28211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H110" si="29">SUM(C112:C115)</f>
        <v>-449</v>
      </c>
      <c r="D110" s="562">
        <f t="shared" si="29"/>
        <v>-1840</v>
      </c>
      <c r="E110" s="562">
        <f t="shared" si="29"/>
        <v>-3532</v>
      </c>
      <c r="F110" s="562">
        <f t="shared" si="29"/>
        <v>-2406</v>
      </c>
      <c r="G110" s="562">
        <f t="shared" si="29"/>
        <v>-1876</v>
      </c>
      <c r="H110" s="562">
        <f t="shared" si="29"/>
        <v>-6624</v>
      </c>
      <c r="I110" s="562">
        <f>SUM(I112:I115)</f>
        <v>-13071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-6447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-1558</v>
      </c>
      <c r="D112" s="563">
        <v>-2735</v>
      </c>
      <c r="E112" s="563">
        <v>-4175</v>
      </c>
      <c r="F112" s="563">
        <v>-5844</v>
      </c>
      <c r="G112" s="563">
        <v>-1633</v>
      </c>
      <c r="H112" s="563">
        <v>-3154</v>
      </c>
      <c r="I112" s="563">
        <v>-4812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-1658</v>
      </c>
    </row>
    <row r="113" spans="1:20" x14ac:dyDescent="0.35">
      <c r="A113" s="555" t="s">
        <v>282</v>
      </c>
      <c r="C113" s="563">
        <v>-4323</v>
      </c>
      <c r="D113" s="563">
        <v>-7585</v>
      </c>
      <c r="E113" s="563">
        <v>-11580</v>
      </c>
      <c r="F113" s="563">
        <v>-16197</v>
      </c>
      <c r="G113" s="563">
        <v>-4530</v>
      </c>
      <c r="H113" s="563">
        <v>-9253</v>
      </c>
      <c r="I113" s="563">
        <v>-13350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-4097</v>
      </c>
    </row>
    <row r="114" spans="1:20" x14ac:dyDescent="0.35">
      <c r="A114" s="555" t="s">
        <v>284</v>
      </c>
      <c r="C114" s="563">
        <v>556</v>
      </c>
      <c r="D114" s="563">
        <v>2256</v>
      </c>
      <c r="E114" s="563">
        <v>4313</v>
      </c>
      <c r="F114" s="563">
        <v>5460</v>
      </c>
      <c r="G114" s="563">
        <v>1718</v>
      </c>
      <c r="H114" s="563">
        <v>6379</v>
      </c>
      <c r="I114" s="563">
        <v>10104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3725</v>
      </c>
    </row>
    <row r="115" spans="1:20" x14ac:dyDescent="0.35">
      <c r="A115" s="555" t="s">
        <v>1068</v>
      </c>
      <c r="C115" s="563">
        <v>4876</v>
      </c>
      <c r="D115" s="563">
        <v>6224</v>
      </c>
      <c r="E115" s="563">
        <v>7910</v>
      </c>
      <c r="F115" s="563">
        <v>14175</v>
      </c>
      <c r="G115" s="563">
        <v>2569</v>
      </c>
      <c r="H115" s="563">
        <v>-596</v>
      </c>
      <c r="I115" s="563">
        <v>-5013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-4417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H117" si="31">C108+C110</f>
        <v>2525</v>
      </c>
      <c r="D117" s="564">
        <f t="shared" si="31"/>
        <v>10242</v>
      </c>
      <c r="E117" s="564">
        <f t="shared" si="31"/>
        <v>19595</v>
      </c>
      <c r="F117" s="564">
        <f t="shared" si="31"/>
        <v>26867</v>
      </c>
      <c r="G117" s="564">
        <f t="shared" si="31"/>
        <v>8713</v>
      </c>
      <c r="H117" s="564">
        <f t="shared" si="31"/>
        <v>33379</v>
      </c>
      <c r="I117" s="564">
        <f>I108+I110</f>
        <v>55143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21764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H120" si="32">C117-C121</f>
        <v>2525</v>
      </c>
      <c r="D120" s="563">
        <f t="shared" si="32"/>
        <v>10242</v>
      </c>
      <c r="E120" s="563">
        <f t="shared" si="32"/>
        <v>19595</v>
      </c>
      <c r="F120" s="563">
        <f t="shared" si="32"/>
        <v>26867</v>
      </c>
      <c r="G120" s="563">
        <f t="shared" si="32"/>
        <v>8713</v>
      </c>
      <c r="H120" s="563">
        <f t="shared" si="32"/>
        <v>33379</v>
      </c>
      <c r="I120" s="563">
        <f>I117-I121</f>
        <v>55143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3">I120-H120</f>
        <v>21764</v>
      </c>
    </row>
    <row r="121" spans="1:20" x14ac:dyDescent="0.35">
      <c r="A121" s="555" t="s">
        <v>1072</v>
      </c>
      <c r="C121" s="563">
        <f t="shared" ref="C121:H121" si="34">C117*C126</f>
        <v>0</v>
      </c>
      <c r="D121" s="563">
        <f t="shared" si="34"/>
        <v>0</v>
      </c>
      <c r="E121" s="563">
        <f t="shared" si="34"/>
        <v>0</v>
      </c>
      <c r="F121" s="563">
        <f t="shared" si="34"/>
        <v>0</v>
      </c>
      <c r="G121" s="563">
        <f t="shared" si="34"/>
        <v>0</v>
      </c>
      <c r="H121" s="563">
        <f t="shared" si="34"/>
        <v>0</v>
      </c>
      <c r="I121" s="563">
        <f>I117*I126</f>
        <v>0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3"/>
        <v>0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H123" si="35">SUM(C120:C121)</f>
        <v>2525</v>
      </c>
      <c r="D123" s="564">
        <f t="shared" si="35"/>
        <v>10242</v>
      </c>
      <c r="E123" s="564">
        <f t="shared" si="35"/>
        <v>19595</v>
      </c>
      <c r="F123" s="564">
        <f t="shared" si="35"/>
        <v>26867</v>
      </c>
      <c r="G123" s="564">
        <f t="shared" si="35"/>
        <v>8713</v>
      </c>
      <c r="H123" s="564">
        <f t="shared" si="35"/>
        <v>33379</v>
      </c>
      <c r="I123" s="564">
        <f>SUM(I120:I121)</f>
        <v>55143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21764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>
        <v>1</v>
      </c>
      <c r="D125" s="571">
        <v>1</v>
      </c>
      <c r="E125" s="571">
        <v>1</v>
      </c>
      <c r="F125" s="571">
        <v>1</v>
      </c>
      <c r="G125" s="571">
        <v>1</v>
      </c>
      <c r="H125" s="571">
        <v>1</v>
      </c>
      <c r="I125" s="571">
        <v>1</v>
      </c>
      <c r="T125" s="571">
        <f>I125</f>
        <v>1</v>
      </c>
    </row>
    <row r="126" spans="1:20" s="570" customFormat="1" ht="10.5" x14ac:dyDescent="0.25">
      <c r="A126" s="569" t="s">
        <v>1087</v>
      </c>
      <c r="C126" s="571">
        <v>0</v>
      </c>
      <c r="D126" s="571">
        <v>0</v>
      </c>
      <c r="E126" s="571">
        <v>0</v>
      </c>
      <c r="F126" s="571">
        <v>0</v>
      </c>
      <c r="G126" s="571">
        <v>0</v>
      </c>
      <c r="H126" s="571">
        <v>0</v>
      </c>
      <c r="I126" s="571">
        <v>0</v>
      </c>
      <c r="T126" s="571">
        <f>I126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BE95-9A1E-4F8E-B00F-CBB8EFA7F72F}">
  <sheetPr>
    <tabColor theme="9" tint="0.79998168889431442"/>
  </sheetPr>
  <dimension ref="A4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1100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0</v>
      </c>
      <c r="D6" s="558">
        <f t="shared" si="0"/>
        <v>0</v>
      </c>
      <c r="E6" s="558">
        <f t="shared" si="0"/>
        <v>44567</v>
      </c>
      <c r="F6" s="558">
        <f t="shared" si="0"/>
        <v>95826</v>
      </c>
      <c r="G6" s="558">
        <f t="shared" si="0"/>
        <v>42602</v>
      </c>
      <c r="H6" s="558">
        <f t="shared" si="0"/>
        <v>88617</v>
      </c>
      <c r="I6" s="558">
        <f t="shared" si="0"/>
        <v>125954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37337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" si="2">SUM(C9:C10)</f>
        <v>0</v>
      </c>
      <c r="D8" s="560">
        <f t="shared" ref="D8:H8" si="3">SUM(D9:D10)</f>
        <v>0</v>
      </c>
      <c r="E8" s="560">
        <f t="shared" si="3"/>
        <v>0</v>
      </c>
      <c r="F8" s="560">
        <f t="shared" si="3"/>
        <v>0</v>
      </c>
      <c r="G8" s="560">
        <f t="shared" si="3"/>
        <v>0</v>
      </c>
      <c r="H8" s="560">
        <f t="shared" si="3"/>
        <v>0</v>
      </c>
      <c r="I8" s="560">
        <f>SUM(I9:I10)</f>
        <v>0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0</v>
      </c>
    </row>
    <row r="9" spans="1:20" outlineLevel="1" x14ac:dyDescent="0.35">
      <c r="A9" s="556" t="s">
        <v>996</v>
      </c>
      <c r="C9" s="561">
        <v>0</v>
      </c>
      <c r="D9" s="561">
        <v>0</v>
      </c>
      <c r="E9" s="561">
        <v>0</v>
      </c>
      <c r="F9" s="561">
        <v>0</v>
      </c>
      <c r="G9" s="561">
        <v>0</v>
      </c>
      <c r="H9" s="561">
        <v>0</v>
      </c>
      <c r="I9" s="561">
        <v>0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0</v>
      </c>
    </row>
    <row r="10" spans="1:20" outlineLevel="1" x14ac:dyDescent="0.35">
      <c r="A10" s="556" t="s">
        <v>997</v>
      </c>
      <c r="C10" s="561">
        <v>0</v>
      </c>
      <c r="D10" s="561">
        <v>0</v>
      </c>
      <c r="E10" s="561">
        <v>0</v>
      </c>
      <c r="F10" s="561">
        <v>0</v>
      </c>
      <c r="G10" s="561">
        <v>0</v>
      </c>
      <c r="H10" s="561">
        <v>0</v>
      </c>
      <c r="I10" s="561">
        <v>0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4">I10-H10</f>
        <v>0</v>
      </c>
    </row>
    <row r="11" spans="1:20" x14ac:dyDescent="0.35">
      <c r="A11" s="555" t="s">
        <v>248</v>
      </c>
      <c r="C11" s="560">
        <v>0</v>
      </c>
      <c r="D11" s="560">
        <v>0</v>
      </c>
      <c r="E11" s="560">
        <v>0</v>
      </c>
      <c r="F11" s="560">
        <v>0</v>
      </c>
      <c r="G11" s="560">
        <v>0</v>
      </c>
      <c r="H11" s="560">
        <v>0</v>
      </c>
      <c r="I11" s="560">
        <v>0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4"/>
        <v>0</v>
      </c>
    </row>
    <row r="12" spans="1:20" x14ac:dyDescent="0.35">
      <c r="A12" s="555" t="s">
        <v>252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4"/>
        <v>0</v>
      </c>
    </row>
    <row r="13" spans="1:20" x14ac:dyDescent="0.35">
      <c r="A13" s="555" t="s">
        <v>249</v>
      </c>
      <c r="C13" s="560">
        <v>0</v>
      </c>
      <c r="D13" s="560">
        <v>0</v>
      </c>
      <c r="E13" s="560">
        <v>31118</v>
      </c>
      <c r="F13" s="560">
        <v>61456</v>
      </c>
      <c r="G13" s="560">
        <v>15219</v>
      </c>
      <c r="H13" s="560">
        <v>39791</v>
      </c>
      <c r="I13" s="560">
        <v>57874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4"/>
        <v>18083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4"/>
        <v>0</v>
      </c>
    </row>
    <row r="15" spans="1:20" x14ac:dyDescent="0.35">
      <c r="A15" s="555" t="s">
        <v>998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4"/>
        <v>0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13428</v>
      </c>
      <c r="F16" s="560">
        <v>34088</v>
      </c>
      <c r="G16" s="560">
        <v>27047</v>
      </c>
      <c r="H16" s="560">
        <v>47681</v>
      </c>
      <c r="I16" s="560">
        <v>66460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4"/>
        <v>18779</v>
      </c>
    </row>
    <row r="17" spans="1:20" x14ac:dyDescent="0.35">
      <c r="A17" s="555" t="s">
        <v>254</v>
      </c>
      <c r="C17" s="560">
        <f t="shared" ref="C17" si="5">SUM(C18:C25)</f>
        <v>0</v>
      </c>
      <c r="D17" s="560">
        <f t="shared" ref="D17:H17" si="6">SUM(D18:D25)</f>
        <v>0</v>
      </c>
      <c r="E17" s="560">
        <f t="shared" si="6"/>
        <v>21</v>
      </c>
      <c r="F17" s="560">
        <f t="shared" si="6"/>
        <v>282</v>
      </c>
      <c r="G17" s="560">
        <f t="shared" si="6"/>
        <v>336</v>
      </c>
      <c r="H17" s="560">
        <f t="shared" si="6"/>
        <v>1145</v>
      </c>
      <c r="I17" s="560">
        <f>SUM(I18:I25)</f>
        <v>1620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475</v>
      </c>
    </row>
    <row r="18" spans="1:20" outlineLevel="1" x14ac:dyDescent="0.35">
      <c r="A18" s="556" t="s">
        <v>999</v>
      </c>
      <c r="C18" s="561">
        <v>0</v>
      </c>
      <c r="D18" s="561">
        <v>0</v>
      </c>
      <c r="E18" s="561">
        <v>0</v>
      </c>
      <c r="F18" s="561">
        <v>0</v>
      </c>
      <c r="G18" s="561">
        <v>0</v>
      </c>
      <c r="H18" s="561">
        <v>0</v>
      </c>
      <c r="I18" s="561">
        <v>0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7">I18-H18</f>
        <v>0</v>
      </c>
    </row>
    <row r="19" spans="1:20" outlineLevel="1" x14ac:dyDescent="0.35">
      <c r="A19" s="556" t="s">
        <v>1000</v>
      </c>
      <c r="C19" s="561">
        <v>0</v>
      </c>
      <c r="D19" s="561">
        <v>0</v>
      </c>
      <c r="E19" s="561">
        <v>0</v>
      </c>
      <c r="F19" s="561">
        <v>0</v>
      </c>
      <c r="G19" s="561">
        <v>0</v>
      </c>
      <c r="H19" s="561">
        <v>0</v>
      </c>
      <c r="I19" s="561">
        <v>0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7"/>
        <v>0</v>
      </c>
    </row>
    <row r="20" spans="1:20" outlineLevel="1" x14ac:dyDescent="0.35">
      <c r="A20" s="556" t="s">
        <v>1001</v>
      </c>
      <c r="C20" s="561">
        <v>0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7"/>
        <v>0</v>
      </c>
    </row>
    <row r="21" spans="1:20" outlineLevel="1" x14ac:dyDescent="0.35">
      <c r="A21" s="556" t="s">
        <v>1002</v>
      </c>
      <c r="C21" s="561">
        <v>0</v>
      </c>
      <c r="D21" s="561">
        <v>0</v>
      </c>
      <c r="E21" s="561">
        <v>0</v>
      </c>
      <c r="F21" s="561">
        <v>0</v>
      </c>
      <c r="G21" s="561">
        <v>0</v>
      </c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7"/>
        <v>0</v>
      </c>
    </row>
    <row r="22" spans="1:20" outlineLevel="1" x14ac:dyDescent="0.35">
      <c r="A22" s="556" t="s">
        <v>1003</v>
      </c>
      <c r="C22" s="561">
        <v>0</v>
      </c>
      <c r="D22" s="561">
        <v>0</v>
      </c>
      <c r="E22" s="561">
        <v>0</v>
      </c>
      <c r="F22" s="561">
        <v>0</v>
      </c>
      <c r="G22" s="561">
        <v>0</v>
      </c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7"/>
        <v>0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7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7"/>
        <v>0</v>
      </c>
    </row>
    <row r="25" spans="1:20" outlineLevel="1" x14ac:dyDescent="0.35">
      <c r="A25" s="556" t="s">
        <v>254</v>
      </c>
      <c r="C25" s="561">
        <v>0</v>
      </c>
      <c r="D25" s="561">
        <v>0</v>
      </c>
      <c r="E25" s="561">
        <v>21</v>
      </c>
      <c r="F25" s="561">
        <v>282</v>
      </c>
      <c r="G25" s="561">
        <v>336</v>
      </c>
      <c r="H25" s="561">
        <v>1145</v>
      </c>
      <c r="I25" s="561">
        <v>1620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7"/>
        <v>475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" si="8">SUM(C29:C37)</f>
        <v>0</v>
      </c>
      <c r="D27" s="558">
        <f t="shared" ref="D27:H27" si="9">SUM(D29:D37)</f>
        <v>0</v>
      </c>
      <c r="E27" s="558">
        <f t="shared" si="9"/>
        <v>-1242</v>
      </c>
      <c r="F27" s="558">
        <f t="shared" si="9"/>
        <v>-3838</v>
      </c>
      <c r="G27" s="558">
        <f t="shared" si="9"/>
        <v>-2533</v>
      </c>
      <c r="H27" s="558">
        <f t="shared" si="9"/>
        <v>-4516</v>
      </c>
      <c r="I27" s="558">
        <f>SUM(I29:I37)</f>
        <v>-6294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-1778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0</v>
      </c>
      <c r="D29" s="561">
        <v>0</v>
      </c>
      <c r="E29" s="561">
        <v>0</v>
      </c>
      <c r="F29" s="561">
        <v>0</v>
      </c>
      <c r="G29" s="561">
        <v>0</v>
      </c>
      <c r="H29" s="561">
        <v>0</v>
      </c>
      <c r="I29" s="561">
        <v>0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10">I29-H29</f>
        <v>0</v>
      </c>
    </row>
    <row r="30" spans="1:20" outlineLevel="1" x14ac:dyDescent="0.35">
      <c r="A30" s="556" t="s">
        <v>1007</v>
      </c>
      <c r="C30" s="561">
        <v>0</v>
      </c>
      <c r="D30" s="561">
        <v>0</v>
      </c>
      <c r="E30" s="561">
        <v>-1242</v>
      </c>
      <c r="F30" s="561">
        <v>-3179</v>
      </c>
      <c r="G30" s="561">
        <v>-2533</v>
      </c>
      <c r="H30" s="561">
        <v>-4516</v>
      </c>
      <c r="I30" s="561">
        <v>-6294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10"/>
        <v>-1778</v>
      </c>
    </row>
    <row r="31" spans="1:20" outlineLevel="1" x14ac:dyDescent="0.35">
      <c r="A31" s="556" t="s">
        <v>1008</v>
      </c>
      <c r="C31" s="561">
        <v>0</v>
      </c>
      <c r="D31" s="561">
        <v>0</v>
      </c>
      <c r="E31" s="561">
        <v>0</v>
      </c>
      <c r="F31" s="561">
        <v>0</v>
      </c>
      <c r="G31" s="561">
        <v>0</v>
      </c>
      <c r="H31" s="561">
        <v>0</v>
      </c>
      <c r="I31" s="561">
        <v>0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10"/>
        <v>0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10"/>
        <v>0</v>
      </c>
    </row>
    <row r="33" spans="1:20" outlineLevel="1" x14ac:dyDescent="0.35">
      <c r="A33" s="556" t="s">
        <v>1010</v>
      </c>
      <c r="C33" s="561">
        <v>0</v>
      </c>
      <c r="D33" s="561">
        <v>0</v>
      </c>
      <c r="E33" s="561">
        <v>0</v>
      </c>
      <c r="F33" s="561">
        <v>0</v>
      </c>
      <c r="G33" s="561">
        <v>0</v>
      </c>
      <c r="H33" s="561">
        <v>0</v>
      </c>
      <c r="I33" s="561">
        <v>0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10"/>
        <v>0</v>
      </c>
    </row>
    <row r="34" spans="1:20" outlineLevel="1" x14ac:dyDescent="0.35">
      <c r="A34" s="556" t="s">
        <v>1011</v>
      </c>
      <c r="C34" s="561">
        <v>0</v>
      </c>
      <c r="D34" s="561">
        <v>0</v>
      </c>
      <c r="E34" s="561">
        <v>0</v>
      </c>
      <c r="F34" s="561">
        <v>-659</v>
      </c>
      <c r="G34" s="561">
        <v>0</v>
      </c>
      <c r="H34" s="561">
        <v>0</v>
      </c>
      <c r="I34" s="561">
        <v>0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10"/>
        <v>0</v>
      </c>
    </row>
    <row r="35" spans="1:20" outlineLevel="1" x14ac:dyDescent="0.35">
      <c r="A35" s="556" t="s">
        <v>1012</v>
      </c>
      <c r="C35" s="561">
        <v>0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10"/>
        <v>0</v>
      </c>
    </row>
    <row r="36" spans="1:20" outlineLevel="1" x14ac:dyDescent="0.35">
      <c r="A36" s="556" t="s">
        <v>1013</v>
      </c>
      <c r="C36" s="561">
        <v>0</v>
      </c>
      <c r="D36" s="561">
        <v>0</v>
      </c>
      <c r="E36" s="561">
        <v>0</v>
      </c>
      <c r="F36" s="561">
        <v>0</v>
      </c>
      <c r="G36" s="561">
        <v>0</v>
      </c>
      <c r="H36" s="561">
        <v>0</v>
      </c>
      <c r="I36" s="561">
        <v>0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10"/>
        <v>0</v>
      </c>
    </row>
    <row r="37" spans="1:20" outlineLevel="1" x14ac:dyDescent="0.35">
      <c r="A37" s="556" t="s">
        <v>270</v>
      </c>
      <c r="C37" s="561">
        <v>0</v>
      </c>
      <c r="D37" s="561">
        <v>0</v>
      </c>
      <c r="E37" s="561">
        <v>0</v>
      </c>
      <c r="F37" s="561">
        <v>0</v>
      </c>
      <c r="G37" s="561">
        <v>0</v>
      </c>
      <c r="H37" s="561">
        <v>0</v>
      </c>
      <c r="I37" s="561">
        <v>0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10"/>
        <v>0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" si="11">C27+C6</f>
        <v>0</v>
      </c>
      <c r="D39" s="558">
        <f t="shared" ref="D39:H39" si="12">D27+D6</f>
        <v>0</v>
      </c>
      <c r="E39" s="558">
        <f t="shared" si="12"/>
        <v>43325</v>
      </c>
      <c r="F39" s="558">
        <f t="shared" si="12"/>
        <v>91988</v>
      </c>
      <c r="G39" s="558">
        <f t="shared" si="12"/>
        <v>40069</v>
      </c>
      <c r="H39" s="558">
        <f t="shared" si="12"/>
        <v>84101</v>
      </c>
      <c r="I39" s="558">
        <f>I27+I6</f>
        <v>119660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35559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" si="13">SUM(C43:C48)</f>
        <v>-1053</v>
      </c>
      <c r="D41" s="562">
        <f t="shared" ref="D41:H41" si="14">SUM(D43:D48)</f>
        <v>-756</v>
      </c>
      <c r="E41" s="562">
        <f t="shared" si="14"/>
        <v>-41101</v>
      </c>
      <c r="F41" s="562">
        <f t="shared" si="14"/>
        <v>-77658</v>
      </c>
      <c r="G41" s="562">
        <f t="shared" si="14"/>
        <v>-25611</v>
      </c>
      <c r="H41" s="562">
        <f t="shared" si="14"/>
        <v>-61617</v>
      </c>
      <c r="I41" s="562">
        <f>SUM(I43:I48)</f>
        <v>-89720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-28103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0</v>
      </c>
      <c r="D43" s="560">
        <v>0</v>
      </c>
      <c r="E43" s="560">
        <v>0</v>
      </c>
      <c r="F43" s="560">
        <v>0</v>
      </c>
      <c r="G43" s="560">
        <v>0</v>
      </c>
      <c r="H43" s="560">
        <v>0</v>
      </c>
      <c r="I43" s="560">
        <v>0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5">I43-H43</f>
        <v>0</v>
      </c>
    </row>
    <row r="44" spans="1:20" x14ac:dyDescent="0.35">
      <c r="A44" s="555" t="s">
        <v>1016</v>
      </c>
      <c r="C44" s="560">
        <v>0</v>
      </c>
      <c r="D44" s="560">
        <v>0</v>
      </c>
      <c r="E44" s="560">
        <v>-31118</v>
      </c>
      <c r="F44" s="560">
        <v>-61456</v>
      </c>
      <c r="G44" s="560">
        <v>-15219</v>
      </c>
      <c r="H44" s="560">
        <v>-39791</v>
      </c>
      <c r="I44" s="560">
        <v>-57874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5"/>
        <v>-18083</v>
      </c>
    </row>
    <row r="45" spans="1:20" x14ac:dyDescent="0.35">
      <c r="A45" s="555" t="s">
        <v>312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5"/>
        <v>0</v>
      </c>
    </row>
    <row r="46" spans="1:20" x14ac:dyDescent="0.35">
      <c r="A46" s="555" t="s">
        <v>1017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5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5"/>
        <v>0</v>
      </c>
    </row>
    <row r="48" spans="1:20" x14ac:dyDescent="0.35">
      <c r="A48" s="555" t="s">
        <v>1018</v>
      </c>
      <c r="C48" s="560">
        <f t="shared" ref="C48:H48" si="16">SUM(C49:C55)</f>
        <v>-1053</v>
      </c>
      <c r="D48" s="560">
        <f t="shared" si="16"/>
        <v>-756</v>
      </c>
      <c r="E48" s="560">
        <f t="shared" si="16"/>
        <v>-9983</v>
      </c>
      <c r="F48" s="560">
        <f t="shared" si="16"/>
        <v>-16202</v>
      </c>
      <c r="G48" s="560">
        <f t="shared" si="16"/>
        <v>-10392</v>
      </c>
      <c r="H48" s="560">
        <f t="shared" si="16"/>
        <v>-21826</v>
      </c>
      <c r="I48" s="560">
        <f>SUM(I49:I55)</f>
        <v>-31846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-10020</v>
      </c>
    </row>
    <row r="49" spans="1:20" outlineLevel="1" x14ac:dyDescent="0.35">
      <c r="A49" s="556" t="s">
        <v>1019</v>
      </c>
      <c r="C49" s="561">
        <v>-687</v>
      </c>
      <c r="D49" s="561">
        <v>-756</v>
      </c>
      <c r="E49" s="561">
        <v>-4820</v>
      </c>
      <c r="F49" s="561">
        <v>-5660</v>
      </c>
      <c r="G49" s="561">
        <v>-2821</v>
      </c>
      <c r="H49" s="561">
        <v>-5499</v>
      </c>
      <c r="I49" s="561">
        <v>-8242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7">I49-H49</f>
        <v>-2743</v>
      </c>
    </row>
    <row r="50" spans="1:20" outlineLevel="1" x14ac:dyDescent="0.35">
      <c r="A50" s="556" t="s">
        <v>1020</v>
      </c>
      <c r="C50" s="561">
        <v>0</v>
      </c>
      <c r="D50" s="561">
        <v>0</v>
      </c>
      <c r="E50" s="561">
        <v>-5933</v>
      </c>
      <c r="F50" s="561">
        <v>-6557</v>
      </c>
      <c r="G50" s="561">
        <v>-3077</v>
      </c>
      <c r="H50" s="561">
        <v>-6654</v>
      </c>
      <c r="I50" s="561">
        <v>-9445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7"/>
        <v>-2791</v>
      </c>
    </row>
    <row r="51" spans="1:20" outlineLevel="1" x14ac:dyDescent="0.35">
      <c r="A51" s="556" t="s">
        <v>1021</v>
      </c>
      <c r="C51" s="561">
        <v>-16</v>
      </c>
      <c r="D51" s="561">
        <v>0</v>
      </c>
      <c r="E51" s="561">
        <v>-236</v>
      </c>
      <c r="F51" s="561">
        <v>-216</v>
      </c>
      <c r="G51" s="561">
        <v>-747</v>
      </c>
      <c r="H51" s="561">
        <v>-1755</v>
      </c>
      <c r="I51" s="561">
        <v>-2556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7"/>
        <v>-801</v>
      </c>
    </row>
    <row r="52" spans="1:20" outlineLevel="1" x14ac:dyDescent="0.35">
      <c r="A52" s="556" t="s">
        <v>1022</v>
      </c>
      <c r="C52" s="561">
        <v>0</v>
      </c>
      <c r="D52" s="561">
        <v>0</v>
      </c>
      <c r="E52" s="561">
        <v>2276</v>
      </c>
      <c r="F52" s="561">
        <v>0</v>
      </c>
      <c r="G52" s="561">
        <v>0</v>
      </c>
      <c r="H52" s="561">
        <v>0</v>
      </c>
      <c r="I52" s="561">
        <v>0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7"/>
        <v>0</v>
      </c>
    </row>
    <row r="53" spans="1:20" outlineLevel="1" x14ac:dyDescent="0.35">
      <c r="A53" s="556" t="s">
        <v>1023</v>
      </c>
      <c r="C53" s="561">
        <v>0</v>
      </c>
      <c r="D53" s="561">
        <v>0</v>
      </c>
      <c r="E53" s="561">
        <v>0</v>
      </c>
      <c r="F53" s="561">
        <v>0</v>
      </c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7"/>
        <v>0</v>
      </c>
    </row>
    <row r="54" spans="1:20" outlineLevel="1" x14ac:dyDescent="0.35">
      <c r="A54" s="556" t="s">
        <v>1024</v>
      </c>
      <c r="C54" s="561">
        <v>0</v>
      </c>
      <c r="D54" s="561">
        <v>0</v>
      </c>
      <c r="E54" s="561">
        <v>-63</v>
      </c>
      <c r="F54" s="561">
        <v>-127</v>
      </c>
      <c r="G54" s="561">
        <v>-415</v>
      </c>
      <c r="H54" s="561">
        <v>-857</v>
      </c>
      <c r="I54" s="561">
        <v>-1276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7"/>
        <v>-419</v>
      </c>
    </row>
    <row r="55" spans="1:20" outlineLevel="1" x14ac:dyDescent="0.35">
      <c r="A55" s="556" t="s">
        <v>1025</v>
      </c>
      <c r="C55" s="561">
        <v>-350</v>
      </c>
      <c r="D55" s="561">
        <v>0</v>
      </c>
      <c r="E55" s="561">
        <v>-1207</v>
      </c>
      <c r="F55" s="561">
        <v>-3642</v>
      </c>
      <c r="G55" s="561">
        <v>-3332</v>
      </c>
      <c r="H55" s="561">
        <v>-7061</v>
      </c>
      <c r="I55" s="561">
        <v>-10327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7"/>
        <v>-3266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8">C39+C41</f>
        <v>-1053</v>
      </c>
      <c r="D57" s="558">
        <f t="shared" si="18"/>
        <v>-756</v>
      </c>
      <c r="E57" s="558">
        <f t="shared" si="18"/>
        <v>2224</v>
      </c>
      <c r="F57" s="558">
        <f t="shared" si="18"/>
        <v>14330</v>
      </c>
      <c r="G57" s="558">
        <f t="shared" si="18"/>
        <v>14458</v>
      </c>
      <c r="H57" s="558">
        <f t="shared" si="18"/>
        <v>22484</v>
      </c>
      <c r="I57" s="558">
        <f>I39+I41</f>
        <v>29940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7456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9">C61+C67+C68+C77+C78</f>
        <v>-2288</v>
      </c>
      <c r="D59" s="562">
        <f t="shared" si="19"/>
        <v>-3087</v>
      </c>
      <c r="E59" s="562">
        <f t="shared" si="19"/>
        <v>-15523</v>
      </c>
      <c r="F59" s="562">
        <f t="shared" si="19"/>
        <v>-26415</v>
      </c>
      <c r="G59" s="562">
        <f t="shared" si="19"/>
        <v>-19810</v>
      </c>
      <c r="H59" s="562">
        <f t="shared" si="19"/>
        <v>-43627</v>
      </c>
      <c r="I59" s="562">
        <f>I61+I67+I68+I77+I78</f>
        <v>-74619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-30992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20">SUM(C62:C66)</f>
        <v>0</v>
      </c>
      <c r="D61" s="560">
        <f t="shared" si="20"/>
        <v>-263</v>
      </c>
      <c r="E61" s="560">
        <f t="shared" si="20"/>
        <v>-1645</v>
      </c>
      <c r="F61" s="560">
        <f t="shared" si="20"/>
        <v>-2634</v>
      </c>
      <c r="G61" s="560">
        <f t="shared" si="20"/>
        <v>-1636</v>
      </c>
      <c r="H61" s="560">
        <f t="shared" si="20"/>
        <v>-3007</v>
      </c>
      <c r="I61" s="560">
        <f>SUM(I62:I66)</f>
        <v>-6663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-3656</v>
      </c>
    </row>
    <row r="62" spans="1:20" outlineLevel="1" x14ac:dyDescent="0.35">
      <c r="A62" s="556" t="s">
        <v>1029</v>
      </c>
      <c r="C62" s="561">
        <v>0</v>
      </c>
      <c r="D62" s="561">
        <v>-263</v>
      </c>
      <c r="E62" s="561">
        <v>-1532</v>
      </c>
      <c r="F62" s="561">
        <v>-1747</v>
      </c>
      <c r="G62" s="561">
        <v>-723</v>
      </c>
      <c r="H62" s="561">
        <v>-1287</v>
      </c>
      <c r="I62" s="561">
        <v>-1930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21">I62-H62</f>
        <v>-643</v>
      </c>
    </row>
    <row r="63" spans="1:20" outlineLevel="1" x14ac:dyDescent="0.35">
      <c r="A63" s="556" t="s">
        <v>1030</v>
      </c>
      <c r="C63" s="561">
        <v>0</v>
      </c>
      <c r="D63" s="561">
        <v>0</v>
      </c>
      <c r="E63" s="561">
        <v>-16</v>
      </c>
      <c r="F63" s="561">
        <v>-7</v>
      </c>
      <c r="G63" s="561">
        <v>-12</v>
      </c>
      <c r="H63" s="561">
        <v>-22</v>
      </c>
      <c r="I63" s="561">
        <v>-80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21"/>
        <v>-58</v>
      </c>
    </row>
    <row r="64" spans="1:20" outlineLevel="1" x14ac:dyDescent="0.35">
      <c r="A64" s="556" t="s">
        <v>1031</v>
      </c>
      <c r="C64" s="561">
        <v>0</v>
      </c>
      <c r="D64" s="561">
        <v>0</v>
      </c>
      <c r="E64" s="561">
        <v>-97</v>
      </c>
      <c r="F64" s="561">
        <v>-880</v>
      </c>
      <c r="G64" s="561">
        <v>-898</v>
      </c>
      <c r="H64" s="561">
        <v>-1690</v>
      </c>
      <c r="I64" s="561">
        <v>-4638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21"/>
        <v>-2948</v>
      </c>
    </row>
    <row r="65" spans="1:20" outlineLevel="1" x14ac:dyDescent="0.35">
      <c r="A65" s="556" t="s">
        <v>1032</v>
      </c>
      <c r="C65" s="561">
        <v>0</v>
      </c>
      <c r="D65" s="561">
        <v>0</v>
      </c>
      <c r="E65" s="561">
        <v>0</v>
      </c>
      <c r="F65" s="561">
        <v>0</v>
      </c>
      <c r="G65" s="561">
        <v>-3</v>
      </c>
      <c r="H65" s="561">
        <v>-8</v>
      </c>
      <c r="I65" s="561">
        <v>-17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21"/>
        <v>-9</v>
      </c>
    </row>
    <row r="66" spans="1:20" outlineLevel="1" x14ac:dyDescent="0.35">
      <c r="A66" s="556" t="s">
        <v>1033</v>
      </c>
      <c r="C66" s="561">
        <v>0</v>
      </c>
      <c r="D66" s="561">
        <v>0</v>
      </c>
      <c r="E66" s="561">
        <v>0</v>
      </c>
      <c r="F66" s="561">
        <v>0</v>
      </c>
      <c r="G66" s="561">
        <v>0</v>
      </c>
      <c r="H66" s="561">
        <v>0</v>
      </c>
      <c r="I66" s="561">
        <v>2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21"/>
        <v>2</v>
      </c>
    </row>
    <row r="67" spans="1:20" x14ac:dyDescent="0.35">
      <c r="A67" s="555" t="s">
        <v>1034</v>
      </c>
      <c r="C67" s="563">
        <v>0</v>
      </c>
      <c r="D67" s="563">
        <v>0</v>
      </c>
      <c r="E67" s="563">
        <v>0</v>
      </c>
      <c r="F67" s="563">
        <v>0</v>
      </c>
      <c r="G67" s="563">
        <v>-6182</v>
      </c>
      <c r="H67" s="563">
        <v>-15808</v>
      </c>
      <c r="I67" s="563">
        <v>-31228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21"/>
        <v>-15420</v>
      </c>
    </row>
    <row r="68" spans="1:20" x14ac:dyDescent="0.35">
      <c r="A68" s="555" t="s">
        <v>1035</v>
      </c>
      <c r="C68" s="560">
        <f t="shared" ref="C68:H68" si="22">SUM(C69:C76)</f>
        <v>-2288</v>
      </c>
      <c r="D68" s="560">
        <f t="shared" si="22"/>
        <v>-2809</v>
      </c>
      <c r="E68" s="560">
        <f t="shared" si="22"/>
        <v>-13775</v>
      </c>
      <c r="F68" s="560">
        <f t="shared" si="22"/>
        <v>-23429</v>
      </c>
      <c r="G68" s="560">
        <f t="shared" si="22"/>
        <v>-11840</v>
      </c>
      <c r="H68" s="560">
        <f t="shared" si="22"/>
        <v>-24353</v>
      </c>
      <c r="I68" s="560">
        <f>SUM(I69:I76)</f>
        <v>-35953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-11600</v>
      </c>
    </row>
    <row r="69" spans="1:20" outlineLevel="1" x14ac:dyDescent="0.35">
      <c r="A69" s="556" t="s">
        <v>1036</v>
      </c>
      <c r="C69" s="561">
        <v>0</v>
      </c>
      <c r="D69" s="561">
        <v>-2046</v>
      </c>
      <c r="E69" s="561">
        <v>-4250</v>
      </c>
      <c r="F69" s="561">
        <v>-7756</v>
      </c>
      <c r="G69" s="561">
        <v>-4289</v>
      </c>
      <c r="H69" s="561">
        <v>-8114</v>
      </c>
      <c r="I69" s="561">
        <v>-11651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23">I69-H69</f>
        <v>-3537</v>
      </c>
    </row>
    <row r="70" spans="1:20" outlineLevel="1" x14ac:dyDescent="0.35">
      <c r="A70" s="556" t="s">
        <v>1037</v>
      </c>
      <c r="C70" s="561">
        <v>0</v>
      </c>
      <c r="D70" s="561">
        <v>-1</v>
      </c>
      <c r="E70" s="561">
        <v>-51</v>
      </c>
      <c r="F70" s="561">
        <v>-342</v>
      </c>
      <c r="G70" s="561">
        <v>-9</v>
      </c>
      <c r="H70" s="561">
        <v>-244</v>
      </c>
      <c r="I70" s="561">
        <v>-519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23"/>
        <v>-275</v>
      </c>
    </row>
    <row r="71" spans="1:20" outlineLevel="1" x14ac:dyDescent="0.35">
      <c r="A71" s="556" t="s">
        <v>1038</v>
      </c>
      <c r="C71" s="561">
        <v>0</v>
      </c>
      <c r="D71" s="561">
        <v>-598</v>
      </c>
      <c r="E71" s="561">
        <v>-2212</v>
      </c>
      <c r="F71" s="561">
        <v>-1991</v>
      </c>
      <c r="G71" s="561">
        <v>-629</v>
      </c>
      <c r="H71" s="561">
        <v>-2143</v>
      </c>
      <c r="I71" s="561">
        <v>-3014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23"/>
        <v>-871</v>
      </c>
    </row>
    <row r="72" spans="1:20" outlineLevel="1" x14ac:dyDescent="0.35">
      <c r="A72" s="556" t="s">
        <v>1039</v>
      </c>
      <c r="C72" s="561">
        <v>0</v>
      </c>
      <c r="D72" s="561">
        <v>0</v>
      </c>
      <c r="E72" s="561">
        <v>-48</v>
      </c>
      <c r="F72" s="561">
        <v>-670</v>
      </c>
      <c r="G72" s="561">
        <v>-254</v>
      </c>
      <c r="H72" s="561">
        <v>-192</v>
      </c>
      <c r="I72" s="561">
        <v>-248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23"/>
        <v>-56</v>
      </c>
    </row>
    <row r="73" spans="1:20" outlineLevel="1" x14ac:dyDescent="0.35">
      <c r="A73" s="556" t="s">
        <v>1040</v>
      </c>
      <c r="C73" s="561">
        <v>-2288</v>
      </c>
      <c r="D73" s="561">
        <v>-164</v>
      </c>
      <c r="E73" s="561">
        <v>837</v>
      </c>
      <c r="F73" s="561">
        <v>-65</v>
      </c>
      <c r="G73" s="561">
        <v>248</v>
      </c>
      <c r="H73" s="561">
        <v>270</v>
      </c>
      <c r="I73" s="561">
        <v>350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23"/>
        <v>80</v>
      </c>
    </row>
    <row r="74" spans="1:20" outlineLevel="1" x14ac:dyDescent="0.35">
      <c r="A74" s="556" t="s">
        <v>1041</v>
      </c>
      <c r="C74" s="561">
        <v>0</v>
      </c>
      <c r="D74" s="561">
        <v>0</v>
      </c>
      <c r="E74" s="561">
        <v>-12</v>
      </c>
      <c r="F74" s="561">
        <v>-32</v>
      </c>
      <c r="G74" s="561">
        <v>-101</v>
      </c>
      <c r="H74" s="561">
        <v>-220</v>
      </c>
      <c r="I74" s="561">
        <v>-258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23"/>
        <v>-38</v>
      </c>
    </row>
    <row r="75" spans="1:20" outlineLevel="1" x14ac:dyDescent="0.35">
      <c r="A75" s="556" t="s">
        <v>1042</v>
      </c>
      <c r="C75" s="561">
        <v>0</v>
      </c>
      <c r="D75" s="561">
        <v>0</v>
      </c>
      <c r="E75" s="561">
        <v>-2276</v>
      </c>
      <c r="F75" s="561">
        <v>-73</v>
      </c>
      <c r="G75" s="561">
        <v>-70</v>
      </c>
      <c r="H75" s="561">
        <v>-237</v>
      </c>
      <c r="I75" s="561">
        <v>-404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23"/>
        <v>-167</v>
      </c>
    </row>
    <row r="76" spans="1:20" outlineLevel="1" x14ac:dyDescent="0.35">
      <c r="A76" s="556" t="s">
        <v>1043</v>
      </c>
      <c r="C76" s="561">
        <v>0</v>
      </c>
      <c r="D76" s="561">
        <v>0</v>
      </c>
      <c r="E76" s="561">
        <v>-5763</v>
      </c>
      <c r="F76" s="561">
        <v>-12500</v>
      </c>
      <c r="G76" s="561">
        <v>-6736</v>
      </c>
      <c r="H76" s="561">
        <v>-13473</v>
      </c>
      <c r="I76" s="561">
        <v>-20209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23"/>
        <v>-6736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23"/>
        <v>0</v>
      </c>
    </row>
    <row r="78" spans="1:20" x14ac:dyDescent="0.35">
      <c r="A78" s="555" t="s">
        <v>1045</v>
      </c>
      <c r="C78" s="560">
        <f t="shared" ref="C78:H78" si="24">SUM(C79:C80)</f>
        <v>0</v>
      </c>
      <c r="D78" s="560">
        <f t="shared" si="24"/>
        <v>-15</v>
      </c>
      <c r="E78" s="560">
        <f t="shared" si="24"/>
        <v>-103</v>
      </c>
      <c r="F78" s="560">
        <f t="shared" si="24"/>
        <v>-352</v>
      </c>
      <c r="G78" s="560">
        <f t="shared" si="24"/>
        <v>-152</v>
      </c>
      <c r="H78" s="560">
        <f t="shared" si="24"/>
        <v>-459</v>
      </c>
      <c r="I78" s="560">
        <f>SUM(I79:I80)</f>
        <v>-775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-316</v>
      </c>
    </row>
    <row r="79" spans="1:20" outlineLevel="1" x14ac:dyDescent="0.35">
      <c r="A79" s="556" t="s">
        <v>1046</v>
      </c>
      <c r="C79" s="561">
        <v>0</v>
      </c>
      <c r="D79" s="561">
        <v>-15</v>
      </c>
      <c r="E79" s="561">
        <v>-103</v>
      </c>
      <c r="F79" s="561">
        <v>-352</v>
      </c>
      <c r="G79" s="561">
        <v>-152</v>
      </c>
      <c r="H79" s="561">
        <v>-459</v>
      </c>
      <c r="I79" s="561">
        <v>-775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5">I79-H79</f>
        <v>-316</v>
      </c>
    </row>
    <row r="80" spans="1:20" outlineLevel="1" x14ac:dyDescent="0.35">
      <c r="A80" s="556" t="s">
        <v>1047</v>
      </c>
      <c r="C80" s="561">
        <v>0</v>
      </c>
      <c r="D80" s="561">
        <v>0</v>
      </c>
      <c r="E80" s="561">
        <v>0</v>
      </c>
      <c r="F80" s="561">
        <v>0</v>
      </c>
      <c r="G80" s="561">
        <v>0</v>
      </c>
      <c r="H80" s="561">
        <v>0</v>
      </c>
      <c r="I80" s="561">
        <v>0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5"/>
        <v>0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6">C84-C75-C52-C76</f>
        <v>-3341</v>
      </c>
      <c r="D82" s="558">
        <f t="shared" si="26"/>
        <v>-3843</v>
      </c>
      <c r="E82" s="558">
        <f t="shared" si="26"/>
        <v>-7536</v>
      </c>
      <c r="F82" s="558">
        <f t="shared" si="26"/>
        <v>488</v>
      </c>
      <c r="G82" s="558">
        <f t="shared" si="26"/>
        <v>1454</v>
      </c>
      <c r="H82" s="558">
        <f t="shared" si="26"/>
        <v>-7433</v>
      </c>
      <c r="I82" s="558">
        <f>I84-I75-I52-I76</f>
        <v>-24066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-16633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7">C57+C59</f>
        <v>-3341</v>
      </c>
      <c r="D84" s="558">
        <f t="shared" si="27"/>
        <v>-3843</v>
      </c>
      <c r="E84" s="558">
        <f t="shared" si="27"/>
        <v>-13299</v>
      </c>
      <c r="F84" s="558">
        <f t="shared" si="27"/>
        <v>-12085</v>
      </c>
      <c r="G84" s="558">
        <f t="shared" si="27"/>
        <v>-5352</v>
      </c>
      <c r="H84" s="558">
        <f t="shared" si="27"/>
        <v>-21143</v>
      </c>
      <c r="I84" s="558">
        <f>I57+I59</f>
        <v>-44679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-23536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8">C88+C97</f>
        <v>-16150</v>
      </c>
      <c r="D86" s="558">
        <f t="shared" si="28"/>
        <v>-46643</v>
      </c>
      <c r="E86" s="558">
        <f t="shared" si="28"/>
        <v>-95235</v>
      </c>
      <c r="F86" s="558">
        <f t="shared" si="28"/>
        <v>-134070</v>
      </c>
      <c r="G86" s="558">
        <f t="shared" si="28"/>
        <v>-42104</v>
      </c>
      <c r="H86" s="558">
        <f t="shared" si="28"/>
        <v>-83259</v>
      </c>
      <c r="I86" s="558">
        <f>I88+I97</f>
        <v>-126442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-43183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9">SUM(C89:C96)</f>
        <v>1634</v>
      </c>
      <c r="D88" s="562">
        <f t="shared" si="29"/>
        <v>4384</v>
      </c>
      <c r="E88" s="562">
        <f t="shared" si="29"/>
        <v>8165</v>
      </c>
      <c r="F88" s="562">
        <f t="shared" si="29"/>
        <v>9825</v>
      </c>
      <c r="G88" s="562">
        <f t="shared" si="29"/>
        <v>982</v>
      </c>
      <c r="H88" s="562">
        <f t="shared" si="29"/>
        <v>1653</v>
      </c>
      <c r="I88" s="562">
        <f>SUM(I89:I96)</f>
        <v>3891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2238</v>
      </c>
    </row>
    <row r="89" spans="1:20" outlineLevel="1" x14ac:dyDescent="0.35">
      <c r="A89" s="556" t="s">
        <v>1049</v>
      </c>
      <c r="C89" s="561">
        <v>1705</v>
      </c>
      <c r="D89" s="561">
        <v>4647</v>
      </c>
      <c r="E89" s="561">
        <v>8563</v>
      </c>
      <c r="F89" s="561">
        <v>10304</v>
      </c>
      <c r="G89" s="561">
        <v>1030</v>
      </c>
      <c r="H89" s="561">
        <v>1733</v>
      </c>
      <c r="I89" s="561">
        <v>4080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30">I89-H89</f>
        <v>2347</v>
      </c>
    </row>
    <row r="90" spans="1:20" outlineLevel="1" x14ac:dyDescent="0.35">
      <c r="A90" s="556" t="s">
        <v>1050</v>
      </c>
      <c r="C90" s="561">
        <v>-71</v>
      </c>
      <c r="D90" s="561">
        <v>-263</v>
      </c>
      <c r="E90" s="561">
        <v>-398</v>
      </c>
      <c r="F90" s="561">
        <v>-479</v>
      </c>
      <c r="G90" s="561">
        <v>-48</v>
      </c>
      <c r="H90" s="561">
        <v>-80</v>
      </c>
      <c r="I90" s="561">
        <v>-189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30"/>
        <v>-109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30"/>
        <v>0</v>
      </c>
    </row>
    <row r="92" spans="1:20" outlineLevel="1" x14ac:dyDescent="0.35">
      <c r="A92" s="556" t="s">
        <v>1052</v>
      </c>
      <c r="C92" s="561">
        <v>0</v>
      </c>
      <c r="D92" s="561">
        <v>0</v>
      </c>
      <c r="E92" s="561">
        <v>0</v>
      </c>
      <c r="F92" s="561">
        <v>0</v>
      </c>
      <c r="G92" s="561">
        <v>0</v>
      </c>
      <c r="H92" s="561">
        <v>0</v>
      </c>
      <c r="I92" s="561">
        <v>0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30"/>
        <v>0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30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30"/>
        <v>0</v>
      </c>
    </row>
    <row r="95" spans="1:20" outlineLevel="1" x14ac:dyDescent="0.35">
      <c r="A95" s="556" t="s">
        <v>1055</v>
      </c>
      <c r="C95" s="561">
        <v>0</v>
      </c>
      <c r="D95" s="561">
        <v>0</v>
      </c>
      <c r="E95" s="561">
        <v>0</v>
      </c>
      <c r="F95" s="561">
        <v>0</v>
      </c>
      <c r="G95" s="561">
        <v>0</v>
      </c>
      <c r="H95" s="561">
        <v>0</v>
      </c>
      <c r="I95" s="561">
        <v>0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30"/>
        <v>0</v>
      </c>
    </row>
    <row r="96" spans="1:20" outlineLevel="1" x14ac:dyDescent="0.35">
      <c r="A96" s="556" t="s">
        <v>1056</v>
      </c>
      <c r="C96" s="561">
        <v>0</v>
      </c>
      <c r="D96" s="561">
        <v>0</v>
      </c>
      <c r="E96" s="561">
        <v>0</v>
      </c>
      <c r="F96" s="561">
        <v>0</v>
      </c>
      <c r="G96" s="561">
        <v>0</v>
      </c>
      <c r="H96" s="561">
        <v>0</v>
      </c>
      <c r="I96" s="561">
        <v>0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30"/>
        <v>0</v>
      </c>
    </row>
    <row r="97" spans="1:20" x14ac:dyDescent="0.35">
      <c r="A97" s="555" t="s">
        <v>279</v>
      </c>
      <c r="C97" s="560">
        <f t="shared" ref="C97:H97" si="31">SUM(C98:C106)</f>
        <v>-17784</v>
      </c>
      <c r="D97" s="560">
        <f t="shared" si="31"/>
        <v>-51027</v>
      </c>
      <c r="E97" s="560">
        <f t="shared" si="31"/>
        <v>-103400</v>
      </c>
      <c r="F97" s="560">
        <f t="shared" si="31"/>
        <v>-143895</v>
      </c>
      <c r="G97" s="560">
        <f t="shared" si="31"/>
        <v>-43086</v>
      </c>
      <c r="H97" s="560">
        <f t="shared" si="31"/>
        <v>-84912</v>
      </c>
      <c r="I97" s="560">
        <f>SUM(I98:I106)</f>
        <v>-130333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-45421</v>
      </c>
    </row>
    <row r="98" spans="1:20" outlineLevel="1" x14ac:dyDescent="0.35">
      <c r="A98" s="556" t="s">
        <v>1057</v>
      </c>
      <c r="C98" s="561">
        <v>-17483</v>
      </c>
      <c r="D98" s="561">
        <v>-50901</v>
      </c>
      <c r="E98" s="561">
        <v>-103131</v>
      </c>
      <c r="F98" s="561">
        <v>-143215</v>
      </c>
      <c r="G98" s="561">
        <v>-42433</v>
      </c>
      <c r="H98" s="561">
        <v>-84994</v>
      </c>
      <c r="I98" s="561">
        <v>-130510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32">I98-H98</f>
        <v>-45516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32"/>
        <v>0</v>
      </c>
    </row>
    <row r="100" spans="1:20" outlineLevel="1" x14ac:dyDescent="0.35">
      <c r="A100" s="556" t="s">
        <v>1059</v>
      </c>
      <c r="C100" s="561">
        <v>0</v>
      </c>
      <c r="D100" s="561">
        <v>0</v>
      </c>
      <c r="E100" s="561">
        <v>0</v>
      </c>
      <c r="F100" s="561">
        <v>0</v>
      </c>
      <c r="G100" s="561">
        <v>0</v>
      </c>
      <c r="H100" s="561">
        <v>922</v>
      </c>
      <c r="I100" s="561">
        <v>1121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32"/>
        <v>199</v>
      </c>
    </row>
    <row r="101" spans="1:20" outlineLevel="1" x14ac:dyDescent="0.35">
      <c r="A101" s="556" t="s">
        <v>1060</v>
      </c>
      <c r="C101" s="561">
        <v>0</v>
      </c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32"/>
        <v>0</v>
      </c>
    </row>
    <row r="102" spans="1:20" outlineLevel="1" x14ac:dyDescent="0.35">
      <c r="A102" s="556" t="s">
        <v>1061</v>
      </c>
      <c r="C102" s="561">
        <v>0</v>
      </c>
      <c r="D102" s="561">
        <v>0</v>
      </c>
      <c r="E102" s="561">
        <v>0</v>
      </c>
      <c r="F102" s="561">
        <v>0</v>
      </c>
      <c r="G102" s="561">
        <v>0</v>
      </c>
      <c r="H102" s="561">
        <v>0</v>
      </c>
      <c r="I102" s="561">
        <v>0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32"/>
        <v>0</v>
      </c>
    </row>
    <row r="103" spans="1:20" outlineLevel="1" x14ac:dyDescent="0.35">
      <c r="A103" s="556" t="s">
        <v>1062</v>
      </c>
      <c r="C103" s="561">
        <v>0</v>
      </c>
      <c r="D103" s="561">
        <v>-20</v>
      </c>
      <c r="E103" s="561">
        <v>-24</v>
      </c>
      <c r="F103" s="561">
        <v>-31</v>
      </c>
      <c r="G103" s="561">
        <v>-3</v>
      </c>
      <c r="H103" s="561">
        <v>-6</v>
      </c>
      <c r="I103" s="561">
        <v>-7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32"/>
        <v>-1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32"/>
        <v>0</v>
      </c>
    </row>
    <row r="105" spans="1:20" outlineLevel="1" x14ac:dyDescent="0.35">
      <c r="A105" s="556" t="s">
        <v>1064</v>
      </c>
      <c r="C105" s="561">
        <v>0</v>
      </c>
      <c r="D105" s="561">
        <v>0</v>
      </c>
      <c r="E105" s="561">
        <v>0</v>
      </c>
      <c r="F105" s="561">
        <v>0</v>
      </c>
      <c r="G105" s="561">
        <v>0</v>
      </c>
      <c r="H105" s="561">
        <v>0</v>
      </c>
      <c r="I105" s="561">
        <v>0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32"/>
        <v>0</v>
      </c>
    </row>
    <row r="106" spans="1:20" outlineLevel="1" x14ac:dyDescent="0.35">
      <c r="A106" s="556" t="s">
        <v>1065</v>
      </c>
      <c r="C106" s="561">
        <v>-301</v>
      </c>
      <c r="D106" s="561">
        <v>-106</v>
      </c>
      <c r="E106" s="561">
        <v>-245</v>
      </c>
      <c r="F106" s="561">
        <v>-649</v>
      </c>
      <c r="G106" s="561">
        <v>-650</v>
      </c>
      <c r="H106" s="561">
        <v>-834</v>
      </c>
      <c r="I106" s="561">
        <v>-937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32"/>
        <v>-103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33">C84+C86</f>
        <v>-19491</v>
      </c>
      <c r="D108" s="558">
        <f t="shared" si="33"/>
        <v>-50486</v>
      </c>
      <c r="E108" s="558">
        <f t="shared" si="33"/>
        <v>-108534</v>
      </c>
      <c r="F108" s="558">
        <f t="shared" si="33"/>
        <v>-146155</v>
      </c>
      <c r="G108" s="558">
        <f t="shared" si="33"/>
        <v>-47456</v>
      </c>
      <c r="H108" s="558">
        <f t="shared" si="33"/>
        <v>-104402</v>
      </c>
      <c r="I108" s="558">
        <f>I84+I86</f>
        <v>-171121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-66719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H110" si="34">SUM(C112:C115)</f>
        <v>0</v>
      </c>
      <c r="D110" s="562">
        <f t="shared" si="34"/>
        <v>0</v>
      </c>
      <c r="E110" s="562">
        <f t="shared" si="34"/>
        <v>0</v>
      </c>
      <c r="F110" s="562">
        <f t="shared" si="34"/>
        <v>0</v>
      </c>
      <c r="G110" s="562">
        <f t="shared" si="34"/>
        <v>0</v>
      </c>
      <c r="H110" s="562">
        <f t="shared" si="34"/>
        <v>0</v>
      </c>
      <c r="I110" s="562">
        <f>SUM(I112:I115)</f>
        <v>0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0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0</v>
      </c>
      <c r="D112" s="563">
        <v>0</v>
      </c>
      <c r="E112" s="563">
        <v>0</v>
      </c>
      <c r="F112" s="563">
        <v>0</v>
      </c>
      <c r="G112" s="563">
        <v>0</v>
      </c>
      <c r="H112" s="563">
        <v>0</v>
      </c>
      <c r="I112" s="563">
        <v>0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5">I112-H112</f>
        <v>0</v>
      </c>
    </row>
    <row r="113" spans="1:20" x14ac:dyDescent="0.35">
      <c r="A113" s="555" t="s">
        <v>282</v>
      </c>
      <c r="C113" s="563">
        <v>0</v>
      </c>
      <c r="D113" s="563">
        <v>0</v>
      </c>
      <c r="E113" s="563">
        <v>0</v>
      </c>
      <c r="F113" s="563">
        <v>0</v>
      </c>
      <c r="G113" s="563">
        <v>0</v>
      </c>
      <c r="H113" s="563">
        <v>0</v>
      </c>
      <c r="I113" s="563">
        <v>0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5"/>
        <v>0</v>
      </c>
    </row>
    <row r="114" spans="1:20" x14ac:dyDescent="0.35">
      <c r="A114" s="555" t="s">
        <v>284</v>
      </c>
      <c r="C114" s="563">
        <v>0</v>
      </c>
      <c r="D114" s="563">
        <v>0</v>
      </c>
      <c r="E114" s="563">
        <v>0</v>
      </c>
      <c r="F114" s="563">
        <v>0</v>
      </c>
      <c r="G114" s="563">
        <v>0</v>
      </c>
      <c r="H114" s="563">
        <v>0</v>
      </c>
      <c r="I114" s="563">
        <v>0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5"/>
        <v>0</v>
      </c>
    </row>
    <row r="115" spans="1:20" x14ac:dyDescent="0.35">
      <c r="A115" s="555" t="s">
        <v>1068</v>
      </c>
      <c r="C115" s="563">
        <v>0</v>
      </c>
      <c r="D115" s="563">
        <v>0</v>
      </c>
      <c r="E115" s="563">
        <v>0</v>
      </c>
      <c r="F115" s="563">
        <v>0</v>
      </c>
      <c r="G115" s="563">
        <v>0</v>
      </c>
      <c r="H115" s="563">
        <v>0</v>
      </c>
      <c r="I115" s="563">
        <v>0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5"/>
        <v>0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H117" si="36">C108+C110</f>
        <v>-19491</v>
      </c>
      <c r="D117" s="564">
        <f t="shared" si="36"/>
        <v>-50486</v>
      </c>
      <c r="E117" s="564">
        <f t="shared" si="36"/>
        <v>-108534</v>
      </c>
      <c r="F117" s="564">
        <f t="shared" si="36"/>
        <v>-146155</v>
      </c>
      <c r="G117" s="564">
        <f t="shared" si="36"/>
        <v>-47456</v>
      </c>
      <c r="H117" s="564">
        <f t="shared" si="36"/>
        <v>-104402</v>
      </c>
      <c r="I117" s="564">
        <f>I108+I110</f>
        <v>-171121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-66719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H120" si="37">C117-C121</f>
        <v>-15592.8</v>
      </c>
      <c r="D120" s="563">
        <f t="shared" si="37"/>
        <v>-40388.800000000003</v>
      </c>
      <c r="E120" s="563">
        <f t="shared" si="37"/>
        <v>-86827.199999999997</v>
      </c>
      <c r="F120" s="563">
        <f t="shared" si="37"/>
        <v>-116924</v>
      </c>
      <c r="G120" s="563">
        <f t="shared" si="37"/>
        <v>-37964.800000000003</v>
      </c>
      <c r="H120" s="563">
        <f t="shared" si="37"/>
        <v>-83521.600000000006</v>
      </c>
      <c r="I120" s="563">
        <f>I117-I121</f>
        <v>-136896.79999999999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8">I120-H120</f>
        <v>-53375.199999999983</v>
      </c>
    </row>
    <row r="121" spans="1:20" x14ac:dyDescent="0.35">
      <c r="A121" s="555" t="s">
        <v>1072</v>
      </c>
      <c r="C121" s="563">
        <f t="shared" ref="C121:H121" si="39">C117*C126</f>
        <v>-3898.2000000000003</v>
      </c>
      <c r="D121" s="563">
        <f t="shared" si="39"/>
        <v>-10097.200000000001</v>
      </c>
      <c r="E121" s="563">
        <f t="shared" si="39"/>
        <v>-21706.800000000003</v>
      </c>
      <c r="F121" s="563">
        <f t="shared" si="39"/>
        <v>-29231</v>
      </c>
      <c r="G121" s="563">
        <f t="shared" si="39"/>
        <v>-9491.2000000000007</v>
      </c>
      <c r="H121" s="563">
        <f t="shared" si="39"/>
        <v>-20880.400000000001</v>
      </c>
      <c r="I121" s="563">
        <f>I117*I126</f>
        <v>-34224.200000000004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8"/>
        <v>-13343.800000000003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H123" si="40">SUM(C120:C121)</f>
        <v>-19491</v>
      </c>
      <c r="D123" s="564">
        <f t="shared" si="40"/>
        <v>-50486</v>
      </c>
      <c r="E123" s="564">
        <f t="shared" si="40"/>
        <v>-108534</v>
      </c>
      <c r="F123" s="564">
        <f t="shared" si="40"/>
        <v>-146155</v>
      </c>
      <c r="G123" s="564">
        <f t="shared" si="40"/>
        <v>-47456</v>
      </c>
      <c r="H123" s="564">
        <f t="shared" si="40"/>
        <v>-104402</v>
      </c>
      <c r="I123" s="564">
        <f>SUM(I120:I121)</f>
        <v>-171121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-66718.999999999985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>
        <v>0.8</v>
      </c>
      <c r="D125" s="571">
        <v>0.8</v>
      </c>
      <c r="E125" s="571">
        <v>0.8</v>
      </c>
      <c r="F125" s="571">
        <v>0.8</v>
      </c>
      <c r="G125" s="571">
        <v>0.8</v>
      </c>
      <c r="H125" s="571">
        <v>0.8</v>
      </c>
      <c r="I125" s="571">
        <v>0.8</v>
      </c>
      <c r="T125" s="571">
        <f>I125</f>
        <v>0.8</v>
      </c>
    </row>
    <row r="126" spans="1:20" s="570" customFormat="1" ht="10.5" x14ac:dyDescent="0.25">
      <c r="A126" s="569" t="s">
        <v>1087</v>
      </c>
      <c r="C126" s="571">
        <v>0.2</v>
      </c>
      <c r="D126" s="571">
        <v>0.2</v>
      </c>
      <c r="E126" s="571">
        <v>0.2</v>
      </c>
      <c r="F126" s="571">
        <v>0.2</v>
      </c>
      <c r="G126" s="571">
        <v>0.2</v>
      </c>
      <c r="H126" s="571">
        <v>0.2</v>
      </c>
      <c r="I126" s="571">
        <v>0.2</v>
      </c>
      <c r="T126" s="571">
        <f>I126</f>
        <v>0.2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792DA-CBF1-4BF0-BABD-1C658E5804D7}">
  <sheetPr>
    <tabColor theme="9" tint="0.79998168889431442"/>
  </sheetPr>
  <dimension ref="A4:T126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1099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H6" si="0">SUM(C8,C11:C17)</f>
        <v>77170</v>
      </c>
      <c r="D6" s="558">
        <f t="shared" si="0"/>
        <v>184571</v>
      </c>
      <c r="E6" s="558">
        <f t="shared" si="0"/>
        <v>307314</v>
      </c>
      <c r="F6" s="558">
        <f t="shared" si="0"/>
        <v>435255</v>
      </c>
      <c r="G6" s="558">
        <f t="shared" si="0"/>
        <v>212054</v>
      </c>
      <c r="H6" s="558">
        <f t="shared" si="0"/>
        <v>361239</v>
      </c>
      <c r="I6" s="558">
        <f t="shared" ref="I6:N6" si="1">SUM(I8,I11:I17)</f>
        <v>538827</v>
      </c>
      <c r="J6" s="558">
        <f t="shared" si="1"/>
        <v>0</v>
      </c>
      <c r="K6" s="558">
        <f t="shared" si="1"/>
        <v>0</v>
      </c>
      <c r="L6" s="558">
        <f t="shared" si="1"/>
        <v>0</v>
      </c>
      <c r="M6" s="558">
        <f t="shared" si="1"/>
        <v>0</v>
      </c>
      <c r="N6" s="558">
        <f t="shared" si="1"/>
        <v>0</v>
      </c>
      <c r="O6" s="558">
        <f>SUM(O8,O11:O17)</f>
        <v>0</v>
      </c>
      <c r="P6" s="558"/>
      <c r="Q6" s="558"/>
      <c r="R6" s="558"/>
      <c r="T6" s="558">
        <f t="shared" ref="T6" si="2">SUM(T8,T11:T17)</f>
        <v>177588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3">SUM(C9:C10)</f>
        <v>38604</v>
      </c>
      <c r="D8" s="560">
        <f t="shared" si="3"/>
        <v>101441</v>
      </c>
      <c r="E8" s="560">
        <f t="shared" si="3"/>
        <v>195169</v>
      </c>
      <c r="F8" s="560">
        <f t="shared" si="3"/>
        <v>302368</v>
      </c>
      <c r="G8" s="560">
        <f t="shared" si="3"/>
        <v>69646</v>
      </c>
      <c r="H8" s="560">
        <f t="shared" si="3"/>
        <v>133179</v>
      </c>
      <c r="I8" s="560">
        <f>SUM(I9:I10)</f>
        <v>200340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67161</v>
      </c>
    </row>
    <row r="9" spans="1:20" outlineLevel="1" x14ac:dyDescent="0.35">
      <c r="A9" s="556" t="s">
        <v>996</v>
      </c>
      <c r="C9" s="561">
        <v>38604</v>
      </c>
      <c r="D9" s="561">
        <v>101441</v>
      </c>
      <c r="E9" s="561">
        <v>195169</v>
      </c>
      <c r="F9" s="561">
        <v>302368</v>
      </c>
      <c r="G9" s="561">
        <v>69646</v>
      </c>
      <c r="H9" s="561">
        <v>133179</v>
      </c>
      <c r="I9" s="561">
        <v>200340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67161</v>
      </c>
    </row>
    <row r="10" spans="1:20" outlineLevel="1" x14ac:dyDescent="0.35">
      <c r="A10" s="556" t="s">
        <v>997</v>
      </c>
      <c r="C10" s="561">
        <v>0</v>
      </c>
      <c r="D10" s="561">
        <v>0</v>
      </c>
      <c r="E10" s="561">
        <v>0</v>
      </c>
      <c r="F10" s="561">
        <v>0</v>
      </c>
      <c r="G10" s="561">
        <v>0</v>
      </c>
      <c r="H10" s="561">
        <v>0</v>
      </c>
      <c r="I10" s="561">
        <v>0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4">I10-H10</f>
        <v>0</v>
      </c>
    </row>
    <row r="11" spans="1:20" x14ac:dyDescent="0.35">
      <c r="A11" s="555" t="s">
        <v>248</v>
      </c>
      <c r="C11" s="560">
        <v>0</v>
      </c>
      <c r="D11" s="560">
        <v>0</v>
      </c>
      <c r="E11" s="560">
        <v>0</v>
      </c>
      <c r="F11" s="560">
        <v>0</v>
      </c>
      <c r="G11" s="560">
        <v>0</v>
      </c>
      <c r="H11" s="560">
        <v>0</v>
      </c>
      <c r="I11" s="560">
        <v>0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4"/>
        <v>0</v>
      </c>
    </row>
    <row r="12" spans="1:20" x14ac:dyDescent="0.35">
      <c r="A12" s="555" t="s">
        <v>252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4"/>
        <v>0</v>
      </c>
    </row>
    <row r="13" spans="1:20" x14ac:dyDescent="0.35">
      <c r="A13" s="555" t="s">
        <v>249</v>
      </c>
      <c r="C13" s="560">
        <v>0</v>
      </c>
      <c r="D13" s="560">
        <v>0</v>
      </c>
      <c r="E13" s="560">
        <v>0</v>
      </c>
      <c r="F13" s="560">
        <v>0</v>
      </c>
      <c r="G13" s="560">
        <v>0</v>
      </c>
      <c r="H13" s="560">
        <v>0</v>
      </c>
      <c r="I13" s="560">
        <v>0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4"/>
        <v>0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4"/>
        <v>0</v>
      </c>
    </row>
    <row r="15" spans="1:20" x14ac:dyDescent="0.35">
      <c r="A15" s="555" t="s">
        <v>998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4"/>
        <v>0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4"/>
        <v>0</v>
      </c>
    </row>
    <row r="17" spans="1:20" x14ac:dyDescent="0.35">
      <c r="A17" s="555" t="s">
        <v>254</v>
      </c>
      <c r="C17" s="560">
        <f t="shared" ref="C17:H17" si="5">SUM(C18:C25)</f>
        <v>38566</v>
      </c>
      <c r="D17" s="560">
        <f t="shared" si="5"/>
        <v>83130</v>
      </c>
      <c r="E17" s="560">
        <f t="shared" si="5"/>
        <v>112145</v>
      </c>
      <c r="F17" s="560">
        <f t="shared" si="5"/>
        <v>132887</v>
      </c>
      <c r="G17" s="560">
        <f t="shared" si="5"/>
        <v>142408</v>
      </c>
      <c r="H17" s="560">
        <f t="shared" si="5"/>
        <v>228060</v>
      </c>
      <c r="I17" s="560">
        <f>SUM(I18:I25)</f>
        <v>338487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110427</v>
      </c>
    </row>
    <row r="18" spans="1:20" outlineLevel="1" x14ac:dyDescent="0.35">
      <c r="A18" s="556" t="s">
        <v>999</v>
      </c>
      <c r="C18" s="561">
        <v>0</v>
      </c>
      <c r="D18" s="561">
        <v>0</v>
      </c>
      <c r="E18" s="561">
        <v>0</v>
      </c>
      <c r="F18" s="561">
        <v>0</v>
      </c>
      <c r="G18" s="561">
        <v>0</v>
      </c>
      <c r="H18" s="561">
        <v>0</v>
      </c>
      <c r="I18" s="561">
        <v>0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6">I18-H18</f>
        <v>0</v>
      </c>
    </row>
    <row r="19" spans="1:20" outlineLevel="1" x14ac:dyDescent="0.35">
      <c r="A19" s="556" t="s">
        <v>1000</v>
      </c>
      <c r="C19" s="561">
        <v>0</v>
      </c>
      <c r="D19" s="561">
        <v>0</v>
      </c>
      <c r="E19" s="561">
        <v>0</v>
      </c>
      <c r="F19" s="561">
        <v>0</v>
      </c>
      <c r="G19" s="561">
        <v>0</v>
      </c>
      <c r="H19" s="561">
        <v>0</v>
      </c>
      <c r="I19" s="561">
        <v>0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6"/>
        <v>0</v>
      </c>
    </row>
    <row r="20" spans="1:20" outlineLevel="1" x14ac:dyDescent="0.35">
      <c r="A20" s="556" t="s">
        <v>1001</v>
      </c>
      <c r="C20" s="561">
        <v>0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6"/>
        <v>0</v>
      </c>
    </row>
    <row r="21" spans="1:20" outlineLevel="1" x14ac:dyDescent="0.35">
      <c r="A21" s="556" t="s">
        <v>1002</v>
      </c>
      <c r="C21" s="561">
        <v>0</v>
      </c>
      <c r="D21" s="561">
        <v>0</v>
      </c>
      <c r="E21" s="561">
        <v>0</v>
      </c>
      <c r="F21" s="561">
        <v>0</v>
      </c>
      <c r="G21" s="561">
        <v>0</v>
      </c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6"/>
        <v>0</v>
      </c>
    </row>
    <row r="22" spans="1:20" outlineLevel="1" x14ac:dyDescent="0.35">
      <c r="A22" s="556" t="s">
        <v>1003</v>
      </c>
      <c r="C22" s="561">
        <v>0</v>
      </c>
      <c r="D22" s="561">
        <v>0</v>
      </c>
      <c r="E22" s="561">
        <v>0</v>
      </c>
      <c r="F22" s="561">
        <v>0</v>
      </c>
      <c r="G22" s="561">
        <v>0</v>
      </c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6"/>
        <v>0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6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-11403</v>
      </c>
      <c r="F24" s="561">
        <v>-48704</v>
      </c>
      <c r="G24" s="561">
        <v>84126</v>
      </c>
      <c r="H24" s="561">
        <v>115969</v>
      </c>
      <c r="I24" s="561">
        <v>143180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6"/>
        <v>27211</v>
      </c>
    </row>
    <row r="25" spans="1:20" outlineLevel="1" x14ac:dyDescent="0.35">
      <c r="A25" s="556" t="s">
        <v>254</v>
      </c>
      <c r="C25" s="561">
        <v>38566</v>
      </c>
      <c r="D25" s="561">
        <v>83130</v>
      </c>
      <c r="E25" s="561">
        <v>123548</v>
      </c>
      <c r="F25" s="561">
        <v>181591</v>
      </c>
      <c r="G25" s="561">
        <v>58282</v>
      </c>
      <c r="H25" s="561">
        <v>112091</v>
      </c>
      <c r="I25" s="561">
        <v>195307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6"/>
        <v>83216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7">SUM(C29:C37)</f>
        <v>-9023</v>
      </c>
      <c r="D27" s="558">
        <f t="shared" si="7"/>
        <v>-20905</v>
      </c>
      <c r="E27" s="558">
        <f t="shared" si="7"/>
        <v>-33963</v>
      </c>
      <c r="F27" s="558">
        <f t="shared" si="7"/>
        <v>-66769</v>
      </c>
      <c r="G27" s="558">
        <f t="shared" si="7"/>
        <v>-29162</v>
      </c>
      <c r="H27" s="558">
        <f t="shared" si="7"/>
        <v>-42872</v>
      </c>
      <c r="I27" s="558">
        <f>SUM(I29:I37)</f>
        <v>-66496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-23624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-1042</v>
      </c>
      <c r="D29" s="561">
        <v>-2171</v>
      </c>
      <c r="E29" s="561">
        <v>-3007</v>
      </c>
      <c r="F29" s="561">
        <v>-14829</v>
      </c>
      <c r="G29" s="561">
        <v>-8635</v>
      </c>
      <c r="H29" s="561">
        <v>-15294</v>
      </c>
      <c r="I29" s="561">
        <v>-20164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8">I29-H29</f>
        <v>-4870</v>
      </c>
    </row>
    <row r="30" spans="1:20" outlineLevel="1" x14ac:dyDescent="0.35">
      <c r="A30" s="556" t="s">
        <v>1007</v>
      </c>
      <c r="C30" s="561">
        <v>-6033</v>
      </c>
      <c r="D30" s="561">
        <v>-14453</v>
      </c>
      <c r="E30" s="561">
        <v>-25831</v>
      </c>
      <c r="F30" s="561">
        <v>-38718</v>
      </c>
      <c r="G30" s="561">
        <v>-9716</v>
      </c>
      <c r="H30" s="561">
        <v>-18994</v>
      </c>
      <c r="I30" s="561">
        <v>-30830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8"/>
        <v>-11836</v>
      </c>
    </row>
    <row r="31" spans="1:20" outlineLevel="1" x14ac:dyDescent="0.35">
      <c r="A31" s="556" t="s">
        <v>1008</v>
      </c>
      <c r="C31" s="561">
        <v>0</v>
      </c>
      <c r="D31" s="561">
        <v>0</v>
      </c>
      <c r="E31" s="561">
        <v>0</v>
      </c>
      <c r="F31" s="561">
        <v>-3958</v>
      </c>
      <c r="G31" s="561">
        <v>-7782</v>
      </c>
      <c r="H31" s="561">
        <v>-2265</v>
      </c>
      <c r="I31" s="561">
        <v>-4782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8"/>
        <v>-2517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8"/>
        <v>0</v>
      </c>
    </row>
    <row r="33" spans="1:20" outlineLevel="1" x14ac:dyDescent="0.35">
      <c r="A33" s="556" t="s">
        <v>1010</v>
      </c>
      <c r="C33" s="561">
        <v>0</v>
      </c>
      <c r="D33" s="561">
        <v>0</v>
      </c>
      <c r="E33" s="561">
        <v>0</v>
      </c>
      <c r="F33" s="561">
        <v>0</v>
      </c>
      <c r="G33" s="561">
        <v>0</v>
      </c>
      <c r="H33" s="561">
        <v>0</v>
      </c>
      <c r="I33" s="561">
        <v>0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8"/>
        <v>0</v>
      </c>
    </row>
    <row r="34" spans="1:20" outlineLevel="1" x14ac:dyDescent="0.35">
      <c r="A34" s="556" t="s">
        <v>1011</v>
      </c>
      <c r="C34" s="561">
        <v>0</v>
      </c>
      <c r="D34" s="561">
        <v>0</v>
      </c>
      <c r="E34" s="561">
        <v>0</v>
      </c>
      <c r="F34" s="561">
        <v>0</v>
      </c>
      <c r="G34" s="561">
        <v>0</v>
      </c>
      <c r="H34" s="561">
        <v>0</v>
      </c>
      <c r="I34" s="561">
        <v>0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8"/>
        <v>0</v>
      </c>
    </row>
    <row r="35" spans="1:20" outlineLevel="1" x14ac:dyDescent="0.35">
      <c r="A35" s="556" t="s">
        <v>1012</v>
      </c>
      <c r="C35" s="561">
        <v>0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8"/>
        <v>0</v>
      </c>
    </row>
    <row r="36" spans="1:20" outlineLevel="1" x14ac:dyDescent="0.35">
      <c r="A36" s="556" t="s">
        <v>1013</v>
      </c>
      <c r="C36" s="561">
        <v>-950</v>
      </c>
      <c r="D36" s="561">
        <v>-2001</v>
      </c>
      <c r="E36" s="561">
        <v>-2944</v>
      </c>
      <c r="F36" s="561">
        <v>-4428</v>
      </c>
      <c r="G36" s="561">
        <v>-1374</v>
      </c>
      <c r="H36" s="561">
        <v>-2830</v>
      </c>
      <c r="I36" s="561">
        <v>-4691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8"/>
        <v>-1861</v>
      </c>
    </row>
    <row r="37" spans="1:20" outlineLevel="1" x14ac:dyDescent="0.35">
      <c r="A37" s="556" t="s">
        <v>270</v>
      </c>
      <c r="C37" s="561">
        <v>-998</v>
      </c>
      <c r="D37" s="561">
        <v>-2280</v>
      </c>
      <c r="E37" s="561">
        <v>-2181</v>
      </c>
      <c r="F37" s="561">
        <v>-4836</v>
      </c>
      <c r="G37" s="561">
        <v>-1655</v>
      </c>
      <c r="H37" s="561">
        <v>-3489</v>
      </c>
      <c r="I37" s="561">
        <v>-6029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8"/>
        <v>-2540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9">C27+C6</f>
        <v>68147</v>
      </c>
      <c r="D39" s="558">
        <f t="shared" si="9"/>
        <v>163666</v>
      </c>
      <c r="E39" s="558">
        <f t="shared" si="9"/>
        <v>273351</v>
      </c>
      <c r="F39" s="558">
        <f t="shared" si="9"/>
        <v>368486</v>
      </c>
      <c r="G39" s="558">
        <f t="shared" si="9"/>
        <v>182892</v>
      </c>
      <c r="H39" s="558">
        <f t="shared" si="9"/>
        <v>318367</v>
      </c>
      <c r="I39" s="558">
        <f>I27+I6</f>
        <v>472331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153964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10">SUM(C43:C48)</f>
        <v>-51408</v>
      </c>
      <c r="D41" s="562">
        <f t="shared" si="10"/>
        <v>-118012</v>
      </c>
      <c r="E41" s="562">
        <f t="shared" si="10"/>
        <v>-215765</v>
      </c>
      <c r="F41" s="562">
        <f t="shared" si="10"/>
        <v>-317102</v>
      </c>
      <c r="G41" s="562">
        <f t="shared" si="10"/>
        <v>-73162</v>
      </c>
      <c r="H41" s="562">
        <f t="shared" si="10"/>
        <v>-145147</v>
      </c>
      <c r="I41" s="562">
        <f>SUM(I43:I48)</f>
        <v>-229204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-84057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-34223</v>
      </c>
      <c r="D43" s="560">
        <v>-89548</v>
      </c>
      <c r="E43" s="560">
        <v>-173472</v>
      </c>
      <c r="F43" s="560">
        <v>-245410</v>
      </c>
      <c r="G43" s="560">
        <v>-50218</v>
      </c>
      <c r="H43" s="560">
        <v>-96067</v>
      </c>
      <c r="I43" s="560">
        <v>-148406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1">I43-H43</f>
        <v>-52339</v>
      </c>
    </row>
    <row r="44" spans="1:20" x14ac:dyDescent="0.35">
      <c r="A44" s="555" t="s">
        <v>1016</v>
      </c>
      <c r="C44" s="560">
        <v>0</v>
      </c>
      <c r="D44" s="560">
        <v>0</v>
      </c>
      <c r="E44" s="560">
        <v>0</v>
      </c>
      <c r="F44" s="560">
        <v>0</v>
      </c>
      <c r="G44" s="560">
        <v>0</v>
      </c>
      <c r="H44" s="560">
        <v>0</v>
      </c>
      <c r="I44" s="560">
        <v>0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1"/>
        <v>0</v>
      </c>
    </row>
    <row r="45" spans="1:20" x14ac:dyDescent="0.35">
      <c r="A45" s="555" t="s">
        <v>312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1"/>
        <v>0</v>
      </c>
    </row>
    <row r="46" spans="1:20" x14ac:dyDescent="0.35">
      <c r="A46" s="555" t="s">
        <v>1017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1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1"/>
        <v>0</v>
      </c>
    </row>
    <row r="48" spans="1:20" x14ac:dyDescent="0.35">
      <c r="A48" s="555" t="s">
        <v>1018</v>
      </c>
      <c r="C48" s="560">
        <f t="shared" ref="C48:H48" si="12">SUM(C49:C55)</f>
        <v>-17185</v>
      </c>
      <c r="D48" s="560">
        <f t="shared" si="12"/>
        <v>-28464</v>
      </c>
      <c r="E48" s="560">
        <f t="shared" si="12"/>
        <v>-42293</v>
      </c>
      <c r="F48" s="560">
        <f t="shared" si="12"/>
        <v>-71692</v>
      </c>
      <c r="G48" s="560">
        <f t="shared" si="12"/>
        <v>-22944</v>
      </c>
      <c r="H48" s="560">
        <f t="shared" si="12"/>
        <v>-49080</v>
      </c>
      <c r="I48" s="560">
        <f>SUM(I49:I55)</f>
        <v>-80798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-31718</v>
      </c>
    </row>
    <row r="49" spans="1:20" outlineLevel="1" x14ac:dyDescent="0.35">
      <c r="A49" s="556" t="s">
        <v>1019</v>
      </c>
      <c r="C49" s="561">
        <v>-8839</v>
      </c>
      <c r="D49" s="561">
        <v>-18212</v>
      </c>
      <c r="E49" s="561">
        <v>-30022</v>
      </c>
      <c r="F49" s="561">
        <v>-40668</v>
      </c>
      <c r="G49" s="561">
        <v>-14692</v>
      </c>
      <c r="H49" s="561">
        <v>-28740</v>
      </c>
      <c r="I49" s="561">
        <v>-43806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3">I49-H49</f>
        <v>-15066</v>
      </c>
    </row>
    <row r="50" spans="1:20" outlineLevel="1" x14ac:dyDescent="0.35">
      <c r="A50" s="556" t="s">
        <v>1020</v>
      </c>
      <c r="C50" s="561">
        <v>-5957</v>
      </c>
      <c r="D50" s="561">
        <v>-6281</v>
      </c>
      <c r="E50" s="561">
        <v>-6482</v>
      </c>
      <c r="F50" s="561">
        <v>-22839</v>
      </c>
      <c r="G50" s="561">
        <v>-2209</v>
      </c>
      <c r="H50" s="561">
        <v>-9940</v>
      </c>
      <c r="I50" s="561">
        <v>-12087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3"/>
        <v>-2147</v>
      </c>
    </row>
    <row r="51" spans="1:20" outlineLevel="1" x14ac:dyDescent="0.35">
      <c r="A51" s="556" t="s">
        <v>1021</v>
      </c>
      <c r="C51" s="561">
        <v>-351</v>
      </c>
      <c r="D51" s="561">
        <v>-325</v>
      </c>
      <c r="E51" s="561">
        <v>-701</v>
      </c>
      <c r="F51" s="561">
        <v>-789</v>
      </c>
      <c r="G51" s="561">
        <v>-266</v>
      </c>
      <c r="H51" s="561">
        <v>-1338</v>
      </c>
      <c r="I51" s="561">
        <v>-3208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3"/>
        <v>-1870</v>
      </c>
    </row>
    <row r="52" spans="1:20" outlineLevel="1" x14ac:dyDescent="0.35">
      <c r="A52" s="556" t="s">
        <v>1022</v>
      </c>
      <c r="C52" s="561">
        <v>0</v>
      </c>
      <c r="D52" s="561">
        <v>-2</v>
      </c>
      <c r="E52" s="561">
        <v>-405</v>
      </c>
      <c r="F52" s="561">
        <v>-575</v>
      </c>
      <c r="G52" s="561">
        <v>-253</v>
      </c>
      <c r="H52" s="561">
        <v>-558</v>
      </c>
      <c r="I52" s="561">
        <v>-947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3"/>
        <v>-389</v>
      </c>
    </row>
    <row r="53" spans="1:20" outlineLevel="1" x14ac:dyDescent="0.35">
      <c r="A53" s="556" t="s">
        <v>1023</v>
      </c>
      <c r="C53" s="561">
        <v>0</v>
      </c>
      <c r="D53" s="561">
        <v>0</v>
      </c>
      <c r="E53" s="561">
        <v>0</v>
      </c>
      <c r="F53" s="561">
        <v>0</v>
      </c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3"/>
        <v>0</v>
      </c>
    </row>
    <row r="54" spans="1:20" outlineLevel="1" x14ac:dyDescent="0.35">
      <c r="A54" s="556" t="s">
        <v>1024</v>
      </c>
      <c r="C54" s="561">
        <v>-80</v>
      </c>
      <c r="D54" s="561">
        <v>-135</v>
      </c>
      <c r="E54" s="561">
        <v>-190</v>
      </c>
      <c r="F54" s="561">
        <v>-340</v>
      </c>
      <c r="G54" s="561">
        <v>-92</v>
      </c>
      <c r="H54" s="561">
        <v>-197</v>
      </c>
      <c r="I54" s="561">
        <v>-496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3"/>
        <v>-299</v>
      </c>
    </row>
    <row r="55" spans="1:20" outlineLevel="1" x14ac:dyDescent="0.35">
      <c r="A55" s="556" t="s">
        <v>1025</v>
      </c>
      <c r="C55" s="561">
        <v>-1958</v>
      </c>
      <c r="D55" s="561">
        <v>-3509</v>
      </c>
      <c r="E55" s="561">
        <v>-4493</v>
      </c>
      <c r="F55" s="561">
        <v>-6481</v>
      </c>
      <c r="G55" s="561">
        <v>-5432</v>
      </c>
      <c r="H55" s="561">
        <v>-8307</v>
      </c>
      <c r="I55" s="561">
        <v>-20254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3"/>
        <v>-11947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4">C39+C41</f>
        <v>16739</v>
      </c>
      <c r="D57" s="558">
        <f t="shared" si="14"/>
        <v>45654</v>
      </c>
      <c r="E57" s="558">
        <f t="shared" si="14"/>
        <v>57586</v>
      </c>
      <c r="F57" s="558">
        <f t="shared" si="14"/>
        <v>51384</v>
      </c>
      <c r="G57" s="558">
        <f t="shared" si="14"/>
        <v>109730</v>
      </c>
      <c r="H57" s="558">
        <f t="shared" si="14"/>
        <v>173220</v>
      </c>
      <c r="I57" s="558">
        <f>I39+I41</f>
        <v>243127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69907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5">C61+C67+C68+C77+C78</f>
        <v>-12951</v>
      </c>
      <c r="D59" s="562">
        <f t="shared" si="15"/>
        <v>-33909</v>
      </c>
      <c r="E59" s="562">
        <f t="shared" si="15"/>
        <v>-51875</v>
      </c>
      <c r="F59" s="562">
        <f t="shared" si="15"/>
        <v>-81398</v>
      </c>
      <c r="G59" s="562">
        <f t="shared" si="15"/>
        <v>-25353</v>
      </c>
      <c r="H59" s="562">
        <f t="shared" si="15"/>
        <v>-48650</v>
      </c>
      <c r="I59" s="562">
        <f>I61+I67+I68+I77+I78</f>
        <v>-74397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-25747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6">SUM(C62:C66)</f>
        <v>-4027</v>
      </c>
      <c r="D61" s="560">
        <f t="shared" si="16"/>
        <v>-11334</v>
      </c>
      <c r="E61" s="560">
        <f t="shared" si="16"/>
        <v>-16180</v>
      </c>
      <c r="F61" s="560">
        <f t="shared" si="16"/>
        <v>-22364</v>
      </c>
      <c r="G61" s="560">
        <f t="shared" si="16"/>
        <v>-8965</v>
      </c>
      <c r="H61" s="560">
        <f t="shared" si="16"/>
        <v>-14507</v>
      </c>
      <c r="I61" s="560">
        <f>SUM(I62:I66)</f>
        <v>-22695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-8188</v>
      </c>
    </row>
    <row r="62" spans="1:20" outlineLevel="1" x14ac:dyDescent="0.35">
      <c r="A62" s="556" t="s">
        <v>1029</v>
      </c>
      <c r="C62" s="561">
        <v>-3108</v>
      </c>
      <c r="D62" s="561">
        <v>-8064</v>
      </c>
      <c r="E62" s="561">
        <v>-11297</v>
      </c>
      <c r="F62" s="561">
        <v>-15337</v>
      </c>
      <c r="G62" s="561">
        <v>-4322</v>
      </c>
      <c r="H62" s="561">
        <v>-8252</v>
      </c>
      <c r="I62" s="561">
        <v>-12797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7">I62-H62</f>
        <v>-4545</v>
      </c>
    </row>
    <row r="63" spans="1:20" outlineLevel="1" x14ac:dyDescent="0.35">
      <c r="A63" s="556" t="s">
        <v>1030</v>
      </c>
      <c r="C63" s="561">
        <v>-41</v>
      </c>
      <c r="D63" s="561">
        <v>-237</v>
      </c>
      <c r="E63" s="561">
        <v>-327</v>
      </c>
      <c r="F63" s="561">
        <v>-537</v>
      </c>
      <c r="G63" s="561">
        <v>-242</v>
      </c>
      <c r="H63" s="561">
        <v>-388</v>
      </c>
      <c r="I63" s="561">
        <v>-576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7"/>
        <v>-188</v>
      </c>
    </row>
    <row r="64" spans="1:20" outlineLevel="1" x14ac:dyDescent="0.35">
      <c r="A64" s="556" t="s">
        <v>1031</v>
      </c>
      <c r="C64" s="561">
        <v>-162</v>
      </c>
      <c r="D64" s="561">
        <v>-464</v>
      </c>
      <c r="E64" s="561">
        <v>-749</v>
      </c>
      <c r="F64" s="561">
        <v>-1254</v>
      </c>
      <c r="G64" s="561">
        <v>-403</v>
      </c>
      <c r="H64" s="561">
        <v>-900</v>
      </c>
      <c r="I64" s="561">
        <v>-1288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7"/>
        <v>-388</v>
      </c>
    </row>
    <row r="65" spans="1:20" outlineLevel="1" x14ac:dyDescent="0.35">
      <c r="A65" s="556" t="s">
        <v>1032</v>
      </c>
      <c r="C65" s="561">
        <v>-13</v>
      </c>
      <c r="D65" s="561">
        <v>-39</v>
      </c>
      <c r="E65" s="561">
        <v>-60</v>
      </c>
      <c r="F65" s="561">
        <v>-86</v>
      </c>
      <c r="G65" s="561">
        <v>-19</v>
      </c>
      <c r="H65" s="561">
        <v>-38</v>
      </c>
      <c r="I65" s="561">
        <v>-60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7"/>
        <v>-22</v>
      </c>
    </row>
    <row r="66" spans="1:20" outlineLevel="1" x14ac:dyDescent="0.35">
      <c r="A66" s="556" t="s">
        <v>1033</v>
      </c>
      <c r="C66" s="561">
        <v>-703</v>
      </c>
      <c r="D66" s="561">
        <v>-2530</v>
      </c>
      <c r="E66" s="561">
        <v>-3747</v>
      </c>
      <c r="F66" s="561">
        <v>-5150</v>
      </c>
      <c r="G66" s="561">
        <v>-3979</v>
      </c>
      <c r="H66" s="561">
        <v>-4929</v>
      </c>
      <c r="I66" s="561">
        <v>-7974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7"/>
        <v>-3045</v>
      </c>
    </row>
    <row r="67" spans="1:20" x14ac:dyDescent="0.35">
      <c r="A67" s="555" t="s">
        <v>1034</v>
      </c>
      <c r="C67" s="563">
        <v>24</v>
      </c>
      <c r="D67" s="563">
        <v>14</v>
      </c>
      <c r="E67" s="563">
        <v>17</v>
      </c>
      <c r="F67" s="563">
        <v>-5</v>
      </c>
      <c r="G67" s="563">
        <v>-770</v>
      </c>
      <c r="H67" s="563">
        <v>-290</v>
      </c>
      <c r="I67" s="563">
        <v>-339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7"/>
        <v>-49</v>
      </c>
    </row>
    <row r="68" spans="1:20" x14ac:dyDescent="0.35">
      <c r="A68" s="555" t="s">
        <v>1035</v>
      </c>
      <c r="C68" s="560">
        <f t="shared" ref="C68:H68" si="18">SUM(C69:C76)</f>
        <v>-8904</v>
      </c>
      <c r="D68" s="560">
        <f t="shared" si="18"/>
        <v>-21450</v>
      </c>
      <c r="E68" s="560">
        <f t="shared" si="18"/>
        <v>-33041</v>
      </c>
      <c r="F68" s="560">
        <f t="shared" si="18"/>
        <v>-52184</v>
      </c>
      <c r="G68" s="560">
        <f t="shared" si="18"/>
        <v>-14906</v>
      </c>
      <c r="H68" s="560">
        <f t="shared" si="18"/>
        <v>-31263</v>
      </c>
      <c r="I68" s="560">
        <f>SUM(I69:I76)</f>
        <v>-47703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-16440</v>
      </c>
    </row>
    <row r="69" spans="1:20" outlineLevel="1" x14ac:dyDescent="0.35">
      <c r="A69" s="556" t="s">
        <v>1036</v>
      </c>
      <c r="C69" s="561">
        <v>-5779</v>
      </c>
      <c r="D69" s="561">
        <v>-12895</v>
      </c>
      <c r="E69" s="561">
        <v>-18804</v>
      </c>
      <c r="F69" s="561">
        <v>-27195</v>
      </c>
      <c r="G69" s="561">
        <v>-10324</v>
      </c>
      <c r="H69" s="561">
        <v>-21161</v>
      </c>
      <c r="I69" s="561">
        <v>-32783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9">I69-H69</f>
        <v>-11622</v>
      </c>
    </row>
    <row r="70" spans="1:20" outlineLevel="1" x14ac:dyDescent="0.35">
      <c r="A70" s="556" t="s">
        <v>1037</v>
      </c>
      <c r="C70" s="561">
        <v>-279</v>
      </c>
      <c r="D70" s="561">
        <v>-612</v>
      </c>
      <c r="E70" s="561">
        <v>-1354</v>
      </c>
      <c r="F70" s="561">
        <v>-2385</v>
      </c>
      <c r="G70" s="561">
        <v>-636</v>
      </c>
      <c r="H70" s="561">
        <v>-821</v>
      </c>
      <c r="I70" s="561">
        <v>-1745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9"/>
        <v>-924</v>
      </c>
    </row>
    <row r="71" spans="1:20" outlineLevel="1" x14ac:dyDescent="0.35">
      <c r="A71" s="556" t="s">
        <v>1038</v>
      </c>
      <c r="C71" s="561">
        <v>-2155</v>
      </c>
      <c r="D71" s="561">
        <v>-4930</v>
      </c>
      <c r="E71" s="561">
        <v>-8560</v>
      </c>
      <c r="F71" s="561">
        <v>-12714</v>
      </c>
      <c r="G71" s="561">
        <v>-1891</v>
      </c>
      <c r="H71" s="561">
        <v>-764</v>
      </c>
      <c r="I71" s="561">
        <v>-1354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9"/>
        <v>-590</v>
      </c>
    </row>
    <row r="72" spans="1:20" outlineLevel="1" x14ac:dyDescent="0.35">
      <c r="A72" s="556" t="s">
        <v>1039</v>
      </c>
      <c r="C72" s="561">
        <v>-177</v>
      </c>
      <c r="D72" s="561">
        <v>-313</v>
      </c>
      <c r="E72" s="561">
        <v>-399</v>
      </c>
      <c r="F72" s="561">
        <v>-653</v>
      </c>
      <c r="G72" s="561">
        <v>-427</v>
      </c>
      <c r="H72" s="561">
        <v>-1409</v>
      </c>
      <c r="I72" s="561">
        <v>-2012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9"/>
        <v>-603</v>
      </c>
    </row>
    <row r="73" spans="1:20" outlineLevel="1" x14ac:dyDescent="0.35">
      <c r="A73" s="556" t="s">
        <v>1040</v>
      </c>
      <c r="C73" s="561">
        <v>-54</v>
      </c>
      <c r="D73" s="561">
        <v>-133</v>
      </c>
      <c r="E73" s="561">
        <v>-278</v>
      </c>
      <c r="F73" s="561">
        <v>-4221</v>
      </c>
      <c r="G73" s="561">
        <v>-290</v>
      </c>
      <c r="H73" s="561">
        <v>-3870</v>
      </c>
      <c r="I73" s="561">
        <v>-4695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9"/>
        <v>-825</v>
      </c>
    </row>
    <row r="74" spans="1:20" outlineLevel="1" x14ac:dyDescent="0.35">
      <c r="A74" s="556" t="s">
        <v>1041</v>
      </c>
      <c r="C74" s="561">
        <v>-399</v>
      </c>
      <c r="D74" s="561">
        <v>-2445</v>
      </c>
      <c r="E74" s="561">
        <v>-2745</v>
      </c>
      <c r="F74" s="561">
        <v>-2880</v>
      </c>
      <c r="G74" s="561">
        <v>-124</v>
      </c>
      <c r="H74" s="561">
        <v>-488</v>
      </c>
      <c r="I74" s="561">
        <v>-803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9"/>
        <v>-315</v>
      </c>
    </row>
    <row r="75" spans="1:20" outlineLevel="1" x14ac:dyDescent="0.35">
      <c r="A75" s="556" t="s">
        <v>1042</v>
      </c>
      <c r="C75" s="561">
        <v>-61</v>
      </c>
      <c r="D75" s="561">
        <v>-122</v>
      </c>
      <c r="E75" s="561">
        <v>-901</v>
      </c>
      <c r="F75" s="561">
        <v>-2136</v>
      </c>
      <c r="G75" s="561">
        <v>-1214</v>
      </c>
      <c r="H75" s="561">
        <v>-2750</v>
      </c>
      <c r="I75" s="561">
        <v>-4311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9"/>
        <v>-1561</v>
      </c>
    </row>
    <row r="76" spans="1:20" outlineLevel="1" x14ac:dyDescent="0.35">
      <c r="A76" s="556" t="s">
        <v>1043</v>
      </c>
      <c r="C76" s="561">
        <v>0</v>
      </c>
      <c r="D76" s="561">
        <v>0</v>
      </c>
      <c r="E76" s="561">
        <v>0</v>
      </c>
      <c r="F76" s="561">
        <v>0</v>
      </c>
      <c r="G76" s="561">
        <v>0</v>
      </c>
      <c r="H76" s="561">
        <v>0</v>
      </c>
      <c r="I76" s="561">
        <v>0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9"/>
        <v>0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9"/>
        <v>0</v>
      </c>
    </row>
    <row r="78" spans="1:20" x14ac:dyDescent="0.35">
      <c r="A78" s="555" t="s">
        <v>1045</v>
      </c>
      <c r="C78" s="560">
        <f t="shared" ref="C78:H78" si="20">SUM(C79:C80)</f>
        <v>-44</v>
      </c>
      <c r="D78" s="560">
        <f t="shared" si="20"/>
        <v>-1139</v>
      </c>
      <c r="E78" s="560">
        <f t="shared" si="20"/>
        <v>-2671</v>
      </c>
      <c r="F78" s="560">
        <f t="shared" si="20"/>
        <v>-6845</v>
      </c>
      <c r="G78" s="560">
        <f t="shared" si="20"/>
        <v>-712</v>
      </c>
      <c r="H78" s="560">
        <f t="shared" si="20"/>
        <v>-2590</v>
      </c>
      <c r="I78" s="560">
        <f>SUM(I79:I80)</f>
        <v>-3660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-1070</v>
      </c>
    </row>
    <row r="79" spans="1:20" outlineLevel="1" x14ac:dyDescent="0.35">
      <c r="A79" s="556" t="s">
        <v>1046</v>
      </c>
      <c r="C79" s="561">
        <v>-44</v>
      </c>
      <c r="D79" s="561">
        <v>-1139</v>
      </c>
      <c r="E79" s="561">
        <v>-2671</v>
      </c>
      <c r="F79" s="561">
        <v>-3715</v>
      </c>
      <c r="G79" s="561">
        <v>-712</v>
      </c>
      <c r="H79" s="561">
        <v>-2311</v>
      </c>
      <c r="I79" s="561">
        <v>-3382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1">I79-H79</f>
        <v>-1071</v>
      </c>
    </row>
    <row r="80" spans="1:20" outlineLevel="1" x14ac:dyDescent="0.35">
      <c r="A80" s="556" t="s">
        <v>1047</v>
      </c>
      <c r="C80" s="561">
        <v>0</v>
      </c>
      <c r="D80" s="561">
        <v>0</v>
      </c>
      <c r="E80" s="561">
        <v>0</v>
      </c>
      <c r="F80" s="561">
        <v>-3130</v>
      </c>
      <c r="G80" s="561">
        <v>0</v>
      </c>
      <c r="H80" s="561">
        <v>-279</v>
      </c>
      <c r="I80" s="561">
        <v>-278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1"/>
        <v>1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2">C84-C75-C52-C76</f>
        <v>3849</v>
      </c>
      <c r="D82" s="558">
        <f t="shared" si="22"/>
        <v>11869</v>
      </c>
      <c r="E82" s="558">
        <f t="shared" si="22"/>
        <v>7017</v>
      </c>
      <c r="F82" s="558">
        <f t="shared" si="22"/>
        <v>-27303</v>
      </c>
      <c r="G82" s="558">
        <f t="shared" si="22"/>
        <v>85844</v>
      </c>
      <c r="H82" s="558">
        <f t="shared" si="22"/>
        <v>127878</v>
      </c>
      <c r="I82" s="558">
        <f>I84-I75-I52-I76</f>
        <v>173988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46110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3">C57+C59</f>
        <v>3788</v>
      </c>
      <c r="D84" s="558">
        <f t="shared" si="23"/>
        <v>11745</v>
      </c>
      <c r="E84" s="558">
        <f t="shared" si="23"/>
        <v>5711</v>
      </c>
      <c r="F84" s="558">
        <f t="shared" si="23"/>
        <v>-30014</v>
      </c>
      <c r="G84" s="558">
        <f t="shared" si="23"/>
        <v>84377</v>
      </c>
      <c r="H84" s="558">
        <f t="shared" si="23"/>
        <v>124570</v>
      </c>
      <c r="I84" s="558">
        <f>I57+I59</f>
        <v>168730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44160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4">C88+C97</f>
        <v>1183</v>
      </c>
      <c r="D86" s="558">
        <f t="shared" si="24"/>
        <v>2219</v>
      </c>
      <c r="E86" s="558">
        <f t="shared" si="24"/>
        <v>3624</v>
      </c>
      <c r="F86" s="558">
        <f t="shared" si="24"/>
        <v>3212</v>
      </c>
      <c r="G86" s="558">
        <f t="shared" si="24"/>
        <v>1720</v>
      </c>
      <c r="H86" s="558">
        <f t="shared" si="24"/>
        <v>1344</v>
      </c>
      <c r="I86" s="558">
        <f>I88+I97</f>
        <v>-785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-2129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5">SUM(C89:C96)</f>
        <v>5260</v>
      </c>
      <c r="D88" s="562">
        <f t="shared" si="25"/>
        <v>12052</v>
      </c>
      <c r="E88" s="562">
        <f t="shared" si="25"/>
        <v>24152</v>
      </c>
      <c r="F88" s="562">
        <f t="shared" si="25"/>
        <v>33646</v>
      </c>
      <c r="G88" s="562">
        <f t="shared" si="25"/>
        <v>15333</v>
      </c>
      <c r="H88" s="562">
        <f t="shared" si="25"/>
        <v>28794</v>
      </c>
      <c r="I88" s="562">
        <f>SUM(I89:I96)</f>
        <v>33687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4893</v>
      </c>
    </row>
    <row r="89" spans="1:20" outlineLevel="1" x14ac:dyDescent="0.35">
      <c r="A89" s="556" t="s">
        <v>1049</v>
      </c>
      <c r="C89" s="561">
        <v>2402</v>
      </c>
      <c r="D89" s="561">
        <v>8166</v>
      </c>
      <c r="E89" s="561">
        <v>18868</v>
      </c>
      <c r="F89" s="561">
        <v>27111</v>
      </c>
      <c r="G89" s="561">
        <v>12492</v>
      </c>
      <c r="H89" s="561">
        <v>23823</v>
      </c>
      <c r="I89" s="561">
        <v>29275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6">I89-H89</f>
        <v>5452</v>
      </c>
    </row>
    <row r="90" spans="1:20" outlineLevel="1" x14ac:dyDescent="0.35">
      <c r="A90" s="556" t="s">
        <v>1050</v>
      </c>
      <c r="C90" s="561">
        <v>-58</v>
      </c>
      <c r="D90" s="561">
        <v>-105</v>
      </c>
      <c r="E90" s="561">
        <v>-178</v>
      </c>
      <c r="F90" s="561">
        <v>-243</v>
      </c>
      <c r="G90" s="561">
        <v>-48</v>
      </c>
      <c r="H90" s="561">
        <v>-106</v>
      </c>
      <c r="I90" s="561">
        <v>-164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6"/>
        <v>-58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6"/>
        <v>0</v>
      </c>
    </row>
    <row r="92" spans="1:20" outlineLevel="1" x14ac:dyDescent="0.35">
      <c r="A92" s="556" t="s">
        <v>1052</v>
      </c>
      <c r="C92" s="561">
        <v>0</v>
      </c>
      <c r="D92" s="561">
        <v>0</v>
      </c>
      <c r="E92" s="561">
        <v>0</v>
      </c>
      <c r="F92" s="561">
        <v>0</v>
      </c>
      <c r="G92" s="561">
        <v>0</v>
      </c>
      <c r="H92" s="561">
        <v>0</v>
      </c>
      <c r="I92" s="561">
        <v>0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6"/>
        <v>0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6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6"/>
        <v>0</v>
      </c>
    </row>
    <row r="95" spans="1:20" outlineLevel="1" x14ac:dyDescent="0.35">
      <c r="A95" s="556" t="s">
        <v>1055</v>
      </c>
      <c r="C95" s="561">
        <v>13</v>
      </c>
      <c r="D95" s="561">
        <v>37</v>
      </c>
      <c r="E95" s="561">
        <v>60</v>
      </c>
      <c r="F95" s="561">
        <v>111</v>
      </c>
      <c r="G95" s="561">
        <v>82</v>
      </c>
      <c r="H95" s="561">
        <v>5</v>
      </c>
      <c r="I95" s="561">
        <v>6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6"/>
        <v>1</v>
      </c>
    </row>
    <row r="96" spans="1:20" outlineLevel="1" x14ac:dyDescent="0.35">
      <c r="A96" s="556" t="s">
        <v>1056</v>
      </c>
      <c r="C96" s="561">
        <v>2903</v>
      </c>
      <c r="D96" s="561">
        <v>3954</v>
      </c>
      <c r="E96" s="561">
        <v>5402</v>
      </c>
      <c r="F96" s="561">
        <v>6667</v>
      </c>
      <c r="G96" s="561">
        <v>2807</v>
      </c>
      <c r="H96" s="561">
        <v>5072</v>
      </c>
      <c r="I96" s="561">
        <v>4570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6"/>
        <v>-502</v>
      </c>
    </row>
    <row r="97" spans="1:20" x14ac:dyDescent="0.35">
      <c r="A97" s="555" t="s">
        <v>279</v>
      </c>
      <c r="C97" s="560">
        <f t="shared" ref="C97:H97" si="27">SUM(C98:C106)</f>
        <v>-4077</v>
      </c>
      <c r="D97" s="560">
        <f t="shared" si="27"/>
        <v>-9833</v>
      </c>
      <c r="E97" s="560">
        <f t="shared" si="27"/>
        <v>-20528</v>
      </c>
      <c r="F97" s="560">
        <f t="shared" si="27"/>
        <v>-30434</v>
      </c>
      <c r="G97" s="560">
        <f t="shared" si="27"/>
        <v>-13613</v>
      </c>
      <c r="H97" s="560">
        <f t="shared" si="27"/>
        <v>-27450</v>
      </c>
      <c r="I97" s="562">
        <f>SUM(I98:I106)</f>
        <v>-34472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-7022</v>
      </c>
    </row>
    <row r="98" spans="1:20" outlineLevel="1" x14ac:dyDescent="0.35">
      <c r="A98" s="556" t="s">
        <v>1057</v>
      </c>
      <c r="C98" s="561">
        <v>-94</v>
      </c>
      <c r="D98" s="561">
        <v>-6428</v>
      </c>
      <c r="E98" s="561">
        <v>-14884</v>
      </c>
      <c r="F98" s="561">
        <v>-14449</v>
      </c>
      <c r="G98" s="561">
        <v>-3239</v>
      </c>
      <c r="H98" s="561">
        <v>-4929</v>
      </c>
      <c r="I98" s="561">
        <v>-12292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8">I98-H98</f>
        <v>-7363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8"/>
        <v>0</v>
      </c>
    </row>
    <row r="100" spans="1:20" outlineLevel="1" x14ac:dyDescent="0.35">
      <c r="A100" s="556" t="s">
        <v>1059</v>
      </c>
      <c r="C100" s="561">
        <v>-3899</v>
      </c>
      <c r="D100" s="561">
        <v>-2814</v>
      </c>
      <c r="E100" s="561">
        <v>-4583</v>
      </c>
      <c r="F100" s="561">
        <v>-13120</v>
      </c>
      <c r="G100" s="561">
        <v>-9860</v>
      </c>
      <c r="H100" s="561">
        <v>-21483</v>
      </c>
      <c r="I100" s="561">
        <v>-20760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8"/>
        <v>723</v>
      </c>
    </row>
    <row r="101" spans="1:20" outlineLevel="1" x14ac:dyDescent="0.35">
      <c r="A101" s="556" t="s">
        <v>1060</v>
      </c>
      <c r="C101" s="561">
        <v>0</v>
      </c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8"/>
        <v>0</v>
      </c>
    </row>
    <row r="102" spans="1:20" outlineLevel="1" x14ac:dyDescent="0.35">
      <c r="A102" s="556" t="s">
        <v>1061</v>
      </c>
      <c r="C102" s="561">
        <v>0</v>
      </c>
      <c r="D102" s="561">
        <v>0</v>
      </c>
      <c r="E102" s="561">
        <v>0</v>
      </c>
      <c r="F102" s="561">
        <v>0</v>
      </c>
      <c r="G102" s="561">
        <v>0</v>
      </c>
      <c r="H102" s="561">
        <v>0</v>
      </c>
      <c r="I102" s="561">
        <v>0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8"/>
        <v>0</v>
      </c>
    </row>
    <row r="103" spans="1:20" outlineLevel="1" x14ac:dyDescent="0.35">
      <c r="A103" s="556" t="s">
        <v>1062</v>
      </c>
      <c r="C103" s="561">
        <v>0</v>
      </c>
      <c r="D103" s="561">
        <v>-16</v>
      </c>
      <c r="E103" s="561">
        <v>-47</v>
      </c>
      <c r="F103" s="561">
        <v>-65</v>
      </c>
      <c r="G103" s="561">
        <v>-16</v>
      </c>
      <c r="H103" s="561">
        <v>-43</v>
      </c>
      <c r="I103" s="561">
        <v>-60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8"/>
        <v>-17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8"/>
        <v>0</v>
      </c>
    </row>
    <row r="105" spans="1:20" outlineLevel="1" x14ac:dyDescent="0.35">
      <c r="A105" s="556" t="s">
        <v>1064</v>
      </c>
      <c r="C105" s="561">
        <v>0</v>
      </c>
      <c r="D105" s="561">
        <v>0</v>
      </c>
      <c r="E105" s="561">
        <v>0</v>
      </c>
      <c r="F105" s="561">
        <v>0</v>
      </c>
      <c r="G105" s="561">
        <v>0</v>
      </c>
      <c r="H105" s="561">
        <v>0</v>
      </c>
      <c r="I105" s="561">
        <v>0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8"/>
        <v>0</v>
      </c>
    </row>
    <row r="106" spans="1:20" outlineLevel="1" x14ac:dyDescent="0.35">
      <c r="A106" s="556" t="s">
        <v>1065</v>
      </c>
      <c r="C106" s="561">
        <v>-84</v>
      </c>
      <c r="D106" s="561">
        <v>-575</v>
      </c>
      <c r="E106" s="561">
        <v>-1014</v>
      </c>
      <c r="F106" s="561">
        <v>-2800</v>
      </c>
      <c r="G106" s="561">
        <v>-498</v>
      </c>
      <c r="H106" s="561">
        <v>-995</v>
      </c>
      <c r="I106" s="561">
        <v>-1360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8"/>
        <v>-365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9">C84+C86</f>
        <v>4971</v>
      </c>
      <c r="D108" s="558">
        <f t="shared" si="29"/>
        <v>13964</v>
      </c>
      <c r="E108" s="558">
        <f t="shared" si="29"/>
        <v>9335</v>
      </c>
      <c r="F108" s="558">
        <f t="shared" si="29"/>
        <v>-26802</v>
      </c>
      <c r="G108" s="558">
        <f t="shared" si="29"/>
        <v>86097</v>
      </c>
      <c r="H108" s="558">
        <f t="shared" si="29"/>
        <v>125914</v>
      </c>
      <c r="I108" s="558">
        <f>I84+I86</f>
        <v>167945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42031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H110" si="30">SUM(C112:C115)</f>
        <v>-2803</v>
      </c>
      <c r="D110" s="562">
        <f t="shared" si="30"/>
        <v>-6785</v>
      </c>
      <c r="E110" s="562">
        <f t="shared" si="30"/>
        <v>-4001</v>
      </c>
      <c r="F110" s="562">
        <f t="shared" si="30"/>
        <v>2763</v>
      </c>
      <c r="G110" s="562">
        <f t="shared" si="30"/>
        <v>-32163</v>
      </c>
      <c r="H110" s="562">
        <f t="shared" si="30"/>
        <v>-49478</v>
      </c>
      <c r="I110" s="562">
        <f>SUM(I112:I115)</f>
        <v>-66637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-17159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-785</v>
      </c>
      <c r="D112" s="563">
        <v>-1842</v>
      </c>
      <c r="E112" s="563">
        <v>-2033</v>
      </c>
      <c r="F112" s="563">
        <v>-3328</v>
      </c>
      <c r="G112" s="563">
        <v>-1693</v>
      </c>
      <c r="H112" s="563">
        <v>-3813</v>
      </c>
      <c r="I112" s="563">
        <v>-6271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1">I112-H112</f>
        <v>-2458</v>
      </c>
    </row>
    <row r="113" spans="1:20" x14ac:dyDescent="0.35">
      <c r="A113" s="555" t="s">
        <v>282</v>
      </c>
      <c r="C113" s="563">
        <v>-2018</v>
      </c>
      <c r="D113" s="563">
        <v>-4943</v>
      </c>
      <c r="E113" s="563">
        <v>-5449</v>
      </c>
      <c r="F113" s="563">
        <v>-8937</v>
      </c>
      <c r="G113" s="563">
        <v>-4513</v>
      </c>
      <c r="H113" s="563">
        <v>-9883</v>
      </c>
      <c r="I113" s="563">
        <v>-16188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1"/>
        <v>-6305</v>
      </c>
    </row>
    <row r="114" spans="1:20" x14ac:dyDescent="0.35">
      <c r="A114" s="555" t="s">
        <v>284</v>
      </c>
      <c r="C114" s="563">
        <v>0</v>
      </c>
      <c r="D114" s="563">
        <v>0</v>
      </c>
      <c r="E114" s="563">
        <v>-37</v>
      </c>
      <c r="F114" s="563">
        <v>0</v>
      </c>
      <c r="G114" s="563">
        <v>0</v>
      </c>
      <c r="H114" s="563">
        <v>0</v>
      </c>
      <c r="I114" s="563">
        <v>0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1"/>
        <v>0</v>
      </c>
    </row>
    <row r="115" spans="1:20" x14ac:dyDescent="0.35">
      <c r="A115" s="555" t="s">
        <v>1068</v>
      </c>
      <c r="C115" s="563">
        <v>0</v>
      </c>
      <c r="D115" s="563">
        <v>0</v>
      </c>
      <c r="E115" s="563">
        <v>3518</v>
      </c>
      <c r="F115" s="563">
        <v>15028</v>
      </c>
      <c r="G115" s="563">
        <v>-25957</v>
      </c>
      <c r="H115" s="563">
        <v>-35782</v>
      </c>
      <c r="I115" s="563">
        <v>-44178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1"/>
        <v>-8396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H117" si="32">C108+C110</f>
        <v>2168</v>
      </c>
      <c r="D117" s="564">
        <f t="shared" si="32"/>
        <v>7179</v>
      </c>
      <c r="E117" s="564">
        <f t="shared" si="32"/>
        <v>5334</v>
      </c>
      <c r="F117" s="564">
        <f t="shared" si="32"/>
        <v>-24039</v>
      </c>
      <c r="G117" s="564">
        <f t="shared" si="32"/>
        <v>53934</v>
      </c>
      <c r="H117" s="564">
        <f t="shared" si="32"/>
        <v>76436</v>
      </c>
      <c r="I117" s="564">
        <f>I108+I110</f>
        <v>101308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24872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  <row r="120" spans="1:20" x14ac:dyDescent="0.35">
      <c r="A120" s="555" t="s">
        <v>1071</v>
      </c>
      <c r="C120" s="563">
        <f t="shared" ref="C120:H120" si="33">C117-C121</f>
        <v>2168</v>
      </c>
      <c r="D120" s="563">
        <f t="shared" si="33"/>
        <v>7179</v>
      </c>
      <c r="E120" s="563">
        <f t="shared" si="33"/>
        <v>5334</v>
      </c>
      <c r="F120" s="563">
        <f t="shared" si="33"/>
        <v>-24039</v>
      </c>
      <c r="G120" s="563">
        <f t="shared" si="33"/>
        <v>53934</v>
      </c>
      <c r="H120" s="563">
        <f t="shared" si="33"/>
        <v>76436</v>
      </c>
      <c r="I120" s="563">
        <f>I117-I121</f>
        <v>101308</v>
      </c>
      <c r="J120" s="563"/>
      <c r="K120" s="563"/>
      <c r="L120" s="563"/>
      <c r="M120" s="563"/>
      <c r="N120" s="563"/>
      <c r="O120" s="563"/>
      <c r="P120" s="563"/>
      <c r="Q120" s="563"/>
      <c r="R120" s="563"/>
      <c r="T120" s="563">
        <f t="shared" ref="T120:T121" si="34">I120-H120</f>
        <v>24872</v>
      </c>
    </row>
    <row r="121" spans="1:20" x14ac:dyDescent="0.35">
      <c r="A121" s="555" t="s">
        <v>1072</v>
      </c>
      <c r="C121" s="563">
        <f t="shared" ref="C121:H121" si="35">C117*C126</f>
        <v>0</v>
      </c>
      <c r="D121" s="563">
        <f t="shared" si="35"/>
        <v>0</v>
      </c>
      <c r="E121" s="563">
        <f t="shared" si="35"/>
        <v>0</v>
      </c>
      <c r="F121" s="563">
        <f t="shared" si="35"/>
        <v>0</v>
      </c>
      <c r="G121" s="563">
        <f t="shared" si="35"/>
        <v>0</v>
      </c>
      <c r="H121" s="563">
        <f t="shared" si="35"/>
        <v>0</v>
      </c>
      <c r="I121" s="563">
        <f>I117*I126</f>
        <v>0</v>
      </c>
      <c r="J121" s="563"/>
      <c r="K121" s="563"/>
      <c r="L121" s="563"/>
      <c r="M121" s="563"/>
      <c r="N121" s="563"/>
      <c r="O121" s="563"/>
      <c r="P121" s="563"/>
      <c r="Q121" s="563"/>
      <c r="R121" s="563"/>
      <c r="T121" s="563">
        <f t="shared" si="34"/>
        <v>0</v>
      </c>
    </row>
    <row r="122" spans="1:20" x14ac:dyDescent="0.35">
      <c r="A122" s="555"/>
      <c r="C122" s="555"/>
      <c r="D122" s="555"/>
      <c r="E122" s="555"/>
      <c r="F122" s="555"/>
      <c r="G122" s="555"/>
      <c r="H122" s="555"/>
      <c r="I122" s="555"/>
      <c r="J122" s="555"/>
      <c r="K122" s="555"/>
      <c r="L122" s="555"/>
      <c r="M122" s="555"/>
      <c r="N122" s="555"/>
      <c r="O122" s="555"/>
      <c r="P122" s="555"/>
      <c r="Q122" s="555"/>
      <c r="R122" s="555"/>
      <c r="T122" s="555"/>
    </row>
    <row r="123" spans="1:20" ht="15" thickBot="1" x14ac:dyDescent="0.4">
      <c r="A123" s="568" t="s">
        <v>1069</v>
      </c>
      <c r="C123" s="564">
        <f t="shared" ref="C123:H123" si="36">SUM(C120:C121)</f>
        <v>2168</v>
      </c>
      <c r="D123" s="564">
        <f t="shared" si="36"/>
        <v>7179</v>
      </c>
      <c r="E123" s="564">
        <f t="shared" si="36"/>
        <v>5334</v>
      </c>
      <c r="F123" s="564">
        <f t="shared" si="36"/>
        <v>-24039</v>
      </c>
      <c r="G123" s="564">
        <f t="shared" si="36"/>
        <v>53934</v>
      </c>
      <c r="H123" s="564">
        <f t="shared" si="36"/>
        <v>76436</v>
      </c>
      <c r="I123" s="564">
        <f>SUM(I120:I121)</f>
        <v>101308</v>
      </c>
      <c r="J123" s="564"/>
      <c r="K123" s="564"/>
      <c r="L123" s="564"/>
      <c r="M123" s="564"/>
      <c r="N123" s="564"/>
      <c r="O123" s="564"/>
      <c r="P123" s="564"/>
      <c r="Q123" s="564"/>
      <c r="R123" s="564"/>
      <c r="T123" s="564">
        <f>SUM(T120:T121)</f>
        <v>24872</v>
      </c>
    </row>
    <row r="124" spans="1:20" ht="15" thickTop="1" x14ac:dyDescent="0.35"/>
    <row r="125" spans="1:20" s="570" customFormat="1" ht="10.5" x14ac:dyDescent="0.25">
      <c r="A125" s="569" t="s">
        <v>1086</v>
      </c>
      <c r="C125" s="571">
        <v>1</v>
      </c>
      <c r="D125" s="571">
        <v>1</v>
      </c>
      <c r="E125" s="571">
        <v>1</v>
      </c>
      <c r="F125" s="571">
        <v>1</v>
      </c>
      <c r="G125" s="571">
        <v>1</v>
      </c>
      <c r="H125" s="571">
        <v>1</v>
      </c>
      <c r="I125" s="571">
        <v>1</v>
      </c>
      <c r="T125" s="571">
        <f>I125</f>
        <v>1</v>
      </c>
    </row>
    <row r="126" spans="1:20" s="570" customFormat="1" ht="10.5" x14ac:dyDescent="0.25">
      <c r="A126" s="569" t="s">
        <v>1087</v>
      </c>
      <c r="C126" s="571">
        <v>0</v>
      </c>
      <c r="D126" s="571">
        <v>0</v>
      </c>
      <c r="E126" s="571">
        <v>0</v>
      </c>
      <c r="F126" s="571">
        <v>0</v>
      </c>
      <c r="G126" s="571">
        <v>0</v>
      </c>
      <c r="H126" s="571">
        <v>0</v>
      </c>
      <c r="I126" s="571">
        <v>0</v>
      </c>
      <c r="T126" s="571">
        <f>I126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8260-45B6-49B0-A706-937F52473DE5}">
  <sheetPr>
    <tabColor theme="9" tint="0.79998168889431442"/>
  </sheetPr>
  <dimension ref="A4:T119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1101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H6" si="0">SUM(C8,C11:C17)</f>
        <v>0</v>
      </c>
      <c r="D6" s="558">
        <f t="shared" si="0"/>
        <v>0</v>
      </c>
      <c r="E6" s="558">
        <f t="shared" si="0"/>
        <v>0</v>
      </c>
      <c r="F6" s="558">
        <f t="shared" si="0"/>
        <v>0</v>
      </c>
      <c r="G6" s="558">
        <f t="shared" si="0"/>
        <v>0</v>
      </c>
      <c r="H6" s="558">
        <f t="shared" si="0"/>
        <v>0</v>
      </c>
      <c r="I6" s="558">
        <f>SUM(I8,I11:I17)</f>
        <v>0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0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0</v>
      </c>
      <c r="D8" s="560">
        <f t="shared" si="2"/>
        <v>0</v>
      </c>
      <c r="E8" s="560">
        <f t="shared" si="2"/>
        <v>0</v>
      </c>
      <c r="F8" s="560">
        <f t="shared" si="2"/>
        <v>0</v>
      </c>
      <c r="G8" s="560">
        <f t="shared" si="2"/>
        <v>0</v>
      </c>
      <c r="H8" s="560">
        <f t="shared" si="2"/>
        <v>0</v>
      </c>
      <c r="I8" s="560">
        <f>SUM(I9:I10)</f>
        <v>0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0</v>
      </c>
    </row>
    <row r="9" spans="1:20" outlineLevel="1" x14ac:dyDescent="0.35">
      <c r="A9" s="556" t="s">
        <v>996</v>
      </c>
      <c r="C9" s="561">
        <v>0</v>
      </c>
      <c r="D9" s="561">
        <v>0</v>
      </c>
      <c r="E9" s="561">
        <v>0</v>
      </c>
      <c r="F9" s="561">
        <v>0</v>
      </c>
      <c r="G9" s="561">
        <v>0</v>
      </c>
      <c r="H9" s="561">
        <v>0</v>
      </c>
      <c r="I9" s="561">
        <v>0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0</v>
      </c>
    </row>
    <row r="10" spans="1:20" outlineLevel="1" x14ac:dyDescent="0.35">
      <c r="A10" s="556" t="s">
        <v>997</v>
      </c>
      <c r="C10" s="561">
        <v>0</v>
      </c>
      <c r="D10" s="561">
        <v>0</v>
      </c>
      <c r="E10" s="561">
        <v>0</v>
      </c>
      <c r="F10" s="561">
        <v>0</v>
      </c>
      <c r="G10" s="561">
        <v>0</v>
      </c>
      <c r="H10" s="561">
        <v>0</v>
      </c>
      <c r="I10" s="561">
        <v>0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0</v>
      </c>
    </row>
    <row r="11" spans="1:20" x14ac:dyDescent="0.35">
      <c r="A11" s="555" t="s">
        <v>248</v>
      </c>
      <c r="C11" s="560">
        <v>0</v>
      </c>
      <c r="D11" s="560">
        <v>0</v>
      </c>
      <c r="E11" s="560">
        <v>0</v>
      </c>
      <c r="F11" s="560">
        <v>0</v>
      </c>
      <c r="G11" s="560">
        <v>0</v>
      </c>
      <c r="H11" s="560">
        <v>0</v>
      </c>
      <c r="I11" s="560">
        <v>0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0</v>
      </c>
    </row>
    <row r="12" spans="1:20" x14ac:dyDescent="0.35">
      <c r="A12" s="555" t="s">
        <v>252</v>
      </c>
      <c r="C12" s="560">
        <v>0</v>
      </c>
      <c r="D12" s="560">
        <v>0</v>
      </c>
      <c r="E12" s="560">
        <v>0</v>
      </c>
      <c r="F12" s="560">
        <v>0</v>
      </c>
      <c r="G12" s="560">
        <v>0</v>
      </c>
      <c r="H12" s="560">
        <v>0</v>
      </c>
      <c r="I12" s="560">
        <v>0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0</v>
      </c>
    </row>
    <row r="13" spans="1:20" x14ac:dyDescent="0.35">
      <c r="A13" s="555" t="s">
        <v>249</v>
      </c>
      <c r="C13" s="560">
        <v>0</v>
      </c>
      <c r="D13" s="560">
        <v>0</v>
      </c>
      <c r="E13" s="560">
        <v>0</v>
      </c>
      <c r="F13" s="560">
        <v>0</v>
      </c>
      <c r="G13" s="560">
        <v>0</v>
      </c>
      <c r="H13" s="560">
        <v>0</v>
      </c>
      <c r="I13" s="560">
        <v>0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0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>
        <v>0</v>
      </c>
      <c r="D15" s="560">
        <v>0</v>
      </c>
      <c r="E15" s="560">
        <v>0</v>
      </c>
      <c r="F15" s="560">
        <v>0</v>
      </c>
      <c r="G15" s="560">
        <v>0</v>
      </c>
      <c r="H15" s="560">
        <v>0</v>
      </c>
      <c r="I15" s="560">
        <v>0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0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0</v>
      </c>
      <c r="F16" s="560">
        <v>0</v>
      </c>
      <c r="G16" s="560">
        <v>0</v>
      </c>
      <c r="H16" s="560">
        <v>0</v>
      </c>
      <c r="I16" s="560">
        <v>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0</v>
      </c>
    </row>
    <row r="17" spans="1:20" x14ac:dyDescent="0.35">
      <c r="A17" s="555" t="s">
        <v>254</v>
      </c>
      <c r="C17" s="560">
        <f t="shared" ref="C17:H17" si="4">SUM(C18:C25)</f>
        <v>0</v>
      </c>
      <c r="D17" s="560">
        <f t="shared" si="4"/>
        <v>0</v>
      </c>
      <c r="E17" s="560">
        <f t="shared" si="4"/>
        <v>0</v>
      </c>
      <c r="F17" s="560">
        <f t="shared" si="4"/>
        <v>0</v>
      </c>
      <c r="G17" s="560">
        <f t="shared" si="4"/>
        <v>0</v>
      </c>
      <c r="H17" s="560">
        <f t="shared" si="4"/>
        <v>0</v>
      </c>
      <c r="I17" s="560">
        <f>SUM(I18:I25)</f>
        <v>0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0</v>
      </c>
    </row>
    <row r="18" spans="1:20" outlineLevel="1" x14ac:dyDescent="0.35">
      <c r="A18" s="556" t="s">
        <v>999</v>
      </c>
      <c r="C18" s="561">
        <v>0</v>
      </c>
      <c r="D18" s="561">
        <v>0</v>
      </c>
      <c r="E18" s="561">
        <v>0</v>
      </c>
      <c r="F18" s="561">
        <v>0</v>
      </c>
      <c r="G18" s="561">
        <v>0</v>
      </c>
      <c r="H18" s="561">
        <v>0</v>
      </c>
      <c r="I18" s="561">
        <v>0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0</v>
      </c>
    </row>
    <row r="19" spans="1:20" outlineLevel="1" x14ac:dyDescent="0.35">
      <c r="A19" s="556" t="s">
        <v>1000</v>
      </c>
      <c r="C19" s="561">
        <v>0</v>
      </c>
      <c r="D19" s="561">
        <v>0</v>
      </c>
      <c r="E19" s="561">
        <v>0</v>
      </c>
      <c r="F19" s="561">
        <v>0</v>
      </c>
      <c r="G19" s="561">
        <v>0</v>
      </c>
      <c r="H19" s="561">
        <v>0</v>
      </c>
      <c r="I19" s="561">
        <v>0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0</v>
      </c>
    </row>
    <row r="20" spans="1:20" outlineLevel="1" x14ac:dyDescent="0.35">
      <c r="A20" s="556" t="s">
        <v>1001</v>
      </c>
      <c r="C20" s="561">
        <v>0</v>
      </c>
      <c r="D20" s="561">
        <v>0</v>
      </c>
      <c r="E20" s="561">
        <v>0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>
        <v>0</v>
      </c>
      <c r="D21" s="561">
        <v>0</v>
      </c>
      <c r="E21" s="561">
        <v>0</v>
      </c>
      <c r="F21" s="561">
        <v>0</v>
      </c>
      <c r="G21" s="561">
        <v>0</v>
      </c>
      <c r="H21" s="561">
        <v>0</v>
      </c>
      <c r="I21" s="561">
        <v>0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0</v>
      </c>
    </row>
    <row r="22" spans="1:20" outlineLevel="1" x14ac:dyDescent="0.35">
      <c r="A22" s="556" t="s">
        <v>1003</v>
      </c>
      <c r="C22" s="561">
        <v>0</v>
      </c>
      <c r="D22" s="561">
        <v>0</v>
      </c>
      <c r="E22" s="561">
        <v>0</v>
      </c>
      <c r="F22" s="561">
        <v>0</v>
      </c>
      <c r="G22" s="561">
        <v>0</v>
      </c>
      <c r="H22" s="561">
        <v>0</v>
      </c>
      <c r="I22" s="561">
        <v>0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0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0</v>
      </c>
      <c r="F24" s="561">
        <v>0</v>
      </c>
      <c r="G24" s="561">
        <v>0</v>
      </c>
      <c r="H24" s="561">
        <v>0</v>
      </c>
      <c r="I24" s="561">
        <v>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0</v>
      </c>
    </row>
    <row r="25" spans="1:20" outlineLevel="1" x14ac:dyDescent="0.35">
      <c r="A25" s="556" t="s">
        <v>254</v>
      </c>
      <c r="C25" s="561">
        <v>0</v>
      </c>
      <c r="D25" s="561">
        <v>0</v>
      </c>
      <c r="E25" s="561">
        <v>0</v>
      </c>
      <c r="F25" s="561">
        <v>0</v>
      </c>
      <c r="G25" s="561">
        <v>0</v>
      </c>
      <c r="H25" s="561">
        <v>0</v>
      </c>
      <c r="I25" s="561">
        <v>0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0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0</v>
      </c>
      <c r="D27" s="558">
        <f t="shared" si="6"/>
        <v>0</v>
      </c>
      <c r="E27" s="558">
        <f t="shared" si="6"/>
        <v>0</v>
      </c>
      <c r="F27" s="558">
        <f t="shared" si="6"/>
        <v>0</v>
      </c>
      <c r="G27" s="558">
        <f t="shared" si="6"/>
        <v>0</v>
      </c>
      <c r="H27" s="558">
        <f t="shared" si="6"/>
        <v>0</v>
      </c>
      <c r="I27" s="558">
        <f>SUM(I29:I37)</f>
        <v>0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0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0</v>
      </c>
      <c r="D29" s="561">
        <v>0</v>
      </c>
      <c r="E29" s="561">
        <v>0</v>
      </c>
      <c r="F29" s="561">
        <v>0</v>
      </c>
      <c r="G29" s="561">
        <v>0</v>
      </c>
      <c r="H29" s="561">
        <v>0</v>
      </c>
      <c r="I29" s="561">
        <v>0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0</v>
      </c>
    </row>
    <row r="30" spans="1:20" outlineLevel="1" x14ac:dyDescent="0.35">
      <c r="A30" s="556" t="s">
        <v>1007</v>
      </c>
      <c r="C30" s="561">
        <v>0</v>
      </c>
      <c r="D30" s="561">
        <v>0</v>
      </c>
      <c r="E30" s="561">
        <v>0</v>
      </c>
      <c r="F30" s="561">
        <v>0</v>
      </c>
      <c r="G30" s="561">
        <v>0</v>
      </c>
      <c r="H30" s="561">
        <v>0</v>
      </c>
      <c r="I30" s="561">
        <v>0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0</v>
      </c>
    </row>
    <row r="31" spans="1:20" outlineLevel="1" x14ac:dyDescent="0.35">
      <c r="A31" s="556" t="s">
        <v>1008</v>
      </c>
      <c r="C31" s="561">
        <v>0</v>
      </c>
      <c r="D31" s="561">
        <v>0</v>
      </c>
      <c r="E31" s="561">
        <v>0</v>
      </c>
      <c r="F31" s="561">
        <v>0</v>
      </c>
      <c r="G31" s="561">
        <v>0</v>
      </c>
      <c r="H31" s="561">
        <v>0</v>
      </c>
      <c r="I31" s="561">
        <v>0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0</v>
      </c>
    </row>
    <row r="32" spans="1:20" outlineLevel="1" x14ac:dyDescent="0.35">
      <c r="A32" s="556" t="s">
        <v>1009</v>
      </c>
      <c r="C32" s="561">
        <v>0</v>
      </c>
      <c r="D32" s="561">
        <v>0</v>
      </c>
      <c r="E32" s="561">
        <v>0</v>
      </c>
      <c r="F32" s="561">
        <v>0</v>
      </c>
      <c r="G32" s="561">
        <v>0</v>
      </c>
      <c r="H32" s="561">
        <v>0</v>
      </c>
      <c r="I32" s="561">
        <v>0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0</v>
      </c>
    </row>
    <row r="33" spans="1:20" outlineLevel="1" x14ac:dyDescent="0.35">
      <c r="A33" s="556" t="s">
        <v>1010</v>
      </c>
      <c r="C33" s="561">
        <v>0</v>
      </c>
      <c r="D33" s="561">
        <v>0</v>
      </c>
      <c r="E33" s="561">
        <v>0</v>
      </c>
      <c r="F33" s="561">
        <v>0</v>
      </c>
      <c r="G33" s="561">
        <v>0</v>
      </c>
      <c r="H33" s="561">
        <v>0</v>
      </c>
      <c r="I33" s="561">
        <v>0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0</v>
      </c>
    </row>
    <row r="34" spans="1:20" outlineLevel="1" x14ac:dyDescent="0.35">
      <c r="A34" s="556" t="s">
        <v>1011</v>
      </c>
      <c r="C34" s="561">
        <v>0</v>
      </c>
      <c r="D34" s="561">
        <v>0</v>
      </c>
      <c r="E34" s="561">
        <v>0</v>
      </c>
      <c r="F34" s="561">
        <v>0</v>
      </c>
      <c r="G34" s="561">
        <v>0</v>
      </c>
      <c r="H34" s="561">
        <v>0</v>
      </c>
      <c r="I34" s="561">
        <v>0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0</v>
      </c>
    </row>
    <row r="35" spans="1:20" outlineLevel="1" x14ac:dyDescent="0.35">
      <c r="A35" s="556" t="s">
        <v>1012</v>
      </c>
      <c r="C35" s="561">
        <v>0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0</v>
      </c>
    </row>
    <row r="36" spans="1:20" outlineLevel="1" x14ac:dyDescent="0.35">
      <c r="A36" s="556" t="s">
        <v>1013</v>
      </c>
      <c r="C36" s="561">
        <v>0</v>
      </c>
      <c r="D36" s="561">
        <v>0</v>
      </c>
      <c r="E36" s="561">
        <v>0</v>
      </c>
      <c r="F36" s="561">
        <v>0</v>
      </c>
      <c r="G36" s="561">
        <v>0</v>
      </c>
      <c r="H36" s="561">
        <v>0</v>
      </c>
      <c r="I36" s="561">
        <v>0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0</v>
      </c>
    </row>
    <row r="37" spans="1:20" outlineLevel="1" x14ac:dyDescent="0.35">
      <c r="A37" s="556" t="s">
        <v>270</v>
      </c>
      <c r="C37" s="561">
        <v>0</v>
      </c>
      <c r="D37" s="561">
        <v>0</v>
      </c>
      <c r="E37" s="561">
        <v>0</v>
      </c>
      <c r="F37" s="561">
        <v>0</v>
      </c>
      <c r="G37" s="561">
        <v>0</v>
      </c>
      <c r="H37" s="561">
        <v>0</v>
      </c>
      <c r="I37" s="561">
        <v>0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0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0</v>
      </c>
      <c r="D39" s="558">
        <f t="shared" si="8"/>
        <v>0</v>
      </c>
      <c r="E39" s="558">
        <f t="shared" si="8"/>
        <v>0</v>
      </c>
      <c r="F39" s="558">
        <f t="shared" si="8"/>
        <v>0</v>
      </c>
      <c r="G39" s="558">
        <f t="shared" si="8"/>
        <v>0</v>
      </c>
      <c r="H39" s="558">
        <f t="shared" si="8"/>
        <v>0</v>
      </c>
      <c r="I39" s="558">
        <f>I27+I6</f>
        <v>0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0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0</v>
      </c>
      <c r="D41" s="562">
        <f t="shared" si="9"/>
        <v>0</v>
      </c>
      <c r="E41" s="562">
        <f t="shared" si="9"/>
        <v>0</v>
      </c>
      <c r="F41" s="562">
        <f t="shared" si="9"/>
        <v>0</v>
      </c>
      <c r="G41" s="562">
        <f t="shared" si="9"/>
        <v>0</v>
      </c>
      <c r="H41" s="562">
        <f t="shared" si="9"/>
        <v>0</v>
      </c>
      <c r="I41" s="562">
        <f>SUM(I43:I48)</f>
        <v>0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0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0</v>
      </c>
      <c r="D43" s="560">
        <v>0</v>
      </c>
      <c r="E43" s="560">
        <v>0</v>
      </c>
      <c r="F43" s="560">
        <v>0</v>
      </c>
      <c r="G43" s="560">
        <v>0</v>
      </c>
      <c r="H43" s="560">
        <v>0</v>
      </c>
      <c r="I43" s="560">
        <v>0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0</v>
      </c>
    </row>
    <row r="44" spans="1:20" x14ac:dyDescent="0.35">
      <c r="A44" s="555" t="s">
        <v>1016</v>
      </c>
      <c r="C44" s="560">
        <v>0</v>
      </c>
      <c r="D44" s="560">
        <v>0</v>
      </c>
      <c r="E44" s="560">
        <v>0</v>
      </c>
      <c r="F44" s="560">
        <v>0</v>
      </c>
      <c r="G44" s="560">
        <v>0</v>
      </c>
      <c r="H44" s="560">
        <v>0</v>
      </c>
      <c r="I44" s="560">
        <v>0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0</v>
      </c>
    </row>
    <row r="45" spans="1:20" x14ac:dyDescent="0.35">
      <c r="A45" s="555" t="s">
        <v>312</v>
      </c>
      <c r="C45" s="560">
        <v>0</v>
      </c>
      <c r="D45" s="560">
        <v>0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>
        <v>0</v>
      </c>
      <c r="D46" s="560">
        <v>0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0</v>
      </c>
      <c r="D48" s="560">
        <f t="shared" si="11"/>
        <v>0</v>
      </c>
      <c r="E48" s="560">
        <f t="shared" si="11"/>
        <v>0</v>
      </c>
      <c r="F48" s="560">
        <f t="shared" si="11"/>
        <v>0</v>
      </c>
      <c r="G48" s="560">
        <f t="shared" si="11"/>
        <v>0</v>
      </c>
      <c r="H48" s="560">
        <f t="shared" si="11"/>
        <v>0</v>
      </c>
      <c r="I48" s="560">
        <f>SUM(I49:I55)</f>
        <v>0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0</v>
      </c>
    </row>
    <row r="49" spans="1:20" outlineLevel="1" x14ac:dyDescent="0.35">
      <c r="A49" s="556" t="s">
        <v>1019</v>
      </c>
      <c r="C49" s="561">
        <v>0</v>
      </c>
      <c r="D49" s="561">
        <v>0</v>
      </c>
      <c r="E49" s="561">
        <v>0</v>
      </c>
      <c r="F49" s="561">
        <v>0</v>
      </c>
      <c r="G49" s="561">
        <v>0</v>
      </c>
      <c r="H49" s="561">
        <v>0</v>
      </c>
      <c r="I49" s="561">
        <v>0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0</v>
      </c>
    </row>
    <row r="50" spans="1:20" outlineLevel="1" x14ac:dyDescent="0.35">
      <c r="A50" s="556" t="s">
        <v>1020</v>
      </c>
      <c r="C50" s="561">
        <v>0</v>
      </c>
      <c r="D50" s="561">
        <v>0</v>
      </c>
      <c r="E50" s="561">
        <v>0</v>
      </c>
      <c r="F50" s="561">
        <v>0</v>
      </c>
      <c r="G50" s="561">
        <v>0</v>
      </c>
      <c r="H50" s="561">
        <v>0</v>
      </c>
      <c r="I50" s="561">
        <v>0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0</v>
      </c>
    </row>
    <row r="51" spans="1:20" outlineLevel="1" x14ac:dyDescent="0.35">
      <c r="A51" s="556" t="s">
        <v>1021</v>
      </c>
      <c r="C51" s="561">
        <v>0</v>
      </c>
      <c r="D51" s="561">
        <v>0</v>
      </c>
      <c r="E51" s="561">
        <v>0</v>
      </c>
      <c r="F51" s="561">
        <v>0</v>
      </c>
      <c r="G51" s="561">
        <v>0</v>
      </c>
      <c r="H51" s="561">
        <v>0</v>
      </c>
      <c r="I51" s="561">
        <v>0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0</v>
      </c>
    </row>
    <row r="52" spans="1:20" outlineLevel="1" x14ac:dyDescent="0.35">
      <c r="A52" s="556" t="s">
        <v>1022</v>
      </c>
      <c r="C52" s="561">
        <v>0</v>
      </c>
      <c r="D52" s="561">
        <v>0</v>
      </c>
      <c r="E52" s="561">
        <v>0</v>
      </c>
      <c r="F52" s="561">
        <v>0</v>
      </c>
      <c r="G52" s="561">
        <v>0</v>
      </c>
      <c r="H52" s="561">
        <v>0</v>
      </c>
      <c r="I52" s="561">
        <v>0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0</v>
      </c>
    </row>
    <row r="53" spans="1:20" outlineLevel="1" x14ac:dyDescent="0.35">
      <c r="A53" s="556" t="s">
        <v>1023</v>
      </c>
      <c r="C53" s="561">
        <v>0</v>
      </c>
      <c r="D53" s="561">
        <v>0</v>
      </c>
      <c r="E53" s="561">
        <v>0</v>
      </c>
      <c r="F53" s="561">
        <v>0</v>
      </c>
      <c r="G53" s="561">
        <v>0</v>
      </c>
      <c r="H53" s="561">
        <v>0</v>
      </c>
      <c r="I53" s="561">
        <v>0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0</v>
      </c>
    </row>
    <row r="54" spans="1:20" outlineLevel="1" x14ac:dyDescent="0.35">
      <c r="A54" s="556" t="s">
        <v>1024</v>
      </c>
      <c r="C54" s="561">
        <v>0</v>
      </c>
      <c r="D54" s="561">
        <v>0</v>
      </c>
      <c r="E54" s="561">
        <v>0</v>
      </c>
      <c r="F54" s="561">
        <v>0</v>
      </c>
      <c r="G54" s="561">
        <v>0</v>
      </c>
      <c r="H54" s="561">
        <v>0</v>
      </c>
      <c r="I54" s="561">
        <v>0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0</v>
      </c>
    </row>
    <row r="55" spans="1:20" outlineLevel="1" x14ac:dyDescent="0.35">
      <c r="A55" s="556" t="s">
        <v>1025</v>
      </c>
      <c r="C55" s="561">
        <v>0</v>
      </c>
      <c r="D55" s="561">
        <v>0</v>
      </c>
      <c r="E55" s="561">
        <v>0</v>
      </c>
      <c r="F55" s="561">
        <v>0</v>
      </c>
      <c r="G55" s="561">
        <v>0</v>
      </c>
      <c r="H55" s="561">
        <v>0</v>
      </c>
      <c r="I55" s="561">
        <v>0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0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0</v>
      </c>
      <c r="D57" s="558">
        <f t="shared" si="13"/>
        <v>0</v>
      </c>
      <c r="E57" s="558">
        <f t="shared" si="13"/>
        <v>0</v>
      </c>
      <c r="F57" s="558">
        <f t="shared" si="13"/>
        <v>0</v>
      </c>
      <c r="G57" s="558">
        <f t="shared" si="13"/>
        <v>0</v>
      </c>
      <c r="H57" s="558">
        <f t="shared" si="13"/>
        <v>0</v>
      </c>
      <c r="I57" s="558">
        <f>I39+I41</f>
        <v>0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0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626795</v>
      </c>
      <c r="D59" s="562">
        <f t="shared" si="14"/>
        <v>605786</v>
      </c>
      <c r="E59" s="562">
        <f t="shared" si="14"/>
        <v>1174785</v>
      </c>
      <c r="F59" s="562">
        <f t="shared" si="14"/>
        <v>1691380</v>
      </c>
      <c r="G59" s="562">
        <f t="shared" si="14"/>
        <v>477573</v>
      </c>
      <c r="H59" s="562">
        <f t="shared" si="14"/>
        <v>1095701</v>
      </c>
      <c r="I59" s="562">
        <f>I61+I67+I68+I77+I78</f>
        <v>1989970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894269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0</v>
      </c>
      <c r="D61" s="560">
        <f t="shared" si="15"/>
        <v>0</v>
      </c>
      <c r="E61" s="560">
        <f t="shared" si="15"/>
        <v>0</v>
      </c>
      <c r="F61" s="560">
        <f t="shared" si="15"/>
        <v>0</v>
      </c>
      <c r="G61" s="560">
        <f t="shared" si="15"/>
        <v>0</v>
      </c>
      <c r="H61" s="560">
        <f t="shared" si="15"/>
        <v>0</v>
      </c>
      <c r="I61" s="560">
        <f>SUM(I62:I66)</f>
        <v>0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0</v>
      </c>
    </row>
    <row r="62" spans="1:20" outlineLevel="1" x14ac:dyDescent="0.35">
      <c r="A62" s="556" t="s">
        <v>1029</v>
      </c>
      <c r="C62" s="561">
        <v>0</v>
      </c>
      <c r="D62" s="561">
        <v>0</v>
      </c>
      <c r="E62" s="561">
        <v>0</v>
      </c>
      <c r="F62" s="561">
        <v>0</v>
      </c>
      <c r="G62" s="561">
        <v>0</v>
      </c>
      <c r="H62" s="561">
        <v>0</v>
      </c>
      <c r="I62" s="561">
        <v>0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0</v>
      </c>
    </row>
    <row r="63" spans="1:20" outlineLevel="1" x14ac:dyDescent="0.35">
      <c r="A63" s="556" t="s">
        <v>1030</v>
      </c>
      <c r="C63" s="561">
        <v>0</v>
      </c>
      <c r="D63" s="561">
        <v>0</v>
      </c>
      <c r="E63" s="561">
        <v>0</v>
      </c>
      <c r="F63" s="561">
        <v>0</v>
      </c>
      <c r="G63" s="561">
        <v>0</v>
      </c>
      <c r="H63" s="561">
        <v>0</v>
      </c>
      <c r="I63" s="561">
        <v>0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0</v>
      </c>
    </row>
    <row r="64" spans="1:20" outlineLevel="1" x14ac:dyDescent="0.35">
      <c r="A64" s="556" t="s">
        <v>1031</v>
      </c>
      <c r="C64" s="561">
        <v>0</v>
      </c>
      <c r="D64" s="561">
        <v>0</v>
      </c>
      <c r="E64" s="561">
        <v>0</v>
      </c>
      <c r="F64" s="561">
        <v>0</v>
      </c>
      <c r="G64" s="561">
        <v>0</v>
      </c>
      <c r="H64" s="561">
        <v>0</v>
      </c>
      <c r="I64" s="561">
        <v>0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0</v>
      </c>
    </row>
    <row r="65" spans="1:20" outlineLevel="1" x14ac:dyDescent="0.35">
      <c r="A65" s="556" t="s">
        <v>1032</v>
      </c>
      <c r="C65" s="561">
        <v>0</v>
      </c>
      <c r="D65" s="561">
        <v>0</v>
      </c>
      <c r="E65" s="561">
        <v>0</v>
      </c>
      <c r="F65" s="561">
        <v>0</v>
      </c>
      <c r="G65" s="561">
        <v>0</v>
      </c>
      <c r="H65" s="561">
        <v>0</v>
      </c>
      <c r="I65" s="561">
        <v>0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0</v>
      </c>
    </row>
    <row r="66" spans="1:20" outlineLevel="1" x14ac:dyDescent="0.35">
      <c r="A66" s="556" t="s">
        <v>1033</v>
      </c>
      <c r="C66" s="561">
        <v>0</v>
      </c>
      <c r="D66" s="561">
        <v>0</v>
      </c>
      <c r="E66" s="561">
        <v>0</v>
      </c>
      <c r="F66" s="561">
        <v>0</v>
      </c>
      <c r="G66" s="561">
        <v>0</v>
      </c>
      <c r="H66" s="561">
        <v>0</v>
      </c>
      <c r="I66" s="561">
        <v>0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0</v>
      </c>
    </row>
    <row r="67" spans="1:20" x14ac:dyDescent="0.35">
      <c r="A67" s="555" t="s">
        <v>1034</v>
      </c>
      <c r="C67" s="563">
        <v>0</v>
      </c>
      <c r="D67" s="563">
        <v>0</v>
      </c>
      <c r="E67" s="563">
        <v>0</v>
      </c>
      <c r="F67" s="563">
        <v>0</v>
      </c>
      <c r="G67" s="563">
        <v>0</v>
      </c>
      <c r="H67" s="563">
        <v>0</v>
      </c>
      <c r="I67" s="563">
        <v>0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0</v>
      </c>
    </row>
    <row r="68" spans="1:20" x14ac:dyDescent="0.35">
      <c r="A68" s="555" t="s">
        <v>1035</v>
      </c>
      <c r="C68" s="560">
        <f t="shared" ref="C68:H68" si="17">SUM(C69:C76)</f>
        <v>-51794</v>
      </c>
      <c r="D68" s="560">
        <f t="shared" si="17"/>
        <v>-92169</v>
      </c>
      <c r="E68" s="560">
        <f t="shared" si="17"/>
        <v>-129967</v>
      </c>
      <c r="F68" s="560">
        <f t="shared" si="17"/>
        <v>-168895</v>
      </c>
      <c r="G68" s="560">
        <f t="shared" si="17"/>
        <v>-39673</v>
      </c>
      <c r="H68" s="560">
        <f t="shared" si="17"/>
        <v>-67224</v>
      </c>
      <c r="I68" s="560">
        <f>SUM(I69:I76)</f>
        <v>-99181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-31957</v>
      </c>
    </row>
    <row r="69" spans="1:20" outlineLevel="1" x14ac:dyDescent="0.35">
      <c r="A69" s="556" t="s">
        <v>1036</v>
      </c>
      <c r="C69" s="561">
        <v>-6300</v>
      </c>
      <c r="D69" s="561">
        <v>-12272</v>
      </c>
      <c r="E69" s="561">
        <v>-18831</v>
      </c>
      <c r="F69" s="561">
        <v>-25084</v>
      </c>
      <c r="G69" s="561">
        <v>-6335</v>
      </c>
      <c r="H69" s="561">
        <v>-14392</v>
      </c>
      <c r="I69" s="561">
        <v>-23668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-9276</v>
      </c>
    </row>
    <row r="70" spans="1:20" outlineLevel="1" x14ac:dyDescent="0.35">
      <c r="A70" s="556" t="s">
        <v>1037</v>
      </c>
      <c r="C70" s="561">
        <v>-32</v>
      </c>
      <c r="D70" s="561">
        <v>-74</v>
      </c>
      <c r="E70" s="561">
        <v>-126</v>
      </c>
      <c r="F70" s="561">
        <v>-211</v>
      </c>
      <c r="G70" s="561">
        <v>-93</v>
      </c>
      <c r="H70" s="561">
        <v>-170</v>
      </c>
      <c r="I70" s="561">
        <v>-214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-44</v>
      </c>
    </row>
    <row r="71" spans="1:20" outlineLevel="1" x14ac:dyDescent="0.35">
      <c r="A71" s="556" t="s">
        <v>1038</v>
      </c>
      <c r="C71" s="561">
        <v>-19753</v>
      </c>
      <c r="D71" s="561">
        <v>-29616</v>
      </c>
      <c r="E71" s="561">
        <v>-37511</v>
      </c>
      <c r="F71" s="561">
        <v>-45142</v>
      </c>
      <c r="G71" s="561">
        <v>-11602</v>
      </c>
      <c r="H71" s="561">
        <v>-20026</v>
      </c>
      <c r="I71" s="561">
        <v>-26334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-6308</v>
      </c>
    </row>
    <row r="72" spans="1:20" outlineLevel="1" x14ac:dyDescent="0.35">
      <c r="A72" s="556" t="s">
        <v>1039</v>
      </c>
      <c r="C72" s="561">
        <v>24</v>
      </c>
      <c r="D72" s="561">
        <v>21</v>
      </c>
      <c r="E72" s="561">
        <v>-72</v>
      </c>
      <c r="F72" s="561">
        <v>-72</v>
      </c>
      <c r="G72" s="561">
        <v>0</v>
      </c>
      <c r="H72" s="561">
        <v>-2</v>
      </c>
      <c r="I72" s="561">
        <v>-31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-29</v>
      </c>
    </row>
    <row r="73" spans="1:20" outlineLevel="1" x14ac:dyDescent="0.35">
      <c r="A73" s="556" t="s">
        <v>1040</v>
      </c>
      <c r="C73" s="561">
        <v>-1396</v>
      </c>
      <c r="D73" s="561">
        <v>-1561</v>
      </c>
      <c r="E73" s="561">
        <v>-433</v>
      </c>
      <c r="F73" s="561">
        <v>-1065</v>
      </c>
      <c r="G73" s="561">
        <v>-1831</v>
      </c>
      <c r="H73" s="561">
        <v>-2042</v>
      </c>
      <c r="I73" s="561">
        <v>-7562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-5520</v>
      </c>
    </row>
    <row r="74" spans="1:20" outlineLevel="1" x14ac:dyDescent="0.35">
      <c r="A74" s="556" t="s">
        <v>1041</v>
      </c>
      <c r="C74" s="561">
        <v>0</v>
      </c>
      <c r="D74" s="561">
        <v>0</v>
      </c>
      <c r="E74" s="561">
        <v>0</v>
      </c>
      <c r="F74" s="561">
        <v>0</v>
      </c>
      <c r="G74" s="561">
        <v>0</v>
      </c>
      <c r="H74" s="561">
        <v>0</v>
      </c>
      <c r="I74" s="561">
        <v>0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0</v>
      </c>
    </row>
    <row r="75" spans="1:20" outlineLevel="1" x14ac:dyDescent="0.35">
      <c r="A75" s="556" t="s">
        <v>1042</v>
      </c>
      <c r="C75" s="561">
        <v>-59</v>
      </c>
      <c r="D75" s="561">
        <v>-77</v>
      </c>
      <c r="E75" s="561">
        <v>-95</v>
      </c>
      <c r="F75" s="561">
        <v>-113</v>
      </c>
      <c r="G75" s="561">
        <v>-18</v>
      </c>
      <c r="H75" s="561">
        <v>-36</v>
      </c>
      <c r="I75" s="561">
        <v>-54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-18</v>
      </c>
    </row>
    <row r="76" spans="1:20" outlineLevel="1" x14ac:dyDescent="0.35">
      <c r="A76" s="556" t="s">
        <v>1043</v>
      </c>
      <c r="C76" s="561">
        <v>-24278</v>
      </c>
      <c r="D76" s="561">
        <v>-48590</v>
      </c>
      <c r="E76" s="561">
        <v>-72899</v>
      </c>
      <c r="F76" s="561">
        <v>-97208</v>
      </c>
      <c r="G76" s="561">
        <v>-19794</v>
      </c>
      <c r="H76" s="561">
        <v>-30556</v>
      </c>
      <c r="I76" s="561">
        <v>-41318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-10762</v>
      </c>
    </row>
    <row r="77" spans="1:20" x14ac:dyDescent="0.35">
      <c r="A77" s="555" t="s">
        <v>1044</v>
      </c>
      <c r="C77" s="560">
        <v>678638</v>
      </c>
      <c r="D77" s="560">
        <v>734570</v>
      </c>
      <c r="E77" s="560">
        <v>1339376</v>
      </c>
      <c r="F77" s="560">
        <v>1894989</v>
      </c>
      <c r="G77" s="560">
        <v>517741</v>
      </c>
      <c r="H77" s="560">
        <v>1163559</v>
      </c>
      <c r="I77" s="560">
        <v>2089924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926365</v>
      </c>
    </row>
    <row r="78" spans="1:20" x14ac:dyDescent="0.35">
      <c r="A78" s="555" t="s">
        <v>1045</v>
      </c>
      <c r="C78" s="560">
        <f t="shared" ref="C78:H78" si="19">SUM(C79:C80)</f>
        <v>-49</v>
      </c>
      <c r="D78" s="560">
        <f t="shared" si="19"/>
        <v>-36615</v>
      </c>
      <c r="E78" s="560">
        <f t="shared" si="19"/>
        <v>-34624</v>
      </c>
      <c r="F78" s="560">
        <f t="shared" si="19"/>
        <v>-34714</v>
      </c>
      <c r="G78" s="560">
        <f t="shared" si="19"/>
        <v>-495</v>
      </c>
      <c r="H78" s="560">
        <f t="shared" si="19"/>
        <v>-634</v>
      </c>
      <c r="I78" s="560">
        <f>SUM(I79:I80)</f>
        <v>-773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-139</v>
      </c>
    </row>
    <row r="79" spans="1:20" outlineLevel="1" x14ac:dyDescent="0.35">
      <c r="A79" s="556" t="s">
        <v>1046</v>
      </c>
      <c r="C79" s="561">
        <v>-49</v>
      </c>
      <c r="D79" s="561">
        <v>-36632</v>
      </c>
      <c r="E79" s="561">
        <v>-34641</v>
      </c>
      <c r="F79" s="561">
        <v>-34731</v>
      </c>
      <c r="G79" s="561">
        <v>-495</v>
      </c>
      <c r="H79" s="561">
        <v>-634</v>
      </c>
      <c r="I79" s="561">
        <v>-773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-139</v>
      </c>
    </row>
    <row r="80" spans="1:20" outlineLevel="1" x14ac:dyDescent="0.35">
      <c r="A80" s="556" t="s">
        <v>1047</v>
      </c>
      <c r="C80" s="561">
        <v>0</v>
      </c>
      <c r="D80" s="561">
        <v>17</v>
      </c>
      <c r="E80" s="561">
        <v>17</v>
      </c>
      <c r="F80" s="561">
        <v>17</v>
      </c>
      <c r="G80" s="561">
        <v>0</v>
      </c>
      <c r="H80" s="561">
        <v>0</v>
      </c>
      <c r="I80" s="561">
        <v>0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0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651132</v>
      </c>
      <c r="D82" s="558">
        <f t="shared" si="21"/>
        <v>654453</v>
      </c>
      <c r="E82" s="558">
        <f t="shared" si="21"/>
        <v>1247779</v>
      </c>
      <c r="F82" s="558">
        <f t="shared" si="21"/>
        <v>1788701</v>
      </c>
      <c r="G82" s="558">
        <f t="shared" si="21"/>
        <v>497385</v>
      </c>
      <c r="H82" s="558">
        <f t="shared" si="21"/>
        <v>1126293</v>
      </c>
      <c r="I82" s="558">
        <f>I84-I75-I52-I76</f>
        <v>2031342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905049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626795</v>
      </c>
      <c r="D84" s="558">
        <f t="shared" si="22"/>
        <v>605786</v>
      </c>
      <c r="E84" s="558">
        <f t="shared" si="22"/>
        <v>1174785</v>
      </c>
      <c r="F84" s="558">
        <f t="shared" si="22"/>
        <v>1691380</v>
      </c>
      <c r="G84" s="558">
        <f t="shared" si="22"/>
        <v>477573</v>
      </c>
      <c r="H84" s="558">
        <f t="shared" si="22"/>
        <v>1095701</v>
      </c>
      <c r="I84" s="558">
        <f>I57+I59</f>
        <v>1989970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894269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-33375</v>
      </c>
      <c r="D86" s="558">
        <f t="shared" si="23"/>
        <v>-120987</v>
      </c>
      <c r="E86" s="558">
        <f t="shared" si="23"/>
        <v>-220571</v>
      </c>
      <c r="F86" s="558">
        <f t="shared" si="23"/>
        <v>-258951</v>
      </c>
      <c r="G86" s="558">
        <f t="shared" si="23"/>
        <v>-414419</v>
      </c>
      <c r="H86" s="558">
        <f t="shared" si="23"/>
        <v>-532562</v>
      </c>
      <c r="I86" s="558">
        <f>I88+I97</f>
        <v>-725423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-192861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106479</v>
      </c>
      <c r="D88" s="562">
        <f t="shared" si="24"/>
        <v>168938</v>
      </c>
      <c r="E88" s="562">
        <f t="shared" si="24"/>
        <v>237812</v>
      </c>
      <c r="F88" s="562">
        <f t="shared" si="24"/>
        <v>364627</v>
      </c>
      <c r="G88" s="562">
        <f t="shared" si="24"/>
        <v>115928</v>
      </c>
      <c r="H88" s="562">
        <f t="shared" si="24"/>
        <v>210851</v>
      </c>
      <c r="I88" s="562">
        <f>SUM(I89:I96)</f>
        <v>320818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109967</v>
      </c>
    </row>
    <row r="89" spans="1:20" outlineLevel="1" x14ac:dyDescent="0.35">
      <c r="A89" s="556" t="s">
        <v>1049</v>
      </c>
      <c r="C89" s="561">
        <v>62853</v>
      </c>
      <c r="D89" s="561">
        <v>81523</v>
      </c>
      <c r="E89" s="561">
        <v>112595</v>
      </c>
      <c r="F89" s="561">
        <v>189595</v>
      </c>
      <c r="G89" s="561">
        <v>68789</v>
      </c>
      <c r="H89" s="561">
        <v>172838</v>
      </c>
      <c r="I89" s="561">
        <v>287557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114719</v>
      </c>
    </row>
    <row r="90" spans="1:20" outlineLevel="1" x14ac:dyDescent="0.35">
      <c r="A90" s="556" t="s">
        <v>1050</v>
      </c>
      <c r="C90" s="561">
        <v>-2923</v>
      </c>
      <c r="D90" s="561">
        <v>-3105</v>
      </c>
      <c r="E90" s="561">
        <v>-4066</v>
      </c>
      <c r="F90" s="561">
        <v>-8014</v>
      </c>
      <c r="G90" s="561">
        <v>-3212</v>
      </c>
      <c r="H90" s="561">
        <v>-8050</v>
      </c>
      <c r="I90" s="561">
        <v>-13410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-5360</v>
      </c>
    </row>
    <row r="91" spans="1:20" outlineLevel="1" x14ac:dyDescent="0.35">
      <c r="A91" s="556" t="s">
        <v>1051</v>
      </c>
      <c r="C91" s="561">
        <v>0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>
        <v>0</v>
      </c>
      <c r="D92" s="561">
        <v>0</v>
      </c>
      <c r="E92" s="561">
        <v>0</v>
      </c>
      <c r="F92" s="561">
        <v>0</v>
      </c>
      <c r="G92" s="561">
        <v>0</v>
      </c>
      <c r="H92" s="561">
        <v>0</v>
      </c>
      <c r="I92" s="561">
        <v>0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0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>
        <v>46549</v>
      </c>
      <c r="D95" s="561">
        <v>90520</v>
      </c>
      <c r="E95" s="561">
        <v>129283</v>
      </c>
      <c r="F95" s="561">
        <v>183046</v>
      </c>
      <c r="G95" s="561">
        <v>50351</v>
      </c>
      <c r="H95" s="561">
        <v>46063</v>
      </c>
      <c r="I95" s="561">
        <v>46671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608</v>
      </c>
    </row>
    <row r="96" spans="1:20" outlineLevel="1" x14ac:dyDescent="0.35">
      <c r="A96" s="556" t="s">
        <v>1056</v>
      </c>
      <c r="C96" s="561">
        <v>0</v>
      </c>
      <c r="D96" s="561">
        <v>0</v>
      </c>
      <c r="E96" s="561">
        <v>0</v>
      </c>
      <c r="F96" s="561">
        <v>0</v>
      </c>
      <c r="G96" s="561">
        <v>0</v>
      </c>
      <c r="H96" s="561">
        <v>0</v>
      </c>
      <c r="I96" s="561">
        <v>0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0</v>
      </c>
    </row>
    <row r="97" spans="1:20" x14ac:dyDescent="0.35">
      <c r="A97" s="555" t="s">
        <v>279</v>
      </c>
      <c r="C97" s="560">
        <f t="shared" ref="C97:H97" si="26">SUM(C98:C106)</f>
        <v>-139854</v>
      </c>
      <c r="D97" s="560">
        <f t="shared" si="26"/>
        <v>-289925</v>
      </c>
      <c r="E97" s="560">
        <f t="shared" si="26"/>
        <v>-458383</v>
      </c>
      <c r="F97" s="560">
        <f t="shared" si="26"/>
        <v>-623578</v>
      </c>
      <c r="G97" s="560">
        <f t="shared" si="26"/>
        <v>-530347</v>
      </c>
      <c r="H97" s="560">
        <f t="shared" si="26"/>
        <v>-743413</v>
      </c>
      <c r="I97" s="560">
        <f>SUM(I98:I106)</f>
        <v>-1046241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-302828</v>
      </c>
    </row>
    <row r="98" spans="1:20" outlineLevel="1" x14ac:dyDescent="0.35">
      <c r="A98" s="556" t="s">
        <v>1057</v>
      </c>
      <c r="C98" s="561">
        <v>-91545</v>
      </c>
      <c r="D98" s="561">
        <v>-240407</v>
      </c>
      <c r="E98" s="561">
        <v>-408210</v>
      </c>
      <c r="F98" s="561">
        <v>-572637</v>
      </c>
      <c r="G98" s="561">
        <v>-181583</v>
      </c>
      <c r="H98" s="561">
        <v>-341905</v>
      </c>
      <c r="I98" s="561">
        <v>-505788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-163883</v>
      </c>
    </row>
    <row r="99" spans="1:20" outlineLevel="1" x14ac:dyDescent="0.35">
      <c r="A99" s="556" t="s">
        <v>1058</v>
      </c>
      <c r="C99" s="561">
        <v>0</v>
      </c>
      <c r="D99" s="561">
        <v>0</v>
      </c>
      <c r="E99" s="561">
        <v>0</v>
      </c>
      <c r="F99" s="561">
        <v>0</v>
      </c>
      <c r="G99" s="561">
        <v>0</v>
      </c>
      <c r="H99" s="561">
        <v>0</v>
      </c>
      <c r="I99" s="561">
        <v>0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0</v>
      </c>
    </row>
    <row r="100" spans="1:20" outlineLevel="1" x14ac:dyDescent="0.35">
      <c r="A100" s="556" t="s">
        <v>1059</v>
      </c>
      <c r="C100" s="561">
        <v>0</v>
      </c>
      <c r="D100" s="561">
        <v>0</v>
      </c>
      <c r="E100" s="561">
        <v>0</v>
      </c>
      <c r="F100" s="561">
        <v>0</v>
      </c>
      <c r="G100" s="561">
        <v>0</v>
      </c>
      <c r="H100" s="561">
        <v>0</v>
      </c>
      <c r="I100" s="561">
        <v>0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0</v>
      </c>
    </row>
    <row r="101" spans="1:20" outlineLevel="1" x14ac:dyDescent="0.35">
      <c r="A101" s="556" t="s">
        <v>1060</v>
      </c>
      <c r="C101" s="561">
        <v>0</v>
      </c>
      <c r="D101" s="561">
        <v>0</v>
      </c>
      <c r="E101" s="561">
        <v>0</v>
      </c>
      <c r="F101" s="561">
        <v>0</v>
      </c>
      <c r="G101" s="561">
        <v>0</v>
      </c>
      <c r="H101" s="561">
        <v>0</v>
      </c>
      <c r="I101" s="561">
        <v>0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0</v>
      </c>
    </row>
    <row r="102" spans="1:20" outlineLevel="1" x14ac:dyDescent="0.35">
      <c r="A102" s="556" t="s">
        <v>1061</v>
      </c>
      <c r="C102" s="561">
        <v>0</v>
      </c>
      <c r="D102" s="561">
        <v>0</v>
      </c>
      <c r="E102" s="561">
        <v>0</v>
      </c>
      <c r="F102" s="561">
        <v>0</v>
      </c>
      <c r="G102" s="561">
        <v>0</v>
      </c>
      <c r="H102" s="561">
        <v>0</v>
      </c>
      <c r="I102" s="561">
        <v>0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0</v>
      </c>
    </row>
    <row r="103" spans="1:20" outlineLevel="1" x14ac:dyDescent="0.35">
      <c r="A103" s="556" t="s">
        <v>1062</v>
      </c>
      <c r="C103" s="561">
        <v>-8</v>
      </c>
      <c r="D103" s="561">
        <v>-9</v>
      </c>
      <c r="E103" s="561">
        <v>-10</v>
      </c>
      <c r="F103" s="561">
        <v>0</v>
      </c>
      <c r="G103" s="561">
        <v>0</v>
      </c>
      <c r="H103" s="561">
        <v>-9</v>
      </c>
      <c r="I103" s="561">
        <v>-17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-8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>
        <v>0</v>
      </c>
      <c r="D105" s="561">
        <v>0</v>
      </c>
      <c r="E105" s="561">
        <v>0</v>
      </c>
      <c r="F105" s="561">
        <v>0</v>
      </c>
      <c r="G105" s="561">
        <v>0</v>
      </c>
      <c r="H105" s="561">
        <v>0</v>
      </c>
      <c r="I105" s="561">
        <v>0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0</v>
      </c>
    </row>
    <row r="106" spans="1:20" outlineLevel="1" x14ac:dyDescent="0.35">
      <c r="A106" s="556" t="s">
        <v>1065</v>
      </c>
      <c r="C106" s="561">
        <v>-48301</v>
      </c>
      <c r="D106" s="561">
        <v>-49509</v>
      </c>
      <c r="E106" s="561">
        <v>-50163</v>
      </c>
      <c r="F106" s="561">
        <v>-50941</v>
      </c>
      <c r="G106" s="561">
        <v>-348764</v>
      </c>
      <c r="H106" s="561">
        <v>-401499</v>
      </c>
      <c r="I106" s="561">
        <v>-540436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-138937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593420</v>
      </c>
      <c r="D108" s="558">
        <f t="shared" si="28"/>
        <v>484799</v>
      </c>
      <c r="E108" s="558">
        <f t="shared" si="28"/>
        <v>954214</v>
      </c>
      <c r="F108" s="558">
        <f t="shared" si="28"/>
        <v>1432429</v>
      </c>
      <c r="G108" s="558">
        <f t="shared" si="28"/>
        <v>63154</v>
      </c>
      <c r="H108" s="558">
        <f t="shared" si="28"/>
        <v>563139</v>
      </c>
      <c r="I108" s="558">
        <f>I84+I86</f>
        <v>1264547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701408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H110" si="29">SUM(C112:C115)</f>
        <v>-13344</v>
      </c>
      <c r="D110" s="562">
        <f t="shared" si="29"/>
        <v>-26873</v>
      </c>
      <c r="E110" s="562">
        <f t="shared" si="29"/>
        <v>-40180</v>
      </c>
      <c r="F110" s="562">
        <f t="shared" si="29"/>
        <v>-58491</v>
      </c>
      <c r="G110" s="562">
        <f t="shared" si="29"/>
        <v>100532</v>
      </c>
      <c r="H110" s="562">
        <f t="shared" si="29"/>
        <v>118246</v>
      </c>
      <c r="I110" s="562">
        <f>SUM(I112:I115)</f>
        <v>136861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18615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0</v>
      </c>
      <c r="D112" s="563">
        <v>0</v>
      </c>
      <c r="E112" s="563">
        <v>0</v>
      </c>
      <c r="F112" s="563">
        <v>0</v>
      </c>
      <c r="G112" s="563">
        <v>0</v>
      </c>
      <c r="H112" s="563">
        <v>0</v>
      </c>
      <c r="I112" s="563">
        <v>0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0</v>
      </c>
    </row>
    <row r="113" spans="1:20" x14ac:dyDescent="0.35">
      <c r="A113" s="555" t="s">
        <v>282</v>
      </c>
      <c r="C113" s="563">
        <v>0</v>
      </c>
      <c r="D113" s="563">
        <v>0</v>
      </c>
      <c r="E113" s="563">
        <v>0</v>
      </c>
      <c r="F113" s="563">
        <v>0</v>
      </c>
      <c r="G113" s="563">
        <v>0</v>
      </c>
      <c r="H113" s="563">
        <v>0</v>
      </c>
      <c r="I113" s="563">
        <v>0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0</v>
      </c>
    </row>
    <row r="114" spans="1:20" x14ac:dyDescent="0.35">
      <c r="A114" s="555" t="s">
        <v>284</v>
      </c>
      <c r="C114" s="563">
        <v>0</v>
      </c>
      <c r="D114" s="563">
        <v>0</v>
      </c>
      <c r="E114" s="563">
        <v>0</v>
      </c>
      <c r="F114" s="563">
        <v>0</v>
      </c>
      <c r="G114" s="563">
        <v>0</v>
      </c>
      <c r="H114" s="563">
        <v>0</v>
      </c>
      <c r="I114" s="563">
        <v>0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0</v>
      </c>
    </row>
    <row r="115" spans="1:20" x14ac:dyDescent="0.35">
      <c r="A115" s="555" t="s">
        <v>1068</v>
      </c>
      <c r="C115" s="563">
        <v>-13344</v>
      </c>
      <c r="D115" s="563">
        <v>-26873</v>
      </c>
      <c r="E115" s="563">
        <v>-40180</v>
      </c>
      <c r="F115" s="563">
        <v>-58491</v>
      </c>
      <c r="G115" s="563">
        <v>100532</v>
      </c>
      <c r="H115" s="563">
        <v>118246</v>
      </c>
      <c r="I115" s="563">
        <v>136861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18615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H117" si="31">C108+C110</f>
        <v>580076</v>
      </c>
      <c r="D117" s="564">
        <f t="shared" si="31"/>
        <v>457926</v>
      </c>
      <c r="E117" s="564">
        <f t="shared" si="31"/>
        <v>914034</v>
      </c>
      <c r="F117" s="564">
        <f t="shared" si="31"/>
        <v>1373938</v>
      </c>
      <c r="G117" s="564">
        <f t="shared" si="31"/>
        <v>163686</v>
      </c>
      <c r="H117" s="564">
        <f t="shared" si="31"/>
        <v>681385</v>
      </c>
      <c r="I117" s="564">
        <f>I108+I110</f>
        <v>1401408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720023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  <row r="119" spans="1:20" x14ac:dyDescent="0.35">
      <c r="A119" s="554" t="s">
        <v>1070</v>
      </c>
      <c r="C119" s="563"/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T119" s="563"/>
    </row>
  </sheetData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58DA3-8745-4E91-B243-D09611C66CF1}">
  <sheetPr>
    <tabColor theme="9" tint="0.79998168889431442"/>
  </sheetPr>
  <dimension ref="A4:T118"/>
  <sheetViews>
    <sheetView showGridLines="0" zoomScale="70" zoomScaleNormal="70" workbookViewId="0"/>
  </sheetViews>
  <sheetFormatPr defaultRowHeight="14.5" outlineLevelRow="1" x14ac:dyDescent="0.35"/>
  <cols>
    <col min="1" max="1" width="65.7265625" bestFit="1" customWidth="1"/>
    <col min="2" max="2" width="1.54296875" customWidth="1"/>
    <col min="3" max="9" width="15.1796875" customWidth="1"/>
    <col min="10" max="18" width="15.1796875" hidden="1" customWidth="1"/>
    <col min="19" max="19" width="1.54296875" customWidth="1"/>
    <col min="20" max="20" width="15.1796875" customWidth="1"/>
  </cols>
  <sheetData>
    <row r="4" spans="1:20" x14ac:dyDescent="0.35">
      <c r="A4" s="566" t="s">
        <v>1102</v>
      </c>
      <c r="C4" s="565" t="s">
        <v>1079</v>
      </c>
      <c r="D4" s="565" t="s">
        <v>1078</v>
      </c>
      <c r="E4" s="565" t="s">
        <v>1077</v>
      </c>
      <c r="F4" s="565">
        <v>2022</v>
      </c>
      <c r="G4" s="565" t="s">
        <v>1076</v>
      </c>
      <c r="H4" s="565" t="s">
        <v>1075</v>
      </c>
      <c r="I4" s="565" t="s">
        <v>1074</v>
      </c>
      <c r="J4" s="565">
        <v>2023</v>
      </c>
      <c r="K4" s="565" t="s">
        <v>1085</v>
      </c>
      <c r="L4" s="565" t="s">
        <v>1084</v>
      </c>
      <c r="M4" s="565" t="s">
        <v>1083</v>
      </c>
      <c r="N4" s="565">
        <v>2024</v>
      </c>
      <c r="O4" s="565" t="s">
        <v>1082</v>
      </c>
      <c r="P4" s="565" t="s">
        <v>1081</v>
      </c>
      <c r="Q4" s="565" t="s">
        <v>1080</v>
      </c>
      <c r="R4" s="565">
        <v>2025</v>
      </c>
      <c r="T4" s="565" t="s">
        <v>83</v>
      </c>
    </row>
    <row r="5" spans="1:20" ht="6.5" customHeight="1" x14ac:dyDescent="0.35"/>
    <row r="6" spans="1:20" x14ac:dyDescent="0.35">
      <c r="A6" s="567" t="s">
        <v>246</v>
      </c>
      <c r="C6" s="558">
        <f t="shared" ref="C6:I6" si="0">SUM(C8,C11:C17)</f>
        <v>8665672</v>
      </c>
      <c r="D6" s="558">
        <f t="shared" si="0"/>
        <v>17755932</v>
      </c>
      <c r="E6" s="558">
        <f t="shared" si="0"/>
        <v>26727084</v>
      </c>
      <c r="F6" s="558">
        <f t="shared" si="0"/>
        <v>36812186</v>
      </c>
      <c r="G6" s="558">
        <f t="shared" si="0"/>
        <v>13238356</v>
      </c>
      <c r="H6" s="558">
        <f t="shared" si="0"/>
        <v>26032433</v>
      </c>
      <c r="I6" s="558">
        <f t="shared" si="0"/>
        <v>39618350</v>
      </c>
      <c r="J6" s="558"/>
      <c r="K6" s="558"/>
      <c r="L6" s="558"/>
      <c r="M6" s="558"/>
      <c r="N6" s="558"/>
      <c r="O6" s="558"/>
      <c r="P6" s="558"/>
      <c r="Q6" s="558"/>
      <c r="R6" s="558"/>
      <c r="T6" s="558">
        <f t="shared" ref="T6" si="1">SUM(T8,T11:T17)</f>
        <v>13585917</v>
      </c>
    </row>
    <row r="7" spans="1:20" x14ac:dyDescent="0.35">
      <c r="A7" s="554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T7" s="559"/>
    </row>
    <row r="8" spans="1:20" x14ac:dyDescent="0.35">
      <c r="A8" s="555" t="s">
        <v>996</v>
      </c>
      <c r="C8" s="560">
        <f t="shared" ref="C8:H8" si="2">SUM(C9:C10)</f>
        <v>6505347</v>
      </c>
      <c r="D8" s="560">
        <f t="shared" si="2"/>
        <v>12896498</v>
      </c>
      <c r="E8" s="560">
        <f t="shared" si="2"/>
        <v>19290015</v>
      </c>
      <c r="F8" s="560">
        <f t="shared" si="2"/>
        <v>26274660</v>
      </c>
      <c r="G8" s="560">
        <f t="shared" si="2"/>
        <v>9068794</v>
      </c>
      <c r="H8" s="560">
        <f t="shared" si="2"/>
        <v>17957280</v>
      </c>
      <c r="I8" s="560">
        <f>SUM(I9:I10)</f>
        <v>27523778</v>
      </c>
      <c r="J8" s="560"/>
      <c r="K8" s="560"/>
      <c r="L8" s="560"/>
      <c r="M8" s="560"/>
      <c r="N8" s="560"/>
      <c r="O8" s="560"/>
      <c r="P8" s="560"/>
      <c r="Q8" s="560"/>
      <c r="R8" s="560"/>
      <c r="T8" s="560">
        <f>SUM(T9:T10)</f>
        <v>9566498</v>
      </c>
    </row>
    <row r="9" spans="1:20" outlineLevel="1" x14ac:dyDescent="0.35">
      <c r="A9" s="556" t="s">
        <v>996</v>
      </c>
      <c r="C9" s="561">
        <v>7011770</v>
      </c>
      <c r="D9" s="561">
        <v>13046421</v>
      </c>
      <c r="E9" s="561">
        <v>19122233</v>
      </c>
      <c r="F9" s="561">
        <v>25604245</v>
      </c>
      <c r="G9" s="561">
        <v>8740935</v>
      </c>
      <c r="H9" s="561">
        <v>17206931</v>
      </c>
      <c r="I9" s="561">
        <v>26529193</v>
      </c>
      <c r="J9" s="561"/>
      <c r="K9" s="561"/>
      <c r="L9" s="561"/>
      <c r="M9" s="561"/>
      <c r="N9" s="561"/>
      <c r="O9" s="561"/>
      <c r="P9" s="561"/>
      <c r="Q9" s="561"/>
      <c r="R9" s="561"/>
      <c r="T9" s="561">
        <f>I9-H9</f>
        <v>9322262</v>
      </c>
    </row>
    <row r="10" spans="1:20" outlineLevel="1" x14ac:dyDescent="0.35">
      <c r="A10" s="556" t="s">
        <v>997</v>
      </c>
      <c r="C10" s="561">
        <v>-506423</v>
      </c>
      <c r="D10" s="561">
        <v>-149923</v>
      </c>
      <c r="E10" s="561">
        <v>167782</v>
      </c>
      <c r="F10" s="561">
        <v>670415</v>
      </c>
      <c r="G10" s="561">
        <v>327859</v>
      </c>
      <c r="H10" s="561">
        <v>750349</v>
      </c>
      <c r="I10" s="561">
        <v>994585</v>
      </c>
      <c r="J10" s="561"/>
      <c r="K10" s="561"/>
      <c r="L10" s="561"/>
      <c r="M10" s="561"/>
      <c r="N10" s="561"/>
      <c r="O10" s="561"/>
      <c r="P10" s="561"/>
      <c r="Q10" s="561"/>
      <c r="R10" s="561"/>
      <c r="T10" s="561">
        <f t="shared" ref="T10:T16" si="3">I10-H10</f>
        <v>244236</v>
      </c>
    </row>
    <row r="11" spans="1:20" x14ac:dyDescent="0.35">
      <c r="A11" s="555" t="s">
        <v>248</v>
      </c>
      <c r="C11" s="560">
        <v>69935</v>
      </c>
      <c r="D11" s="560">
        <v>180421</v>
      </c>
      <c r="E11" s="560">
        <v>274294</v>
      </c>
      <c r="F11" s="560">
        <v>365487</v>
      </c>
      <c r="G11" s="560">
        <v>96740</v>
      </c>
      <c r="H11" s="560">
        <v>220806</v>
      </c>
      <c r="I11" s="560">
        <v>331144</v>
      </c>
      <c r="J11" s="560"/>
      <c r="K11" s="560"/>
      <c r="L11" s="560"/>
      <c r="M11" s="560"/>
      <c r="N11" s="560"/>
      <c r="O11" s="560"/>
      <c r="P11" s="560"/>
      <c r="Q11" s="560"/>
      <c r="R11" s="560"/>
      <c r="T11" s="560">
        <f t="shared" si="3"/>
        <v>110338</v>
      </c>
    </row>
    <row r="12" spans="1:20" x14ac:dyDescent="0.35">
      <c r="A12" s="555" t="s">
        <v>252</v>
      </c>
      <c r="C12" s="560">
        <v>66744</v>
      </c>
      <c r="D12" s="560">
        <v>265619</v>
      </c>
      <c r="E12" s="560">
        <v>573582</v>
      </c>
      <c r="F12" s="560">
        <v>862231</v>
      </c>
      <c r="G12" s="560">
        <v>250025</v>
      </c>
      <c r="H12" s="560">
        <v>465137</v>
      </c>
      <c r="I12" s="560">
        <v>751476</v>
      </c>
      <c r="J12" s="560"/>
      <c r="K12" s="560"/>
      <c r="L12" s="560"/>
      <c r="M12" s="560"/>
      <c r="N12" s="560"/>
      <c r="O12" s="560"/>
      <c r="P12" s="560"/>
      <c r="Q12" s="560"/>
      <c r="R12" s="560"/>
      <c r="T12" s="560">
        <f t="shared" si="3"/>
        <v>286339</v>
      </c>
    </row>
    <row r="13" spans="1:20" x14ac:dyDescent="0.35">
      <c r="A13" s="555" t="s">
        <v>249</v>
      </c>
      <c r="C13" s="560">
        <v>830324</v>
      </c>
      <c r="D13" s="560">
        <v>1944544</v>
      </c>
      <c r="E13" s="560">
        <v>3506153</v>
      </c>
      <c r="F13" s="560">
        <v>5255337</v>
      </c>
      <c r="G13" s="560">
        <v>2345841</v>
      </c>
      <c r="H13" s="560">
        <v>4389957</v>
      </c>
      <c r="I13" s="560">
        <v>6118944</v>
      </c>
      <c r="J13" s="560"/>
      <c r="K13" s="560"/>
      <c r="L13" s="560"/>
      <c r="M13" s="560"/>
      <c r="N13" s="560"/>
      <c r="O13" s="560"/>
      <c r="P13" s="560"/>
      <c r="Q13" s="560"/>
      <c r="R13" s="560"/>
      <c r="T13" s="560">
        <f t="shared" si="3"/>
        <v>1728987</v>
      </c>
    </row>
    <row r="14" spans="1:20" x14ac:dyDescent="0.35">
      <c r="A14" s="555" t="s">
        <v>250</v>
      </c>
      <c r="C14" s="560">
        <v>0</v>
      </c>
      <c r="D14" s="560">
        <v>0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/>
      <c r="K14" s="560"/>
      <c r="L14" s="560"/>
      <c r="M14" s="560"/>
      <c r="N14" s="560"/>
      <c r="O14" s="560"/>
      <c r="P14" s="560"/>
      <c r="Q14" s="560"/>
      <c r="R14" s="560"/>
      <c r="T14" s="560">
        <f t="shared" si="3"/>
        <v>0</v>
      </c>
    </row>
    <row r="15" spans="1:20" x14ac:dyDescent="0.35">
      <c r="A15" s="555" t="s">
        <v>998</v>
      </c>
      <c r="C15" s="560">
        <v>19337</v>
      </c>
      <c r="D15" s="560">
        <v>49828</v>
      </c>
      <c r="E15" s="560">
        <v>78466</v>
      </c>
      <c r="F15" s="560">
        <v>114440</v>
      </c>
      <c r="G15" s="560">
        <v>28883</v>
      </c>
      <c r="H15" s="560">
        <v>56768</v>
      </c>
      <c r="I15" s="560">
        <v>107332</v>
      </c>
      <c r="J15" s="560"/>
      <c r="K15" s="560"/>
      <c r="L15" s="560"/>
      <c r="M15" s="560"/>
      <c r="N15" s="560"/>
      <c r="O15" s="560"/>
      <c r="P15" s="560"/>
      <c r="Q15" s="560"/>
      <c r="R15" s="560"/>
      <c r="T15" s="560">
        <f t="shared" si="3"/>
        <v>50564</v>
      </c>
    </row>
    <row r="16" spans="1:20" x14ac:dyDescent="0.35">
      <c r="A16" s="555" t="s">
        <v>253</v>
      </c>
      <c r="C16" s="560">
        <v>0</v>
      </c>
      <c r="D16" s="560">
        <v>0</v>
      </c>
      <c r="E16" s="560">
        <v>13428</v>
      </c>
      <c r="F16" s="560">
        <v>34088</v>
      </c>
      <c r="G16" s="560">
        <v>27047</v>
      </c>
      <c r="H16" s="560">
        <v>47681</v>
      </c>
      <c r="I16" s="560">
        <v>66460</v>
      </c>
      <c r="J16" s="560"/>
      <c r="K16" s="560"/>
      <c r="L16" s="560"/>
      <c r="M16" s="560"/>
      <c r="N16" s="560"/>
      <c r="O16" s="560"/>
      <c r="P16" s="560"/>
      <c r="Q16" s="560"/>
      <c r="R16" s="560"/>
      <c r="T16" s="560">
        <f t="shared" si="3"/>
        <v>18779</v>
      </c>
    </row>
    <row r="17" spans="1:20" x14ac:dyDescent="0.35">
      <c r="A17" s="555" t="s">
        <v>254</v>
      </c>
      <c r="C17" s="560">
        <f t="shared" ref="C17:H17" si="4">SUM(C18:C25)</f>
        <v>1173985</v>
      </c>
      <c r="D17" s="560">
        <f t="shared" si="4"/>
        <v>2419022</v>
      </c>
      <c r="E17" s="560">
        <f t="shared" si="4"/>
        <v>2991146</v>
      </c>
      <c r="F17" s="560">
        <f t="shared" si="4"/>
        <v>3905943</v>
      </c>
      <c r="G17" s="560">
        <f t="shared" si="4"/>
        <v>1421026</v>
      </c>
      <c r="H17" s="560">
        <f t="shared" si="4"/>
        <v>2894804</v>
      </c>
      <c r="I17" s="560">
        <f>SUM(I18:I25)</f>
        <v>4719216</v>
      </c>
      <c r="J17" s="560"/>
      <c r="K17" s="560"/>
      <c r="L17" s="560"/>
      <c r="M17" s="560"/>
      <c r="N17" s="560"/>
      <c r="O17" s="560"/>
      <c r="P17" s="560"/>
      <c r="Q17" s="560"/>
      <c r="R17" s="560"/>
      <c r="T17" s="560">
        <f>SUM(T18:T25)</f>
        <v>1824412</v>
      </c>
    </row>
    <row r="18" spans="1:20" outlineLevel="1" x14ac:dyDescent="0.35">
      <c r="A18" s="556" t="s">
        <v>999</v>
      </c>
      <c r="C18" s="561">
        <v>288726</v>
      </c>
      <c r="D18" s="561">
        <v>579563</v>
      </c>
      <c r="E18" s="561">
        <v>860569</v>
      </c>
      <c r="F18" s="561">
        <v>1130043</v>
      </c>
      <c r="G18" s="561">
        <v>548202</v>
      </c>
      <c r="H18" s="561">
        <v>1082349</v>
      </c>
      <c r="I18" s="561">
        <v>1729199</v>
      </c>
      <c r="J18" s="561"/>
      <c r="K18" s="561"/>
      <c r="L18" s="561"/>
      <c r="M18" s="561"/>
      <c r="N18" s="561"/>
      <c r="O18" s="561"/>
      <c r="P18" s="561"/>
      <c r="Q18" s="561"/>
      <c r="R18" s="561"/>
      <c r="T18" s="561">
        <f t="shared" ref="T18:T25" si="5">I18-H18</f>
        <v>646850</v>
      </c>
    </row>
    <row r="19" spans="1:20" outlineLevel="1" x14ac:dyDescent="0.35">
      <c r="A19" s="556" t="s">
        <v>1000</v>
      </c>
      <c r="C19" s="561">
        <v>163013</v>
      </c>
      <c r="D19" s="561">
        <v>402102</v>
      </c>
      <c r="E19" s="561">
        <v>192629</v>
      </c>
      <c r="F19" s="561">
        <v>325698</v>
      </c>
      <c r="G19" s="561">
        <v>32570</v>
      </c>
      <c r="H19" s="561">
        <v>128832</v>
      </c>
      <c r="I19" s="561">
        <v>421300</v>
      </c>
      <c r="J19" s="561"/>
      <c r="K19" s="561"/>
      <c r="L19" s="561"/>
      <c r="M19" s="561"/>
      <c r="N19" s="561"/>
      <c r="O19" s="561"/>
      <c r="P19" s="561"/>
      <c r="Q19" s="561"/>
      <c r="R19" s="561"/>
      <c r="T19" s="561">
        <f t="shared" si="5"/>
        <v>292468</v>
      </c>
    </row>
    <row r="20" spans="1:20" outlineLevel="1" x14ac:dyDescent="0.35">
      <c r="A20" s="556" t="s">
        <v>1001</v>
      </c>
      <c r="C20" s="561">
        <v>0</v>
      </c>
      <c r="D20" s="561">
        <v>14956</v>
      </c>
      <c r="E20" s="561">
        <v>14956</v>
      </c>
      <c r="F20" s="561">
        <v>0</v>
      </c>
      <c r="G20" s="561">
        <v>0</v>
      </c>
      <c r="H20" s="561">
        <v>0</v>
      </c>
      <c r="I20" s="561">
        <v>0</v>
      </c>
      <c r="J20" s="561"/>
      <c r="K20" s="561"/>
      <c r="L20" s="561"/>
      <c r="M20" s="561"/>
      <c r="N20" s="561"/>
      <c r="O20" s="561"/>
      <c r="P20" s="561"/>
      <c r="Q20" s="561"/>
      <c r="R20" s="561"/>
      <c r="T20" s="561">
        <f t="shared" si="5"/>
        <v>0</v>
      </c>
    </row>
    <row r="21" spans="1:20" outlineLevel="1" x14ac:dyDescent="0.35">
      <c r="A21" s="556" t="s">
        <v>1002</v>
      </c>
      <c r="C21" s="561">
        <v>415881</v>
      </c>
      <c r="D21" s="561">
        <v>786326</v>
      </c>
      <c r="E21" s="561">
        <v>1172886</v>
      </c>
      <c r="F21" s="561">
        <v>1578951</v>
      </c>
      <c r="G21" s="561">
        <v>394547</v>
      </c>
      <c r="H21" s="561">
        <v>822278</v>
      </c>
      <c r="I21" s="561">
        <v>1228782</v>
      </c>
      <c r="J21" s="561"/>
      <c r="K21" s="561"/>
      <c r="L21" s="561"/>
      <c r="M21" s="561"/>
      <c r="N21" s="561"/>
      <c r="O21" s="561"/>
      <c r="P21" s="561"/>
      <c r="Q21" s="561"/>
      <c r="R21" s="561"/>
      <c r="T21" s="561">
        <f t="shared" si="5"/>
        <v>406504</v>
      </c>
    </row>
    <row r="22" spans="1:20" outlineLevel="1" x14ac:dyDescent="0.35">
      <c r="A22" s="556" t="s">
        <v>1003</v>
      </c>
      <c r="C22" s="561">
        <v>-38469</v>
      </c>
      <c r="D22" s="561">
        <v>-74119</v>
      </c>
      <c r="E22" s="561">
        <v>-109876</v>
      </c>
      <c r="F22" s="561">
        <v>-146053</v>
      </c>
      <c r="G22" s="561">
        <v>-36495</v>
      </c>
      <c r="H22" s="561">
        <v>-76061</v>
      </c>
      <c r="I22" s="561">
        <v>-113662</v>
      </c>
      <c r="J22" s="561"/>
      <c r="K22" s="561"/>
      <c r="L22" s="561"/>
      <c r="M22" s="561"/>
      <c r="N22" s="561"/>
      <c r="O22" s="561"/>
      <c r="P22" s="561"/>
      <c r="Q22" s="561"/>
      <c r="R22" s="561"/>
      <c r="T22" s="561">
        <f t="shared" si="5"/>
        <v>-37601</v>
      </c>
    </row>
    <row r="23" spans="1:20" outlineLevel="1" x14ac:dyDescent="0.35">
      <c r="A23" s="556" t="s">
        <v>640</v>
      </c>
      <c r="C23" s="561">
        <v>0</v>
      </c>
      <c r="D23" s="561">
        <v>0</v>
      </c>
      <c r="E23" s="561">
        <v>0</v>
      </c>
      <c r="F23" s="561">
        <v>0</v>
      </c>
      <c r="G23" s="561">
        <v>0</v>
      </c>
      <c r="H23" s="561">
        <v>0</v>
      </c>
      <c r="I23" s="561">
        <v>0</v>
      </c>
      <c r="J23" s="561"/>
      <c r="K23" s="561"/>
      <c r="L23" s="561"/>
      <c r="M23" s="561"/>
      <c r="N23" s="561"/>
      <c r="O23" s="561"/>
      <c r="P23" s="561"/>
      <c r="Q23" s="561"/>
      <c r="R23" s="561"/>
      <c r="T23" s="561">
        <f t="shared" si="5"/>
        <v>0</v>
      </c>
    </row>
    <row r="24" spans="1:20" outlineLevel="1" x14ac:dyDescent="0.35">
      <c r="A24" s="556" t="s">
        <v>1004</v>
      </c>
      <c r="C24" s="561">
        <v>0</v>
      </c>
      <c r="D24" s="561">
        <v>0</v>
      </c>
      <c r="E24" s="561">
        <v>-11403</v>
      </c>
      <c r="F24" s="561">
        <v>-48704</v>
      </c>
      <c r="G24" s="561">
        <v>84126</v>
      </c>
      <c r="H24" s="561">
        <v>115969</v>
      </c>
      <c r="I24" s="561">
        <v>143180</v>
      </c>
      <c r="J24" s="561"/>
      <c r="K24" s="561"/>
      <c r="L24" s="561"/>
      <c r="M24" s="561"/>
      <c r="N24" s="561"/>
      <c r="O24" s="561"/>
      <c r="P24" s="561"/>
      <c r="Q24" s="561"/>
      <c r="R24" s="561"/>
      <c r="T24" s="561">
        <f t="shared" si="5"/>
        <v>27211</v>
      </c>
    </row>
    <row r="25" spans="1:20" outlineLevel="1" x14ac:dyDescent="0.35">
      <c r="A25" s="556" t="s">
        <v>254</v>
      </c>
      <c r="C25" s="561">
        <v>344834</v>
      </c>
      <c r="D25" s="561">
        <v>710194</v>
      </c>
      <c r="E25" s="561">
        <v>871385</v>
      </c>
      <c r="F25" s="561">
        <v>1066008</v>
      </c>
      <c r="G25" s="561">
        <v>398076</v>
      </c>
      <c r="H25" s="561">
        <v>821437</v>
      </c>
      <c r="I25" s="561">
        <v>1310417</v>
      </c>
      <c r="J25" s="561"/>
      <c r="K25" s="561"/>
      <c r="L25" s="561"/>
      <c r="M25" s="561"/>
      <c r="N25" s="561"/>
      <c r="O25" s="561"/>
      <c r="P25" s="561"/>
      <c r="Q25" s="561"/>
      <c r="R25" s="561"/>
      <c r="T25" s="561">
        <f t="shared" si="5"/>
        <v>488980</v>
      </c>
    </row>
    <row r="26" spans="1:20" x14ac:dyDescent="0.35">
      <c r="A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T26" s="555"/>
    </row>
    <row r="27" spans="1:20" x14ac:dyDescent="0.35">
      <c r="A27" s="567" t="s">
        <v>1005</v>
      </c>
      <c r="C27" s="558">
        <f t="shared" ref="C27:H27" si="6">SUM(C29:C37)</f>
        <v>-2822483</v>
      </c>
      <c r="D27" s="558">
        <f t="shared" si="6"/>
        <v>-5372396</v>
      </c>
      <c r="E27" s="558">
        <f t="shared" si="6"/>
        <v>-7511512</v>
      </c>
      <c r="F27" s="558">
        <f t="shared" si="6"/>
        <v>-9679679</v>
      </c>
      <c r="G27" s="558">
        <f t="shared" si="6"/>
        <v>-3061782</v>
      </c>
      <c r="H27" s="558">
        <f t="shared" si="6"/>
        <v>-6400537</v>
      </c>
      <c r="I27" s="558">
        <f>SUM(I29:I37)</f>
        <v>-9878781</v>
      </c>
      <c r="J27" s="558"/>
      <c r="K27" s="558"/>
      <c r="L27" s="558"/>
      <c r="M27" s="558"/>
      <c r="N27" s="558"/>
      <c r="O27" s="558"/>
      <c r="P27" s="558"/>
      <c r="Q27" s="558"/>
      <c r="R27" s="558"/>
      <c r="T27" s="558">
        <f>SUM(T29:T37)</f>
        <v>-3478244</v>
      </c>
    </row>
    <row r="28" spans="1:20" x14ac:dyDescent="0.35">
      <c r="A28" s="554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T28" s="559"/>
    </row>
    <row r="29" spans="1:20" outlineLevel="1" x14ac:dyDescent="0.35">
      <c r="A29" s="556" t="s">
        <v>1006</v>
      </c>
      <c r="C29" s="561">
        <v>-1560242</v>
      </c>
      <c r="D29" s="561">
        <v>-2884357</v>
      </c>
      <c r="E29" s="561">
        <v>-3868885</v>
      </c>
      <c r="F29" s="561">
        <v>-4775531</v>
      </c>
      <c r="G29" s="561">
        <v>-1290353</v>
      </c>
      <c r="H29" s="561">
        <v>-2811027</v>
      </c>
      <c r="I29" s="561">
        <v>-4428826</v>
      </c>
      <c r="J29" s="561"/>
      <c r="K29" s="561"/>
      <c r="L29" s="561"/>
      <c r="M29" s="561"/>
      <c r="N29" s="561"/>
      <c r="O29" s="561"/>
      <c r="P29" s="561"/>
      <c r="Q29" s="561"/>
      <c r="R29" s="561"/>
      <c r="T29" s="561">
        <f t="shared" ref="T29:T37" si="7">I29-H29</f>
        <v>-1617799</v>
      </c>
    </row>
    <row r="30" spans="1:20" outlineLevel="1" x14ac:dyDescent="0.35">
      <c r="A30" s="556" t="s">
        <v>1007</v>
      </c>
      <c r="C30" s="561">
        <v>-624032</v>
      </c>
      <c r="D30" s="561">
        <v>-1184940</v>
      </c>
      <c r="E30" s="561">
        <v>-1773062</v>
      </c>
      <c r="F30" s="561">
        <v>-2402073</v>
      </c>
      <c r="G30" s="561">
        <v>-816891</v>
      </c>
      <c r="H30" s="561">
        <v>-1633110</v>
      </c>
      <c r="I30" s="561">
        <v>-2483217</v>
      </c>
      <c r="J30" s="561"/>
      <c r="K30" s="561"/>
      <c r="L30" s="561"/>
      <c r="M30" s="561"/>
      <c r="N30" s="561"/>
      <c r="O30" s="561"/>
      <c r="P30" s="561"/>
      <c r="Q30" s="561"/>
      <c r="R30" s="561"/>
      <c r="T30" s="561">
        <f t="shared" si="7"/>
        <v>-850107</v>
      </c>
    </row>
    <row r="31" spans="1:20" outlineLevel="1" x14ac:dyDescent="0.35">
      <c r="A31" s="556" t="s">
        <v>1008</v>
      </c>
      <c r="C31" s="561">
        <v>-9614</v>
      </c>
      <c r="D31" s="561">
        <v>-9964</v>
      </c>
      <c r="E31" s="561">
        <v>-9299</v>
      </c>
      <c r="F31" s="561">
        <v>-13923</v>
      </c>
      <c r="G31" s="561">
        <v>-7907</v>
      </c>
      <c r="H31" s="561">
        <v>-3059</v>
      </c>
      <c r="I31" s="561">
        <v>-11907</v>
      </c>
      <c r="J31" s="561"/>
      <c r="K31" s="561"/>
      <c r="L31" s="561"/>
      <c r="M31" s="561"/>
      <c r="N31" s="561"/>
      <c r="O31" s="561"/>
      <c r="P31" s="561"/>
      <c r="Q31" s="561"/>
      <c r="R31" s="561"/>
      <c r="T31" s="561">
        <f t="shared" si="7"/>
        <v>-8848</v>
      </c>
    </row>
    <row r="32" spans="1:20" outlineLevel="1" x14ac:dyDescent="0.35">
      <c r="A32" s="556" t="s">
        <v>1009</v>
      </c>
      <c r="C32" s="561">
        <v>-1301</v>
      </c>
      <c r="D32" s="561">
        <v>-2602</v>
      </c>
      <c r="E32" s="561">
        <v>-3833</v>
      </c>
      <c r="F32" s="561">
        <v>-5029</v>
      </c>
      <c r="G32" s="561">
        <v>-1196</v>
      </c>
      <c r="H32" s="561">
        <v>-2392</v>
      </c>
      <c r="I32" s="561">
        <v>-3813</v>
      </c>
      <c r="J32" s="561"/>
      <c r="K32" s="561"/>
      <c r="L32" s="561"/>
      <c r="M32" s="561"/>
      <c r="N32" s="561"/>
      <c r="O32" s="561"/>
      <c r="P32" s="561"/>
      <c r="Q32" s="561"/>
      <c r="R32" s="561"/>
      <c r="T32" s="561">
        <f t="shared" si="7"/>
        <v>-1421</v>
      </c>
    </row>
    <row r="33" spans="1:20" outlineLevel="1" x14ac:dyDescent="0.35">
      <c r="A33" s="556" t="s">
        <v>1010</v>
      </c>
      <c r="C33" s="561">
        <v>-50142</v>
      </c>
      <c r="D33" s="561">
        <v>-93452</v>
      </c>
      <c r="E33" s="561">
        <v>-128899</v>
      </c>
      <c r="F33" s="561">
        <v>-192120</v>
      </c>
      <c r="G33" s="561">
        <v>-65393</v>
      </c>
      <c r="H33" s="561">
        <v>-140150</v>
      </c>
      <c r="I33" s="561">
        <v>-221751</v>
      </c>
      <c r="J33" s="561"/>
      <c r="K33" s="561"/>
      <c r="L33" s="561"/>
      <c r="M33" s="561"/>
      <c r="N33" s="561"/>
      <c r="O33" s="561"/>
      <c r="P33" s="561"/>
      <c r="Q33" s="561"/>
      <c r="R33" s="561"/>
      <c r="T33" s="561">
        <f t="shared" si="7"/>
        <v>-81601</v>
      </c>
    </row>
    <row r="34" spans="1:20" outlineLevel="1" x14ac:dyDescent="0.35">
      <c r="A34" s="556" t="s">
        <v>1011</v>
      </c>
      <c r="C34" s="561">
        <v>-11996</v>
      </c>
      <c r="D34" s="561">
        <v>-22451</v>
      </c>
      <c r="E34" s="561">
        <v>-34900</v>
      </c>
      <c r="F34" s="561">
        <v>-48524</v>
      </c>
      <c r="G34" s="561">
        <v>-16732</v>
      </c>
      <c r="H34" s="561">
        <v>-22979</v>
      </c>
      <c r="I34" s="561">
        <v>-34180</v>
      </c>
      <c r="J34" s="561"/>
      <c r="K34" s="561"/>
      <c r="L34" s="561"/>
      <c r="M34" s="561"/>
      <c r="N34" s="561"/>
      <c r="O34" s="561"/>
      <c r="P34" s="561"/>
      <c r="Q34" s="561"/>
      <c r="R34" s="561"/>
      <c r="T34" s="561">
        <f t="shared" si="7"/>
        <v>-11201</v>
      </c>
    </row>
    <row r="35" spans="1:20" outlineLevel="1" x14ac:dyDescent="0.35">
      <c r="A35" s="556" t="s">
        <v>1012</v>
      </c>
      <c r="C35" s="561">
        <v>-499162</v>
      </c>
      <c r="D35" s="561">
        <v>-1005220</v>
      </c>
      <c r="E35" s="561">
        <v>-1498100</v>
      </c>
      <c r="F35" s="561">
        <v>-1989694</v>
      </c>
      <c r="G35" s="561">
        <v>-800956</v>
      </c>
      <c r="H35" s="561">
        <v>-1655950</v>
      </c>
      <c r="I35" s="561">
        <v>-2519814</v>
      </c>
      <c r="J35" s="561"/>
      <c r="K35" s="561"/>
      <c r="L35" s="561"/>
      <c r="M35" s="561"/>
      <c r="N35" s="561"/>
      <c r="O35" s="561"/>
      <c r="P35" s="561"/>
      <c r="Q35" s="561"/>
      <c r="R35" s="561"/>
      <c r="T35" s="561">
        <f t="shared" si="7"/>
        <v>-863864</v>
      </c>
    </row>
    <row r="36" spans="1:20" outlineLevel="1" x14ac:dyDescent="0.35">
      <c r="A36" s="556" t="s">
        <v>1013</v>
      </c>
      <c r="C36" s="561">
        <v>-2205</v>
      </c>
      <c r="D36" s="561">
        <v>-4462</v>
      </c>
      <c r="E36" s="561">
        <v>-6500</v>
      </c>
      <c r="F36" s="561">
        <v>-9300</v>
      </c>
      <c r="G36" s="561">
        <v>-3603</v>
      </c>
      <c r="H36" s="561">
        <v>-6371</v>
      </c>
      <c r="I36" s="561">
        <v>-9546</v>
      </c>
      <c r="J36" s="561"/>
      <c r="K36" s="561"/>
      <c r="L36" s="561"/>
      <c r="M36" s="561"/>
      <c r="N36" s="561"/>
      <c r="O36" s="561"/>
      <c r="P36" s="561"/>
      <c r="Q36" s="561"/>
      <c r="R36" s="561"/>
      <c r="T36" s="561">
        <f t="shared" si="7"/>
        <v>-3175</v>
      </c>
    </row>
    <row r="37" spans="1:20" outlineLevel="1" x14ac:dyDescent="0.35">
      <c r="A37" s="556" t="s">
        <v>270</v>
      </c>
      <c r="C37" s="561">
        <v>-63789</v>
      </c>
      <c r="D37" s="561">
        <v>-164948</v>
      </c>
      <c r="E37" s="561">
        <v>-188034</v>
      </c>
      <c r="F37" s="561">
        <v>-243485</v>
      </c>
      <c r="G37" s="561">
        <v>-58751</v>
      </c>
      <c r="H37" s="561">
        <v>-125499</v>
      </c>
      <c r="I37" s="561">
        <v>-165727</v>
      </c>
      <c r="J37" s="561"/>
      <c r="K37" s="561"/>
      <c r="L37" s="561"/>
      <c r="M37" s="561"/>
      <c r="N37" s="561"/>
      <c r="O37" s="561"/>
      <c r="P37" s="561"/>
      <c r="Q37" s="561"/>
      <c r="R37" s="561"/>
      <c r="T37" s="561">
        <f t="shared" si="7"/>
        <v>-40228</v>
      </c>
    </row>
    <row r="38" spans="1:20" x14ac:dyDescent="0.35">
      <c r="A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T38" s="555"/>
    </row>
    <row r="39" spans="1:20" x14ac:dyDescent="0.35">
      <c r="A39" s="567" t="s">
        <v>256</v>
      </c>
      <c r="C39" s="558">
        <f t="shared" ref="C39:H39" si="8">C27+C6</f>
        <v>5843189</v>
      </c>
      <c r="D39" s="558">
        <f t="shared" si="8"/>
        <v>12383536</v>
      </c>
      <c r="E39" s="558">
        <f t="shared" si="8"/>
        <v>19215572</v>
      </c>
      <c r="F39" s="558">
        <f t="shared" si="8"/>
        <v>27132507</v>
      </c>
      <c r="G39" s="558">
        <f t="shared" si="8"/>
        <v>10176574</v>
      </c>
      <c r="H39" s="558">
        <f t="shared" si="8"/>
        <v>19631896</v>
      </c>
      <c r="I39" s="558">
        <f>I27+I6</f>
        <v>29739569</v>
      </c>
      <c r="J39" s="558"/>
      <c r="K39" s="558"/>
      <c r="L39" s="558"/>
      <c r="M39" s="558"/>
      <c r="N39" s="558"/>
      <c r="O39" s="558"/>
      <c r="P39" s="558"/>
      <c r="Q39" s="558"/>
      <c r="R39" s="558"/>
      <c r="T39" s="558">
        <f>T27+T6</f>
        <v>10107673</v>
      </c>
    </row>
    <row r="40" spans="1:20" x14ac:dyDescent="0.35">
      <c r="A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T40" s="555"/>
    </row>
    <row r="41" spans="1:20" x14ac:dyDescent="0.35">
      <c r="A41" s="554" t="s">
        <v>1014</v>
      </c>
      <c r="C41" s="562">
        <f t="shared" ref="C41:H41" si="9">SUM(C43:C48)</f>
        <v>-3844293</v>
      </c>
      <c r="D41" s="562">
        <f t="shared" si="9"/>
        <v>-8224780</v>
      </c>
      <c r="E41" s="562">
        <f t="shared" si="9"/>
        <v>-13107635</v>
      </c>
      <c r="F41" s="562">
        <f t="shared" si="9"/>
        <v>-18565736</v>
      </c>
      <c r="G41" s="562">
        <f t="shared" si="9"/>
        <v>-7380981</v>
      </c>
      <c r="H41" s="562">
        <f t="shared" si="9"/>
        <v>-14072959</v>
      </c>
      <c r="I41" s="562">
        <f>SUM(I43:I48)</f>
        <v>-20874221</v>
      </c>
      <c r="J41" s="562"/>
      <c r="K41" s="562"/>
      <c r="L41" s="562"/>
      <c r="M41" s="562"/>
      <c r="N41" s="562"/>
      <c r="O41" s="562"/>
      <c r="P41" s="562"/>
      <c r="Q41" s="562"/>
      <c r="R41" s="562"/>
      <c r="T41" s="562">
        <f>SUM(T43:T48)</f>
        <v>-6801262</v>
      </c>
    </row>
    <row r="42" spans="1:20" x14ac:dyDescent="0.35">
      <c r="A42" s="554"/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T42" s="559"/>
    </row>
    <row r="43" spans="1:20" x14ac:dyDescent="0.35">
      <c r="A43" s="555" t="s">
        <v>1015</v>
      </c>
      <c r="C43" s="560">
        <v>-2502942</v>
      </c>
      <c r="D43" s="560">
        <v>-5153736</v>
      </c>
      <c r="E43" s="560">
        <v>-7946223</v>
      </c>
      <c r="F43" s="560">
        <v>-10921316</v>
      </c>
      <c r="G43" s="560">
        <v>-4023373</v>
      </c>
      <c r="H43" s="560">
        <v>-7932754</v>
      </c>
      <c r="I43" s="560">
        <v>-12050138</v>
      </c>
      <c r="J43" s="560"/>
      <c r="K43" s="560"/>
      <c r="L43" s="560"/>
      <c r="M43" s="560"/>
      <c r="N43" s="560"/>
      <c r="O43" s="560"/>
      <c r="P43" s="560"/>
      <c r="Q43" s="560"/>
      <c r="R43" s="560"/>
      <c r="T43" s="560">
        <f t="shared" ref="T43:T47" si="10">I43-H43</f>
        <v>-4117384</v>
      </c>
    </row>
    <row r="44" spans="1:20" x14ac:dyDescent="0.35">
      <c r="A44" s="555" t="s">
        <v>1016</v>
      </c>
      <c r="C44" s="560">
        <v>-728259</v>
      </c>
      <c r="D44" s="560">
        <v>-1842486</v>
      </c>
      <c r="E44" s="560">
        <v>-3404095</v>
      </c>
      <c r="F44" s="560">
        <v>-5153279</v>
      </c>
      <c r="G44" s="560">
        <v>-2345389</v>
      </c>
      <c r="H44" s="560">
        <v>-4387094</v>
      </c>
      <c r="I44" s="560">
        <v>-6095659</v>
      </c>
      <c r="J44" s="560"/>
      <c r="K44" s="560"/>
      <c r="L44" s="560"/>
      <c r="M44" s="560"/>
      <c r="N44" s="560"/>
      <c r="O44" s="560"/>
      <c r="P44" s="560"/>
      <c r="Q44" s="560"/>
      <c r="R44" s="560"/>
      <c r="T44" s="560">
        <f t="shared" si="10"/>
        <v>-1708565</v>
      </c>
    </row>
    <row r="45" spans="1:20" x14ac:dyDescent="0.35">
      <c r="A45" s="555" t="s">
        <v>312</v>
      </c>
      <c r="C45" s="560">
        <v>-110182</v>
      </c>
      <c r="D45" s="560">
        <v>-147000</v>
      </c>
      <c r="E45" s="560">
        <v>-118080</v>
      </c>
      <c r="F45" s="560">
        <v>-118080</v>
      </c>
      <c r="G45" s="560">
        <v>0</v>
      </c>
      <c r="H45" s="560">
        <v>0</v>
      </c>
      <c r="I45" s="560">
        <v>0</v>
      </c>
      <c r="J45" s="560"/>
      <c r="K45" s="560"/>
      <c r="L45" s="560"/>
      <c r="M45" s="560"/>
      <c r="N45" s="560"/>
      <c r="O45" s="560"/>
      <c r="P45" s="560"/>
      <c r="Q45" s="560"/>
      <c r="R45" s="560"/>
      <c r="T45" s="560">
        <f t="shared" si="10"/>
        <v>0</v>
      </c>
    </row>
    <row r="46" spans="1:20" x14ac:dyDescent="0.35">
      <c r="A46" s="555" t="s">
        <v>1017</v>
      </c>
      <c r="C46" s="560">
        <v>10194</v>
      </c>
      <c r="D46" s="560">
        <v>13597</v>
      </c>
      <c r="E46" s="560">
        <v>10923</v>
      </c>
      <c r="F46" s="560">
        <v>10923</v>
      </c>
      <c r="G46" s="560">
        <v>0</v>
      </c>
      <c r="H46" s="560">
        <v>0</v>
      </c>
      <c r="I46" s="560">
        <v>0</v>
      </c>
      <c r="J46" s="560"/>
      <c r="K46" s="560"/>
      <c r="L46" s="560"/>
      <c r="M46" s="560"/>
      <c r="N46" s="560"/>
      <c r="O46" s="560"/>
      <c r="P46" s="560"/>
      <c r="Q46" s="560"/>
      <c r="R46" s="560"/>
      <c r="T46" s="560">
        <f t="shared" si="10"/>
        <v>0</v>
      </c>
    </row>
    <row r="47" spans="1:20" x14ac:dyDescent="0.35">
      <c r="A47" s="555" t="s">
        <v>259</v>
      </c>
      <c r="C47" s="560">
        <v>0</v>
      </c>
      <c r="D47" s="560">
        <v>0</v>
      </c>
      <c r="E47" s="560">
        <v>0</v>
      </c>
      <c r="F47" s="560">
        <v>0</v>
      </c>
      <c r="G47" s="560">
        <v>0</v>
      </c>
      <c r="H47" s="560">
        <v>0</v>
      </c>
      <c r="I47" s="560">
        <v>0</v>
      </c>
      <c r="J47" s="560"/>
      <c r="K47" s="560"/>
      <c r="L47" s="560"/>
      <c r="M47" s="560"/>
      <c r="N47" s="560"/>
      <c r="O47" s="560"/>
      <c r="P47" s="560"/>
      <c r="Q47" s="560"/>
      <c r="R47" s="560"/>
      <c r="T47" s="560">
        <f t="shared" si="10"/>
        <v>0</v>
      </c>
    </row>
    <row r="48" spans="1:20" x14ac:dyDescent="0.35">
      <c r="A48" s="555" t="s">
        <v>1018</v>
      </c>
      <c r="C48" s="560">
        <f t="shared" ref="C48:H48" si="11">SUM(C49:C55)</f>
        <v>-513104</v>
      </c>
      <c r="D48" s="560">
        <f t="shared" si="11"/>
        <v>-1095155</v>
      </c>
      <c r="E48" s="560">
        <f t="shared" si="11"/>
        <v>-1650160</v>
      </c>
      <c r="F48" s="560">
        <f t="shared" si="11"/>
        <v>-2383984</v>
      </c>
      <c r="G48" s="560">
        <f t="shared" si="11"/>
        <v>-1012219</v>
      </c>
      <c r="H48" s="560">
        <f t="shared" si="11"/>
        <v>-1753111</v>
      </c>
      <c r="I48" s="560">
        <f>SUM(I49:I55)</f>
        <v>-2728424</v>
      </c>
      <c r="J48" s="560"/>
      <c r="K48" s="560"/>
      <c r="L48" s="560"/>
      <c r="M48" s="560"/>
      <c r="N48" s="560"/>
      <c r="O48" s="560"/>
      <c r="P48" s="560"/>
      <c r="Q48" s="560"/>
      <c r="R48" s="560"/>
      <c r="T48" s="560">
        <f>SUM(T49:T55)</f>
        <v>-975313</v>
      </c>
    </row>
    <row r="49" spans="1:20" outlineLevel="1" x14ac:dyDescent="0.35">
      <c r="A49" s="556" t="s">
        <v>1019</v>
      </c>
      <c r="C49" s="561">
        <v>-112193</v>
      </c>
      <c r="D49" s="561">
        <v>-220407</v>
      </c>
      <c r="E49" s="561">
        <v>-305680</v>
      </c>
      <c r="F49" s="561">
        <v>-399075</v>
      </c>
      <c r="G49" s="561">
        <v>-108934</v>
      </c>
      <c r="H49" s="561">
        <v>-167230</v>
      </c>
      <c r="I49" s="561">
        <v>-248256</v>
      </c>
      <c r="J49" s="561"/>
      <c r="K49" s="561"/>
      <c r="L49" s="561"/>
      <c r="M49" s="561"/>
      <c r="N49" s="561"/>
      <c r="O49" s="561"/>
      <c r="P49" s="561"/>
      <c r="Q49" s="561"/>
      <c r="R49" s="561"/>
      <c r="T49" s="561">
        <f t="shared" ref="T49:T55" si="12">I49-H49</f>
        <v>-81026</v>
      </c>
    </row>
    <row r="50" spans="1:20" outlineLevel="1" x14ac:dyDescent="0.35">
      <c r="A50" s="556" t="s">
        <v>1020</v>
      </c>
      <c r="C50" s="561">
        <v>-20049</v>
      </c>
      <c r="D50" s="561">
        <v>-37983</v>
      </c>
      <c r="E50" s="561">
        <v>-60638</v>
      </c>
      <c r="F50" s="561">
        <v>-94222</v>
      </c>
      <c r="G50" s="561">
        <v>-25333</v>
      </c>
      <c r="H50" s="561">
        <v>-48037</v>
      </c>
      <c r="I50" s="561">
        <v>-85672</v>
      </c>
      <c r="J50" s="561"/>
      <c r="K50" s="561"/>
      <c r="L50" s="561"/>
      <c r="M50" s="561"/>
      <c r="N50" s="561"/>
      <c r="O50" s="561"/>
      <c r="P50" s="561"/>
      <c r="Q50" s="561"/>
      <c r="R50" s="561"/>
      <c r="T50" s="561">
        <f t="shared" si="12"/>
        <v>-37635</v>
      </c>
    </row>
    <row r="51" spans="1:20" outlineLevel="1" x14ac:dyDescent="0.35">
      <c r="A51" s="556" t="s">
        <v>1021</v>
      </c>
      <c r="C51" s="561">
        <v>-121484</v>
      </c>
      <c r="D51" s="561">
        <v>-265644</v>
      </c>
      <c r="E51" s="561">
        <v>-369949</v>
      </c>
      <c r="F51" s="561">
        <v>-632566</v>
      </c>
      <c r="G51" s="561">
        <v>-404953</v>
      </c>
      <c r="H51" s="561">
        <v>-644464</v>
      </c>
      <c r="I51" s="561">
        <v>-982058</v>
      </c>
      <c r="J51" s="561"/>
      <c r="K51" s="561"/>
      <c r="L51" s="561"/>
      <c r="M51" s="561"/>
      <c r="N51" s="561"/>
      <c r="O51" s="561"/>
      <c r="P51" s="561"/>
      <c r="Q51" s="561"/>
      <c r="R51" s="561"/>
      <c r="T51" s="561">
        <f t="shared" si="12"/>
        <v>-337594</v>
      </c>
    </row>
    <row r="52" spans="1:20" outlineLevel="1" x14ac:dyDescent="0.35">
      <c r="A52" s="556" t="s">
        <v>1022</v>
      </c>
      <c r="C52" s="561">
        <v>-208295</v>
      </c>
      <c r="D52" s="561">
        <v>-472223</v>
      </c>
      <c r="E52" s="561">
        <v>-743900</v>
      </c>
      <c r="F52" s="561">
        <v>-1055241</v>
      </c>
      <c r="G52" s="561">
        <v>-389894</v>
      </c>
      <c r="H52" s="561">
        <v>-755380</v>
      </c>
      <c r="I52" s="561">
        <v>-1212233</v>
      </c>
      <c r="J52" s="561"/>
      <c r="K52" s="561"/>
      <c r="L52" s="561"/>
      <c r="M52" s="561"/>
      <c r="N52" s="561"/>
      <c r="O52" s="561"/>
      <c r="P52" s="561"/>
      <c r="Q52" s="561"/>
      <c r="R52" s="561"/>
      <c r="T52" s="561">
        <f t="shared" si="12"/>
        <v>-456853</v>
      </c>
    </row>
    <row r="53" spans="1:20" outlineLevel="1" x14ac:dyDescent="0.35">
      <c r="A53" s="556" t="s">
        <v>1023</v>
      </c>
      <c r="C53" s="561">
        <v>-33042</v>
      </c>
      <c r="D53" s="561">
        <v>-34194</v>
      </c>
      <c r="E53" s="561">
        <v>-50781</v>
      </c>
      <c r="F53" s="561">
        <v>-38269</v>
      </c>
      <c r="G53" s="561">
        <v>-7576</v>
      </c>
      <c r="H53" s="561">
        <v>-8072</v>
      </c>
      <c r="I53" s="561">
        <v>2313</v>
      </c>
      <c r="J53" s="561"/>
      <c r="K53" s="561"/>
      <c r="L53" s="561"/>
      <c r="M53" s="561"/>
      <c r="N53" s="561"/>
      <c r="O53" s="561"/>
      <c r="P53" s="561"/>
      <c r="Q53" s="561"/>
      <c r="R53" s="561"/>
      <c r="T53" s="561">
        <f t="shared" si="12"/>
        <v>10385</v>
      </c>
    </row>
    <row r="54" spans="1:20" outlineLevel="1" x14ac:dyDescent="0.35">
      <c r="A54" s="556" t="s">
        <v>1024</v>
      </c>
      <c r="C54" s="561">
        <v>-2113</v>
      </c>
      <c r="D54" s="561">
        <v>607</v>
      </c>
      <c r="E54" s="561">
        <v>1164</v>
      </c>
      <c r="F54" s="561">
        <v>478</v>
      </c>
      <c r="G54" s="561">
        <v>-1697</v>
      </c>
      <c r="H54" s="561">
        <v>1219</v>
      </c>
      <c r="I54" s="561">
        <v>-490</v>
      </c>
      <c r="J54" s="561"/>
      <c r="K54" s="561"/>
      <c r="L54" s="561"/>
      <c r="M54" s="561"/>
      <c r="N54" s="561"/>
      <c r="O54" s="561"/>
      <c r="P54" s="561"/>
      <c r="Q54" s="561"/>
      <c r="R54" s="561"/>
      <c r="T54" s="561">
        <f t="shared" si="12"/>
        <v>-1709</v>
      </c>
    </row>
    <row r="55" spans="1:20" outlineLevel="1" x14ac:dyDescent="0.35">
      <c r="A55" s="556" t="s">
        <v>1025</v>
      </c>
      <c r="C55" s="561">
        <v>-15928</v>
      </c>
      <c r="D55" s="561">
        <v>-65311</v>
      </c>
      <c r="E55" s="561">
        <v>-120376</v>
      </c>
      <c r="F55" s="561">
        <v>-165089</v>
      </c>
      <c r="G55" s="561">
        <v>-73832</v>
      </c>
      <c r="H55" s="561">
        <v>-131147</v>
      </c>
      <c r="I55" s="561">
        <v>-202028</v>
      </c>
      <c r="J55" s="561"/>
      <c r="K55" s="561"/>
      <c r="L55" s="561"/>
      <c r="M55" s="561"/>
      <c r="N55" s="561"/>
      <c r="O55" s="561"/>
      <c r="P55" s="561"/>
      <c r="Q55" s="561"/>
      <c r="R55" s="561"/>
      <c r="T55" s="561">
        <f t="shared" si="12"/>
        <v>-70881</v>
      </c>
    </row>
    <row r="56" spans="1:20" x14ac:dyDescent="0.35">
      <c r="A56" s="555"/>
      <c r="C56" s="555"/>
      <c r="D56" s="555"/>
      <c r="E56" s="555"/>
      <c r="F56" s="555"/>
      <c r="G56" s="555"/>
      <c r="H56" s="555"/>
      <c r="I56" s="555"/>
      <c r="J56" s="555"/>
      <c r="K56" s="555"/>
      <c r="L56" s="555"/>
      <c r="M56" s="555"/>
      <c r="N56" s="555"/>
      <c r="O56" s="555"/>
      <c r="P56" s="555"/>
      <c r="Q56" s="555"/>
      <c r="R56" s="555"/>
      <c r="T56" s="555"/>
    </row>
    <row r="57" spans="1:20" x14ac:dyDescent="0.35">
      <c r="A57" s="567" t="s">
        <v>1026</v>
      </c>
      <c r="C57" s="558">
        <f t="shared" ref="C57:H57" si="13">C39+C41</f>
        <v>1998896</v>
      </c>
      <c r="D57" s="558">
        <f t="shared" si="13"/>
        <v>4158756</v>
      </c>
      <c r="E57" s="558">
        <f t="shared" si="13"/>
        <v>6107937</v>
      </c>
      <c r="F57" s="558">
        <f t="shared" si="13"/>
        <v>8566771</v>
      </c>
      <c r="G57" s="558">
        <f t="shared" si="13"/>
        <v>2795593</v>
      </c>
      <c r="H57" s="558">
        <f t="shared" si="13"/>
        <v>5558937</v>
      </c>
      <c r="I57" s="558">
        <f>I39+I41</f>
        <v>8865348</v>
      </c>
      <c r="J57" s="558"/>
      <c r="K57" s="558"/>
      <c r="L57" s="558"/>
      <c r="M57" s="558"/>
      <c r="N57" s="558"/>
      <c r="O57" s="558"/>
      <c r="P57" s="558"/>
      <c r="Q57" s="558"/>
      <c r="R57" s="558"/>
      <c r="T57" s="558">
        <f>T39+T41</f>
        <v>3306411</v>
      </c>
    </row>
    <row r="58" spans="1:20" x14ac:dyDescent="0.35">
      <c r="A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T58" s="555"/>
    </row>
    <row r="59" spans="1:20" x14ac:dyDescent="0.35">
      <c r="A59" s="554" t="s">
        <v>1027</v>
      </c>
      <c r="C59" s="562">
        <f t="shared" ref="C59:H59" si="14">C61+C67+C68+C77+C78</f>
        <v>-729355</v>
      </c>
      <c r="D59" s="562">
        <f t="shared" si="14"/>
        <v>-1664752</v>
      </c>
      <c r="E59" s="562">
        <f t="shared" si="14"/>
        <v>-2432215</v>
      </c>
      <c r="F59" s="562">
        <f t="shared" si="14"/>
        <v>-3289558</v>
      </c>
      <c r="G59" s="562">
        <f t="shared" si="14"/>
        <v>-921902</v>
      </c>
      <c r="H59" s="562">
        <f t="shared" si="14"/>
        <v>-1883470</v>
      </c>
      <c r="I59" s="562">
        <f>I61+I67+I68+I77+I78</f>
        <v>-2988507</v>
      </c>
      <c r="J59" s="562"/>
      <c r="K59" s="562"/>
      <c r="L59" s="562"/>
      <c r="M59" s="562"/>
      <c r="N59" s="562"/>
      <c r="O59" s="562"/>
      <c r="P59" s="562"/>
      <c r="Q59" s="562"/>
      <c r="R59" s="562"/>
      <c r="T59" s="562">
        <f>T61+T67+T68+T77+T78</f>
        <v>-1105037</v>
      </c>
    </row>
    <row r="60" spans="1:20" x14ac:dyDescent="0.35">
      <c r="A60" s="554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T60" s="559"/>
    </row>
    <row r="61" spans="1:20" x14ac:dyDescent="0.35">
      <c r="A61" s="557" t="s">
        <v>1028</v>
      </c>
      <c r="C61" s="560">
        <f t="shared" ref="C61:H61" si="15">SUM(C62:C66)</f>
        <v>-174055</v>
      </c>
      <c r="D61" s="560">
        <f t="shared" si="15"/>
        <v>-389406</v>
      </c>
      <c r="E61" s="560">
        <f t="shared" si="15"/>
        <v>-596929</v>
      </c>
      <c r="F61" s="560">
        <f t="shared" si="15"/>
        <v>-789078</v>
      </c>
      <c r="G61" s="560">
        <f t="shared" si="15"/>
        <v>-242005</v>
      </c>
      <c r="H61" s="560">
        <f t="shared" si="15"/>
        <v>-482904</v>
      </c>
      <c r="I61" s="560">
        <f>SUM(I62:I66)</f>
        <v>-713887</v>
      </c>
      <c r="J61" s="560"/>
      <c r="K61" s="560"/>
      <c r="L61" s="560"/>
      <c r="M61" s="560"/>
      <c r="N61" s="560"/>
      <c r="O61" s="560"/>
      <c r="P61" s="560"/>
      <c r="Q61" s="560"/>
      <c r="R61" s="560"/>
      <c r="T61" s="560">
        <f>SUM(T62:T66)</f>
        <v>-230983</v>
      </c>
    </row>
    <row r="62" spans="1:20" outlineLevel="1" x14ac:dyDescent="0.35">
      <c r="A62" s="556" t="s">
        <v>1029</v>
      </c>
      <c r="C62" s="561">
        <v>-53565</v>
      </c>
      <c r="D62" s="561">
        <v>-114495</v>
      </c>
      <c r="E62" s="561">
        <v>-152028</v>
      </c>
      <c r="F62" s="561">
        <v>-186435</v>
      </c>
      <c r="G62" s="561">
        <v>-62773</v>
      </c>
      <c r="H62" s="561">
        <v>-98719</v>
      </c>
      <c r="I62" s="561">
        <v>-136672</v>
      </c>
      <c r="J62" s="561"/>
      <c r="K62" s="561"/>
      <c r="L62" s="561"/>
      <c r="M62" s="561"/>
      <c r="N62" s="561"/>
      <c r="O62" s="561"/>
      <c r="P62" s="561"/>
      <c r="Q62" s="561"/>
      <c r="R62" s="561"/>
      <c r="T62" s="561">
        <f t="shared" ref="T62:T67" si="16">I62-H62</f>
        <v>-37953</v>
      </c>
    </row>
    <row r="63" spans="1:20" outlineLevel="1" x14ac:dyDescent="0.35">
      <c r="A63" s="556" t="s">
        <v>1030</v>
      </c>
      <c r="C63" s="561">
        <v>-6677</v>
      </c>
      <c r="D63" s="561">
        <v>-12626</v>
      </c>
      <c r="E63" s="561">
        <v>-20771</v>
      </c>
      <c r="F63" s="561">
        <v>-30737</v>
      </c>
      <c r="G63" s="561">
        <v>-7292</v>
      </c>
      <c r="H63" s="561">
        <v>-19052</v>
      </c>
      <c r="I63" s="561">
        <v>-30547</v>
      </c>
      <c r="J63" s="561"/>
      <c r="K63" s="561"/>
      <c r="L63" s="561"/>
      <c r="M63" s="561"/>
      <c r="N63" s="561"/>
      <c r="O63" s="561"/>
      <c r="P63" s="561"/>
      <c r="Q63" s="561"/>
      <c r="R63" s="561"/>
      <c r="T63" s="561">
        <f t="shared" si="16"/>
        <v>-11495</v>
      </c>
    </row>
    <row r="64" spans="1:20" outlineLevel="1" x14ac:dyDescent="0.35">
      <c r="A64" s="556" t="s">
        <v>1031</v>
      </c>
      <c r="C64" s="561">
        <v>-110381</v>
      </c>
      <c r="D64" s="561">
        <v>-252529</v>
      </c>
      <c r="E64" s="561">
        <v>-411199</v>
      </c>
      <c r="F64" s="561">
        <v>-545118</v>
      </c>
      <c r="G64" s="561">
        <v>-156565</v>
      </c>
      <c r="H64" s="561">
        <v>-350996</v>
      </c>
      <c r="I64" s="561">
        <v>-528294</v>
      </c>
      <c r="J64" s="561"/>
      <c r="K64" s="561"/>
      <c r="L64" s="561"/>
      <c r="M64" s="561"/>
      <c r="N64" s="561"/>
      <c r="O64" s="561"/>
      <c r="P64" s="561"/>
      <c r="Q64" s="561"/>
      <c r="R64" s="561"/>
      <c r="T64" s="561">
        <f t="shared" si="16"/>
        <v>-177298</v>
      </c>
    </row>
    <row r="65" spans="1:20" outlineLevel="1" x14ac:dyDescent="0.35">
      <c r="A65" s="556" t="s">
        <v>1032</v>
      </c>
      <c r="C65" s="561">
        <v>-2371</v>
      </c>
      <c r="D65" s="561">
        <v>-4495</v>
      </c>
      <c r="E65" s="561">
        <v>-7410</v>
      </c>
      <c r="F65" s="561">
        <v>-10548</v>
      </c>
      <c r="G65" s="561">
        <v>-3249</v>
      </c>
      <c r="H65" s="561">
        <v>-6085</v>
      </c>
      <c r="I65" s="561">
        <v>-9301</v>
      </c>
      <c r="J65" s="561"/>
      <c r="K65" s="561"/>
      <c r="L65" s="561"/>
      <c r="M65" s="561"/>
      <c r="N65" s="561"/>
      <c r="O65" s="561"/>
      <c r="P65" s="561"/>
      <c r="Q65" s="561"/>
      <c r="R65" s="561"/>
      <c r="T65" s="561">
        <f t="shared" si="16"/>
        <v>-3216</v>
      </c>
    </row>
    <row r="66" spans="1:20" outlineLevel="1" x14ac:dyDescent="0.35">
      <c r="A66" s="556" t="s">
        <v>1033</v>
      </c>
      <c r="C66" s="561">
        <v>-1061</v>
      </c>
      <c r="D66" s="561">
        <v>-5261</v>
      </c>
      <c r="E66" s="561">
        <v>-5521</v>
      </c>
      <c r="F66" s="561">
        <v>-16240</v>
      </c>
      <c r="G66" s="561">
        <v>-12126</v>
      </c>
      <c r="H66" s="561">
        <v>-8052</v>
      </c>
      <c r="I66" s="561">
        <v>-9073</v>
      </c>
      <c r="J66" s="561"/>
      <c r="K66" s="561"/>
      <c r="L66" s="561"/>
      <c r="M66" s="561"/>
      <c r="N66" s="561"/>
      <c r="O66" s="561"/>
      <c r="P66" s="561"/>
      <c r="Q66" s="561"/>
      <c r="R66" s="561"/>
      <c r="T66" s="561">
        <f t="shared" si="16"/>
        <v>-1021</v>
      </c>
    </row>
    <row r="67" spans="1:20" x14ac:dyDescent="0.35">
      <c r="A67" s="555" t="s">
        <v>1034</v>
      </c>
      <c r="C67" s="563">
        <v>-125508</v>
      </c>
      <c r="D67" s="563">
        <v>-207329</v>
      </c>
      <c r="E67" s="563">
        <v>-291250</v>
      </c>
      <c r="F67" s="563">
        <v>-264995</v>
      </c>
      <c r="G67" s="563">
        <v>-131090</v>
      </c>
      <c r="H67" s="563">
        <v>-52809</v>
      </c>
      <c r="I67" s="563">
        <v>-185099</v>
      </c>
      <c r="J67" s="563"/>
      <c r="K67" s="563"/>
      <c r="L67" s="563"/>
      <c r="M67" s="563"/>
      <c r="N67" s="563"/>
      <c r="O67" s="563"/>
      <c r="P67" s="563"/>
      <c r="Q67" s="563"/>
      <c r="R67" s="563"/>
      <c r="T67" s="563">
        <f t="shared" si="16"/>
        <v>-132290</v>
      </c>
    </row>
    <row r="68" spans="1:20" x14ac:dyDescent="0.35">
      <c r="A68" s="555" t="s">
        <v>1035</v>
      </c>
      <c r="C68" s="560">
        <f t="shared" ref="C68:H68" si="17">SUM(C69:C76)</f>
        <v>-328011</v>
      </c>
      <c r="D68" s="560">
        <f t="shared" si="17"/>
        <v>-768912</v>
      </c>
      <c r="E68" s="560">
        <f t="shared" si="17"/>
        <v>-1131993</v>
      </c>
      <c r="F68" s="560">
        <f t="shared" si="17"/>
        <v>-1598146</v>
      </c>
      <c r="G68" s="560">
        <f t="shared" si="17"/>
        <v>-535252</v>
      </c>
      <c r="H68" s="560">
        <f t="shared" si="17"/>
        <v>-1113272</v>
      </c>
      <c r="I68" s="560">
        <f>SUM(I69:I76)</f>
        <v>-1687049</v>
      </c>
      <c r="J68" s="560"/>
      <c r="K68" s="560"/>
      <c r="L68" s="560"/>
      <c r="M68" s="560"/>
      <c r="N68" s="560"/>
      <c r="O68" s="560"/>
      <c r="P68" s="560"/>
      <c r="Q68" s="560"/>
      <c r="R68" s="560"/>
      <c r="T68" s="560">
        <f>SUM(T69:T76)</f>
        <v>-573777</v>
      </c>
    </row>
    <row r="69" spans="1:20" outlineLevel="1" x14ac:dyDescent="0.35">
      <c r="A69" s="556" t="s">
        <v>1036</v>
      </c>
      <c r="C69" s="561">
        <v>-88589</v>
      </c>
      <c r="D69" s="561">
        <v>-182276</v>
      </c>
      <c r="E69" s="561">
        <v>-281548</v>
      </c>
      <c r="F69" s="561">
        <v>-435193</v>
      </c>
      <c r="G69" s="561">
        <v>-160046</v>
      </c>
      <c r="H69" s="561">
        <v>-402491</v>
      </c>
      <c r="I69" s="561">
        <v>-600800</v>
      </c>
      <c r="J69" s="561"/>
      <c r="K69" s="561"/>
      <c r="L69" s="561"/>
      <c r="M69" s="561"/>
      <c r="N69" s="561"/>
      <c r="O69" s="561"/>
      <c r="P69" s="561"/>
      <c r="Q69" s="561"/>
      <c r="R69" s="561"/>
      <c r="T69" s="561">
        <f t="shared" ref="T69:T77" si="18">I69-H69</f>
        <v>-198309</v>
      </c>
    </row>
    <row r="70" spans="1:20" outlineLevel="1" x14ac:dyDescent="0.35">
      <c r="A70" s="556" t="s">
        <v>1037</v>
      </c>
      <c r="C70" s="561">
        <v>-5383</v>
      </c>
      <c r="D70" s="561">
        <v>-9149</v>
      </c>
      <c r="E70" s="561">
        <v>-13672</v>
      </c>
      <c r="F70" s="561">
        <v>-15142</v>
      </c>
      <c r="G70" s="561">
        <v>-13222</v>
      </c>
      <c r="H70" s="561">
        <v>349</v>
      </c>
      <c r="I70" s="561">
        <v>7653</v>
      </c>
      <c r="J70" s="561"/>
      <c r="K70" s="561"/>
      <c r="L70" s="561"/>
      <c r="M70" s="561"/>
      <c r="N70" s="561"/>
      <c r="O70" s="561"/>
      <c r="P70" s="561"/>
      <c r="Q70" s="561"/>
      <c r="R70" s="561"/>
      <c r="T70" s="561">
        <f t="shared" si="18"/>
        <v>7304</v>
      </c>
    </row>
    <row r="71" spans="1:20" outlineLevel="1" x14ac:dyDescent="0.35">
      <c r="A71" s="556" t="s">
        <v>1038</v>
      </c>
      <c r="C71" s="561">
        <v>-92712</v>
      </c>
      <c r="D71" s="561">
        <v>-205347</v>
      </c>
      <c r="E71" s="561">
        <v>-274418</v>
      </c>
      <c r="F71" s="561">
        <v>-362403</v>
      </c>
      <c r="G71" s="561">
        <v>-98756</v>
      </c>
      <c r="H71" s="561">
        <v>-170173</v>
      </c>
      <c r="I71" s="561">
        <v>-312573</v>
      </c>
      <c r="J71" s="561"/>
      <c r="K71" s="561"/>
      <c r="L71" s="561"/>
      <c r="M71" s="561"/>
      <c r="N71" s="561"/>
      <c r="O71" s="561"/>
      <c r="P71" s="561"/>
      <c r="Q71" s="561"/>
      <c r="R71" s="561"/>
      <c r="T71" s="561">
        <f t="shared" si="18"/>
        <v>-142400</v>
      </c>
    </row>
    <row r="72" spans="1:20" outlineLevel="1" x14ac:dyDescent="0.35">
      <c r="A72" s="556" t="s">
        <v>1039</v>
      </c>
      <c r="C72" s="561">
        <v>-301</v>
      </c>
      <c r="D72" s="561">
        <v>-2582</v>
      </c>
      <c r="E72" s="561">
        <v>-4011</v>
      </c>
      <c r="F72" s="561">
        <v>-7720</v>
      </c>
      <c r="G72" s="561">
        <v>1762</v>
      </c>
      <c r="H72" s="561">
        <v>-5729</v>
      </c>
      <c r="I72" s="561">
        <v>-12653</v>
      </c>
      <c r="J72" s="561"/>
      <c r="K72" s="561"/>
      <c r="L72" s="561"/>
      <c r="M72" s="561"/>
      <c r="N72" s="561"/>
      <c r="O72" s="561"/>
      <c r="P72" s="561"/>
      <c r="Q72" s="561"/>
      <c r="R72" s="561"/>
      <c r="T72" s="561">
        <f t="shared" si="18"/>
        <v>-6924</v>
      </c>
    </row>
    <row r="73" spans="1:20" outlineLevel="1" x14ac:dyDescent="0.35">
      <c r="A73" s="556" t="s">
        <v>1040</v>
      </c>
      <c r="C73" s="561">
        <v>-6017</v>
      </c>
      <c r="D73" s="561">
        <v>-11787</v>
      </c>
      <c r="E73" s="561">
        <v>-697</v>
      </c>
      <c r="F73" s="561">
        <v>-5335</v>
      </c>
      <c r="G73" s="561">
        <v>-22589</v>
      </c>
      <c r="H73" s="561">
        <v>-58849</v>
      </c>
      <c r="I73" s="561">
        <v>-95101</v>
      </c>
      <c r="J73" s="561"/>
      <c r="K73" s="561"/>
      <c r="L73" s="561"/>
      <c r="M73" s="561"/>
      <c r="N73" s="561"/>
      <c r="O73" s="561"/>
      <c r="P73" s="561"/>
      <c r="Q73" s="561"/>
      <c r="R73" s="561"/>
      <c r="T73" s="561">
        <f t="shared" si="18"/>
        <v>-36252</v>
      </c>
    </row>
    <row r="74" spans="1:20" outlineLevel="1" x14ac:dyDescent="0.35">
      <c r="A74" s="556" t="s">
        <v>1041</v>
      </c>
      <c r="C74" s="561">
        <v>-21124</v>
      </c>
      <c r="D74" s="561">
        <v>-34568</v>
      </c>
      <c r="E74" s="561">
        <v>-62889</v>
      </c>
      <c r="F74" s="561">
        <v>-102476</v>
      </c>
      <c r="G74" s="561">
        <v>-41152</v>
      </c>
      <c r="H74" s="561">
        <v>-72641</v>
      </c>
      <c r="I74" s="561">
        <v>-95204</v>
      </c>
      <c r="J74" s="561"/>
      <c r="K74" s="561"/>
      <c r="L74" s="561"/>
      <c r="M74" s="561"/>
      <c r="N74" s="561"/>
      <c r="O74" s="561"/>
      <c r="P74" s="561"/>
      <c r="Q74" s="561"/>
      <c r="R74" s="561"/>
      <c r="T74" s="561">
        <f t="shared" si="18"/>
        <v>-22563</v>
      </c>
    </row>
    <row r="75" spans="1:20" outlineLevel="1" x14ac:dyDescent="0.35">
      <c r="A75" s="556" t="s">
        <v>1042</v>
      </c>
      <c r="C75" s="561">
        <v>-47365</v>
      </c>
      <c r="D75" s="561">
        <v>-94979</v>
      </c>
      <c r="E75" s="561">
        <v>-122422</v>
      </c>
      <c r="F75" s="561">
        <v>-154475</v>
      </c>
      <c r="G75" s="561">
        <v>-51196</v>
      </c>
      <c r="H75" s="561">
        <v>-117960</v>
      </c>
      <c r="I75" s="561">
        <v>-148766</v>
      </c>
      <c r="J75" s="561"/>
      <c r="K75" s="561"/>
      <c r="L75" s="561"/>
      <c r="M75" s="561"/>
      <c r="N75" s="561"/>
      <c r="O75" s="561"/>
      <c r="P75" s="561"/>
      <c r="Q75" s="561"/>
      <c r="R75" s="561"/>
      <c r="T75" s="561">
        <f t="shared" si="18"/>
        <v>-30806</v>
      </c>
    </row>
    <row r="76" spans="1:20" outlineLevel="1" x14ac:dyDescent="0.35">
      <c r="A76" s="556" t="s">
        <v>1043</v>
      </c>
      <c r="C76" s="561">
        <v>-66520</v>
      </c>
      <c r="D76" s="561">
        <v>-228224</v>
      </c>
      <c r="E76" s="561">
        <v>-372336</v>
      </c>
      <c r="F76" s="561">
        <v>-515402</v>
      </c>
      <c r="G76" s="561">
        <v>-150053</v>
      </c>
      <c r="H76" s="561">
        <v>-285778</v>
      </c>
      <c r="I76" s="561">
        <v>-429605</v>
      </c>
      <c r="J76" s="561"/>
      <c r="K76" s="561"/>
      <c r="L76" s="561"/>
      <c r="M76" s="561"/>
      <c r="N76" s="561"/>
      <c r="O76" s="561"/>
      <c r="P76" s="561"/>
      <c r="Q76" s="561"/>
      <c r="R76" s="561"/>
      <c r="T76" s="561">
        <f t="shared" si="18"/>
        <v>-143827</v>
      </c>
    </row>
    <row r="77" spans="1:20" x14ac:dyDescent="0.35">
      <c r="A77" s="555" t="s">
        <v>1044</v>
      </c>
      <c r="C77" s="560">
        <v>0</v>
      </c>
      <c r="D77" s="560">
        <v>0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/>
      <c r="K77" s="560"/>
      <c r="L77" s="560"/>
      <c r="M77" s="560"/>
      <c r="N77" s="560"/>
      <c r="O77" s="560"/>
      <c r="P77" s="560"/>
      <c r="Q77" s="560"/>
      <c r="R77" s="560"/>
      <c r="T77" s="560">
        <f t="shared" si="18"/>
        <v>0</v>
      </c>
    </row>
    <row r="78" spans="1:20" x14ac:dyDescent="0.35">
      <c r="A78" s="555" t="s">
        <v>1045</v>
      </c>
      <c r="C78" s="560">
        <f t="shared" ref="C78:H78" si="19">SUM(C79:C80)</f>
        <v>-101781</v>
      </c>
      <c r="D78" s="560">
        <f t="shared" si="19"/>
        <v>-299105</v>
      </c>
      <c r="E78" s="560">
        <f t="shared" si="19"/>
        <v>-412043</v>
      </c>
      <c r="F78" s="560">
        <f t="shared" si="19"/>
        <v>-637339</v>
      </c>
      <c r="G78" s="560">
        <f t="shared" si="19"/>
        <v>-13555</v>
      </c>
      <c r="H78" s="560">
        <f t="shared" si="19"/>
        <v>-234485</v>
      </c>
      <c r="I78" s="560">
        <f>SUM(I79:I80)</f>
        <v>-402472</v>
      </c>
      <c r="J78" s="560"/>
      <c r="K78" s="560"/>
      <c r="L78" s="560"/>
      <c r="M78" s="560"/>
      <c r="N78" s="560"/>
      <c r="O78" s="560"/>
      <c r="P78" s="560"/>
      <c r="Q78" s="560"/>
      <c r="R78" s="560"/>
      <c r="T78" s="560">
        <f>SUM(T79:T80)</f>
        <v>-167987</v>
      </c>
    </row>
    <row r="79" spans="1:20" outlineLevel="1" x14ac:dyDescent="0.35">
      <c r="A79" s="556" t="s">
        <v>1046</v>
      </c>
      <c r="C79" s="561">
        <v>-13637</v>
      </c>
      <c r="D79" s="561">
        <v>-62675</v>
      </c>
      <c r="E79" s="561">
        <v>-95942</v>
      </c>
      <c r="F79" s="561">
        <v>-104006</v>
      </c>
      <c r="G79" s="561">
        <v>-13440</v>
      </c>
      <c r="H79" s="561">
        <v>-33113</v>
      </c>
      <c r="I79" s="561">
        <v>-62630</v>
      </c>
      <c r="J79" s="561"/>
      <c r="K79" s="561"/>
      <c r="L79" s="561"/>
      <c r="M79" s="561"/>
      <c r="N79" s="561"/>
      <c r="O79" s="561"/>
      <c r="P79" s="561"/>
      <c r="Q79" s="561"/>
      <c r="R79" s="561"/>
      <c r="T79" s="561">
        <f t="shared" ref="T79:T80" si="20">I79-H79</f>
        <v>-29517</v>
      </c>
    </row>
    <row r="80" spans="1:20" outlineLevel="1" x14ac:dyDescent="0.35">
      <c r="A80" s="556" t="s">
        <v>1047</v>
      </c>
      <c r="C80" s="561">
        <v>-88144</v>
      </c>
      <c r="D80" s="561">
        <v>-236430</v>
      </c>
      <c r="E80" s="561">
        <v>-316101</v>
      </c>
      <c r="F80" s="561">
        <v>-533333</v>
      </c>
      <c r="G80" s="561">
        <v>-115</v>
      </c>
      <c r="H80" s="561">
        <v>-201372</v>
      </c>
      <c r="I80" s="561">
        <v>-339842</v>
      </c>
      <c r="J80" s="561"/>
      <c r="K80" s="561"/>
      <c r="L80" s="561"/>
      <c r="M80" s="561"/>
      <c r="N80" s="561"/>
      <c r="O80" s="561"/>
      <c r="P80" s="561"/>
      <c r="Q80" s="561"/>
      <c r="R80" s="561"/>
      <c r="T80" s="561">
        <f t="shared" si="20"/>
        <v>-138470</v>
      </c>
    </row>
    <row r="81" spans="1:20" x14ac:dyDescent="0.35">
      <c r="A81" s="555"/>
      <c r="C81" s="555"/>
      <c r="D81" s="555"/>
      <c r="E81" s="555"/>
      <c r="F81" s="555"/>
      <c r="G81" s="555"/>
      <c r="H81" s="555"/>
      <c r="I81" s="555"/>
      <c r="J81" s="555"/>
      <c r="K81" s="555"/>
      <c r="L81" s="555"/>
      <c r="M81" s="555"/>
      <c r="N81" s="555"/>
      <c r="O81" s="555"/>
      <c r="P81" s="555"/>
      <c r="Q81" s="555"/>
      <c r="R81" s="555"/>
      <c r="T81" s="555"/>
    </row>
    <row r="82" spans="1:20" x14ac:dyDescent="0.35">
      <c r="A82" s="567" t="s">
        <v>272</v>
      </c>
      <c r="C82" s="558">
        <f t="shared" ref="C82:H82" si="21">C84-C75-C52-C76</f>
        <v>1591721</v>
      </c>
      <c r="D82" s="558">
        <f t="shared" si="21"/>
        <v>3289430</v>
      </c>
      <c r="E82" s="558">
        <f t="shared" si="21"/>
        <v>4914380</v>
      </c>
      <c r="F82" s="558">
        <f t="shared" si="21"/>
        <v>7002331</v>
      </c>
      <c r="G82" s="558">
        <f t="shared" si="21"/>
        <v>2464834</v>
      </c>
      <c r="H82" s="558">
        <f t="shared" si="21"/>
        <v>4834585</v>
      </c>
      <c r="I82" s="558">
        <f>I84-I75-I52-I76</f>
        <v>7667445</v>
      </c>
      <c r="J82" s="558"/>
      <c r="K82" s="558"/>
      <c r="L82" s="558"/>
      <c r="M82" s="558"/>
      <c r="N82" s="558"/>
      <c r="O82" s="558"/>
      <c r="P82" s="558"/>
      <c r="Q82" s="558"/>
      <c r="R82" s="558"/>
      <c r="T82" s="558">
        <f>T84-T75-T52-T76</f>
        <v>2832860</v>
      </c>
    </row>
    <row r="83" spans="1:20" x14ac:dyDescent="0.35">
      <c r="A83" s="555"/>
      <c r="C83" s="555"/>
      <c r="D83" s="555"/>
      <c r="E83" s="555"/>
      <c r="F83" s="555"/>
      <c r="G83" s="555"/>
      <c r="H83" s="555"/>
      <c r="I83" s="555"/>
      <c r="J83" s="555"/>
      <c r="K83" s="555"/>
      <c r="L83" s="555"/>
      <c r="M83" s="555"/>
      <c r="N83" s="555"/>
      <c r="O83" s="555"/>
      <c r="P83" s="555"/>
      <c r="Q83" s="555"/>
      <c r="R83" s="555"/>
      <c r="T83" s="555"/>
    </row>
    <row r="84" spans="1:20" x14ac:dyDescent="0.35">
      <c r="A84" s="567" t="s">
        <v>1048</v>
      </c>
      <c r="C84" s="558">
        <f t="shared" ref="C84:H84" si="22">C57+C59</f>
        <v>1269541</v>
      </c>
      <c r="D84" s="558">
        <f t="shared" si="22"/>
        <v>2494004</v>
      </c>
      <c r="E84" s="558">
        <f t="shared" si="22"/>
        <v>3675722</v>
      </c>
      <c r="F84" s="558">
        <f t="shared" si="22"/>
        <v>5277213</v>
      </c>
      <c r="G84" s="558">
        <f t="shared" si="22"/>
        <v>1873691</v>
      </c>
      <c r="H84" s="558">
        <f t="shared" si="22"/>
        <v>3675467</v>
      </c>
      <c r="I84" s="558">
        <f>I57+I59</f>
        <v>5876841</v>
      </c>
      <c r="J84" s="558"/>
      <c r="K84" s="558"/>
      <c r="L84" s="558"/>
      <c r="M84" s="558"/>
      <c r="N84" s="558"/>
      <c r="O84" s="558"/>
      <c r="P84" s="558"/>
      <c r="Q84" s="558"/>
      <c r="R84" s="558"/>
      <c r="T84" s="558">
        <f>T57+T59</f>
        <v>2201374</v>
      </c>
    </row>
    <row r="85" spans="1:20" x14ac:dyDescent="0.35">
      <c r="A85" s="555"/>
      <c r="C85" s="555"/>
      <c r="D85" s="555"/>
      <c r="E85" s="555"/>
      <c r="F85" s="555"/>
      <c r="G85" s="555"/>
      <c r="H85" s="555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T85" s="555"/>
    </row>
    <row r="86" spans="1:20" x14ac:dyDescent="0.35">
      <c r="A86" s="567" t="s">
        <v>277</v>
      </c>
      <c r="C86" s="558">
        <f t="shared" ref="C86:H86" si="23">C88+C97</f>
        <v>-360477</v>
      </c>
      <c r="D86" s="558">
        <f t="shared" si="23"/>
        <v>-1461204</v>
      </c>
      <c r="E86" s="558">
        <f t="shared" si="23"/>
        <v>-1906799</v>
      </c>
      <c r="F86" s="558">
        <f t="shared" si="23"/>
        <v>-2584476</v>
      </c>
      <c r="G86" s="558">
        <f t="shared" si="23"/>
        <v>-1500353</v>
      </c>
      <c r="H86" s="558">
        <f t="shared" si="23"/>
        <v>-2598176</v>
      </c>
      <c r="I86" s="558">
        <f>I88+I97</f>
        <v>-3586325</v>
      </c>
      <c r="J86" s="558"/>
      <c r="K86" s="558"/>
      <c r="L86" s="558"/>
      <c r="M86" s="558"/>
      <c r="N86" s="558"/>
      <c r="O86" s="558"/>
      <c r="P86" s="558"/>
      <c r="Q86" s="558"/>
      <c r="R86" s="558"/>
      <c r="T86" s="558">
        <f>T88+T97</f>
        <v>-988149</v>
      </c>
    </row>
    <row r="87" spans="1:20" x14ac:dyDescent="0.35">
      <c r="A87" s="554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T87" s="555"/>
    </row>
    <row r="88" spans="1:20" x14ac:dyDescent="0.35">
      <c r="A88" s="555" t="s">
        <v>278</v>
      </c>
      <c r="C88" s="562">
        <f t="shared" ref="C88:H88" si="24">SUM(C89:C96)</f>
        <v>1338297</v>
      </c>
      <c r="D88" s="562">
        <f t="shared" si="24"/>
        <v>2000796</v>
      </c>
      <c r="E88" s="562">
        <f t="shared" si="24"/>
        <v>2773003</v>
      </c>
      <c r="F88" s="562">
        <f t="shared" si="24"/>
        <v>3498413</v>
      </c>
      <c r="G88" s="562">
        <f t="shared" si="24"/>
        <v>931568</v>
      </c>
      <c r="H88" s="562">
        <f t="shared" si="24"/>
        <v>1907414</v>
      </c>
      <c r="I88" s="562">
        <f>SUM(I89:I96)</f>
        <v>2530212</v>
      </c>
      <c r="J88" s="562"/>
      <c r="K88" s="562"/>
      <c r="L88" s="562"/>
      <c r="M88" s="562"/>
      <c r="N88" s="562"/>
      <c r="O88" s="562"/>
      <c r="P88" s="562"/>
      <c r="Q88" s="562"/>
      <c r="R88" s="562"/>
      <c r="T88" s="562">
        <f>SUM(T89:T96)</f>
        <v>622798</v>
      </c>
    </row>
    <row r="89" spans="1:20" outlineLevel="1" x14ac:dyDescent="0.35">
      <c r="A89" s="556" t="s">
        <v>1049</v>
      </c>
      <c r="C89" s="561">
        <v>417871</v>
      </c>
      <c r="D89" s="561">
        <v>912819</v>
      </c>
      <c r="E89" s="561">
        <v>1395621</v>
      </c>
      <c r="F89" s="561">
        <v>1865491</v>
      </c>
      <c r="G89" s="561">
        <v>546482</v>
      </c>
      <c r="H89" s="561">
        <v>1160011</v>
      </c>
      <c r="I89" s="561">
        <v>1645332</v>
      </c>
      <c r="J89" s="561"/>
      <c r="K89" s="561"/>
      <c r="L89" s="561"/>
      <c r="M89" s="561"/>
      <c r="N89" s="561"/>
      <c r="O89" s="561"/>
      <c r="P89" s="561"/>
      <c r="Q89" s="561"/>
      <c r="R89" s="561"/>
      <c r="T89" s="561">
        <f t="shared" ref="T89:T96" si="25">I89-H89</f>
        <v>485321</v>
      </c>
    </row>
    <row r="90" spans="1:20" outlineLevel="1" x14ac:dyDescent="0.35">
      <c r="A90" s="556" t="s">
        <v>1050</v>
      </c>
      <c r="C90" s="561">
        <v>-36268</v>
      </c>
      <c r="D90" s="561">
        <v>-66458</v>
      </c>
      <c r="E90" s="561">
        <v>-106288</v>
      </c>
      <c r="F90" s="561">
        <v>-122771</v>
      </c>
      <c r="G90" s="561">
        <v>-29827</v>
      </c>
      <c r="H90" s="561">
        <v>-58089</v>
      </c>
      <c r="I90" s="561">
        <v>-89850</v>
      </c>
      <c r="J90" s="561"/>
      <c r="K90" s="561"/>
      <c r="L90" s="561"/>
      <c r="M90" s="561"/>
      <c r="N90" s="561"/>
      <c r="O90" s="561"/>
      <c r="P90" s="561"/>
      <c r="Q90" s="561"/>
      <c r="R90" s="561"/>
      <c r="T90" s="561">
        <f t="shared" si="25"/>
        <v>-31761</v>
      </c>
    </row>
    <row r="91" spans="1:20" outlineLevel="1" x14ac:dyDescent="0.35">
      <c r="A91" s="556" t="s">
        <v>1051</v>
      </c>
      <c r="C91" s="561">
        <v>5349</v>
      </c>
      <c r="D91" s="561">
        <v>0</v>
      </c>
      <c r="E91" s="561">
        <v>0</v>
      </c>
      <c r="F91" s="561">
        <v>0</v>
      </c>
      <c r="G91" s="561">
        <v>0</v>
      </c>
      <c r="H91" s="561">
        <v>0</v>
      </c>
      <c r="I91" s="561">
        <v>0</v>
      </c>
      <c r="J91" s="561"/>
      <c r="K91" s="561"/>
      <c r="L91" s="561"/>
      <c r="M91" s="561"/>
      <c r="N91" s="561"/>
      <c r="O91" s="561"/>
      <c r="P91" s="561"/>
      <c r="Q91" s="561"/>
      <c r="R91" s="561"/>
      <c r="T91" s="561">
        <f t="shared" si="25"/>
        <v>0</v>
      </c>
    </row>
    <row r="92" spans="1:20" outlineLevel="1" x14ac:dyDescent="0.35">
      <c r="A92" s="556" t="s">
        <v>1052</v>
      </c>
      <c r="C92" s="561">
        <v>156370</v>
      </c>
      <c r="D92" s="561">
        <v>386645</v>
      </c>
      <c r="E92" s="561">
        <v>622980</v>
      </c>
      <c r="F92" s="561">
        <v>743158</v>
      </c>
      <c r="G92" s="561">
        <v>103231</v>
      </c>
      <c r="H92" s="561">
        <v>212260</v>
      </c>
      <c r="I92" s="561">
        <v>312536</v>
      </c>
      <c r="J92" s="561"/>
      <c r="K92" s="561"/>
      <c r="L92" s="561"/>
      <c r="M92" s="561"/>
      <c r="N92" s="561"/>
      <c r="O92" s="561"/>
      <c r="P92" s="561"/>
      <c r="Q92" s="561"/>
      <c r="R92" s="561"/>
      <c r="T92" s="561">
        <f t="shared" si="25"/>
        <v>100276</v>
      </c>
    </row>
    <row r="93" spans="1:20" outlineLevel="1" x14ac:dyDescent="0.35">
      <c r="A93" s="556" t="s">
        <v>1053</v>
      </c>
      <c r="C93" s="561">
        <v>0</v>
      </c>
      <c r="D93" s="561">
        <v>0</v>
      </c>
      <c r="E93" s="561">
        <v>0</v>
      </c>
      <c r="F93" s="561">
        <v>0</v>
      </c>
      <c r="G93" s="561">
        <v>0</v>
      </c>
      <c r="H93" s="561">
        <v>0</v>
      </c>
      <c r="I93" s="561">
        <v>0</v>
      </c>
      <c r="J93" s="561"/>
      <c r="K93" s="561"/>
      <c r="L93" s="561"/>
      <c r="M93" s="561"/>
      <c r="N93" s="561"/>
      <c r="O93" s="561"/>
      <c r="P93" s="561"/>
      <c r="Q93" s="561"/>
      <c r="R93" s="561"/>
      <c r="T93" s="561">
        <f t="shared" si="25"/>
        <v>0</v>
      </c>
    </row>
    <row r="94" spans="1:20" outlineLevel="1" x14ac:dyDescent="0.35">
      <c r="A94" s="556" t="s">
        <v>1054</v>
      </c>
      <c r="C94" s="561">
        <v>0</v>
      </c>
      <c r="D94" s="561">
        <v>0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/>
      <c r="K94" s="561"/>
      <c r="L94" s="561"/>
      <c r="M94" s="561"/>
      <c r="N94" s="561"/>
      <c r="O94" s="561"/>
      <c r="P94" s="561"/>
      <c r="Q94" s="561"/>
      <c r="R94" s="561"/>
      <c r="T94" s="561">
        <f t="shared" si="25"/>
        <v>0</v>
      </c>
    </row>
    <row r="95" spans="1:20" outlineLevel="1" x14ac:dyDescent="0.35">
      <c r="A95" s="556" t="s">
        <v>1055</v>
      </c>
      <c r="C95" s="561">
        <v>288430</v>
      </c>
      <c r="D95" s="561">
        <v>160429</v>
      </c>
      <c r="E95" s="561">
        <v>251815</v>
      </c>
      <c r="F95" s="561">
        <v>314577</v>
      </c>
      <c r="G95" s="561">
        <v>188884</v>
      </c>
      <c r="H95" s="561">
        <v>138310</v>
      </c>
      <c r="I95" s="561">
        <v>137840</v>
      </c>
      <c r="J95" s="561"/>
      <c r="K95" s="561"/>
      <c r="L95" s="561"/>
      <c r="M95" s="561"/>
      <c r="N95" s="561"/>
      <c r="O95" s="561"/>
      <c r="P95" s="561"/>
      <c r="Q95" s="561"/>
      <c r="R95" s="561"/>
      <c r="T95" s="561">
        <f t="shared" si="25"/>
        <v>-470</v>
      </c>
    </row>
    <row r="96" spans="1:20" outlineLevel="1" x14ac:dyDescent="0.35">
      <c r="A96" s="556" t="s">
        <v>1056</v>
      </c>
      <c r="C96" s="561">
        <v>506545</v>
      </c>
      <c r="D96" s="561">
        <v>607361</v>
      </c>
      <c r="E96" s="561">
        <v>608875</v>
      </c>
      <c r="F96" s="561">
        <v>697958</v>
      </c>
      <c r="G96" s="561">
        <v>122798</v>
      </c>
      <c r="H96" s="561">
        <v>454922</v>
      </c>
      <c r="I96" s="561">
        <v>524354</v>
      </c>
      <c r="J96" s="561"/>
      <c r="K96" s="561"/>
      <c r="L96" s="561"/>
      <c r="M96" s="561"/>
      <c r="N96" s="561"/>
      <c r="O96" s="561"/>
      <c r="P96" s="561"/>
      <c r="Q96" s="561"/>
      <c r="R96" s="561"/>
      <c r="T96" s="561">
        <f t="shared" si="25"/>
        <v>69432</v>
      </c>
    </row>
    <row r="97" spans="1:20" x14ac:dyDescent="0.35">
      <c r="A97" s="555" t="s">
        <v>279</v>
      </c>
      <c r="C97" s="560">
        <f t="shared" ref="C97:H97" si="26">SUM(C98:C106)</f>
        <v>-1698774</v>
      </c>
      <c r="D97" s="560">
        <f t="shared" si="26"/>
        <v>-3462000</v>
      </c>
      <c r="E97" s="560">
        <f t="shared" si="26"/>
        <v>-4679802</v>
      </c>
      <c r="F97" s="560">
        <f t="shared" si="26"/>
        <v>-6082889</v>
      </c>
      <c r="G97" s="560">
        <f t="shared" si="26"/>
        <v>-2431921</v>
      </c>
      <c r="H97" s="560">
        <f t="shared" si="26"/>
        <v>-4505590</v>
      </c>
      <c r="I97" s="560">
        <f>SUM(I98:I106)</f>
        <v>-6116537</v>
      </c>
      <c r="J97" s="560"/>
      <c r="K97" s="560"/>
      <c r="L97" s="560"/>
      <c r="M97" s="560"/>
      <c r="N97" s="560"/>
      <c r="O97" s="560"/>
      <c r="P97" s="560"/>
      <c r="Q97" s="560"/>
      <c r="R97" s="560"/>
      <c r="T97" s="560">
        <f>SUM(T98:T106)</f>
        <v>-1610947</v>
      </c>
    </row>
    <row r="98" spans="1:20" outlineLevel="1" x14ac:dyDescent="0.35">
      <c r="A98" s="556" t="s">
        <v>1057</v>
      </c>
      <c r="C98" s="561">
        <v>-554676</v>
      </c>
      <c r="D98" s="561">
        <v>-1583396</v>
      </c>
      <c r="E98" s="561">
        <v>-2248679</v>
      </c>
      <c r="F98" s="561">
        <v>-2914706</v>
      </c>
      <c r="G98" s="561">
        <v>-1143018</v>
      </c>
      <c r="H98" s="561">
        <v>-2302302</v>
      </c>
      <c r="I98" s="561">
        <v>-3483135</v>
      </c>
      <c r="J98" s="561"/>
      <c r="K98" s="561"/>
      <c r="L98" s="561"/>
      <c r="M98" s="561"/>
      <c r="N98" s="561"/>
      <c r="O98" s="561"/>
      <c r="P98" s="561"/>
      <c r="Q98" s="561"/>
      <c r="R98" s="561"/>
      <c r="T98" s="561">
        <f t="shared" ref="T98:T106" si="27">I98-H98</f>
        <v>-1180833</v>
      </c>
    </row>
    <row r="99" spans="1:20" outlineLevel="1" x14ac:dyDescent="0.35">
      <c r="A99" s="556" t="s">
        <v>1058</v>
      </c>
      <c r="C99" s="561">
        <v>-12994</v>
      </c>
      <c r="D99" s="561">
        <v>-25917</v>
      </c>
      <c r="E99" s="561">
        <v>-39073</v>
      </c>
      <c r="F99" s="561">
        <v>-52072</v>
      </c>
      <c r="G99" s="561">
        <v>-12439</v>
      </c>
      <c r="H99" s="561">
        <v>-24618</v>
      </c>
      <c r="I99" s="561">
        <v>-37277</v>
      </c>
      <c r="J99" s="561"/>
      <c r="K99" s="561"/>
      <c r="L99" s="561"/>
      <c r="M99" s="561"/>
      <c r="N99" s="561"/>
      <c r="O99" s="561"/>
      <c r="P99" s="561"/>
      <c r="Q99" s="561"/>
      <c r="R99" s="561"/>
      <c r="T99" s="561">
        <f t="shared" si="27"/>
        <v>-12659</v>
      </c>
    </row>
    <row r="100" spans="1:20" outlineLevel="1" x14ac:dyDescent="0.35">
      <c r="A100" s="556" t="s">
        <v>1059</v>
      </c>
      <c r="C100" s="561">
        <v>-661882</v>
      </c>
      <c r="D100" s="561">
        <v>-1002542</v>
      </c>
      <c r="E100" s="561">
        <v>-1122133</v>
      </c>
      <c r="F100" s="561">
        <v>-1335633</v>
      </c>
      <c r="G100" s="561">
        <v>-518449</v>
      </c>
      <c r="H100" s="561">
        <v>-1115820</v>
      </c>
      <c r="I100" s="561">
        <v>-1207094</v>
      </c>
      <c r="J100" s="561"/>
      <c r="K100" s="561"/>
      <c r="L100" s="561"/>
      <c r="M100" s="561"/>
      <c r="N100" s="561"/>
      <c r="O100" s="561"/>
      <c r="P100" s="561"/>
      <c r="Q100" s="561"/>
      <c r="R100" s="561"/>
      <c r="T100" s="561">
        <f t="shared" si="27"/>
        <v>-91274</v>
      </c>
    </row>
    <row r="101" spans="1:20" outlineLevel="1" x14ac:dyDescent="0.35">
      <c r="A101" s="556" t="s">
        <v>1060</v>
      </c>
      <c r="C101" s="561">
        <v>-2005</v>
      </c>
      <c r="D101" s="561">
        <v>-3420</v>
      </c>
      <c r="E101" s="561">
        <v>-5463</v>
      </c>
      <c r="F101" s="561">
        <v>-6879</v>
      </c>
      <c r="G101" s="561">
        <v>-1984</v>
      </c>
      <c r="H101" s="561">
        <v>-3361</v>
      </c>
      <c r="I101" s="561">
        <v>-5061</v>
      </c>
      <c r="J101" s="561"/>
      <c r="K101" s="561"/>
      <c r="L101" s="561"/>
      <c r="M101" s="561"/>
      <c r="N101" s="561"/>
      <c r="O101" s="561"/>
      <c r="P101" s="561"/>
      <c r="Q101" s="561"/>
      <c r="R101" s="561"/>
      <c r="T101" s="561">
        <f t="shared" si="27"/>
        <v>-1700</v>
      </c>
    </row>
    <row r="102" spans="1:20" outlineLevel="1" x14ac:dyDescent="0.35">
      <c r="A102" s="556" t="s">
        <v>1061</v>
      </c>
      <c r="C102" s="561">
        <v>-58457</v>
      </c>
      <c r="D102" s="561">
        <v>-127911</v>
      </c>
      <c r="E102" s="561">
        <v>-215833</v>
      </c>
      <c r="F102" s="561">
        <v>-264002</v>
      </c>
      <c r="G102" s="561">
        <v>-65692</v>
      </c>
      <c r="H102" s="561">
        <v>-148359</v>
      </c>
      <c r="I102" s="561">
        <v>-200118</v>
      </c>
      <c r="J102" s="561"/>
      <c r="K102" s="561"/>
      <c r="L102" s="561"/>
      <c r="M102" s="561"/>
      <c r="N102" s="561"/>
      <c r="O102" s="561"/>
      <c r="P102" s="561"/>
      <c r="Q102" s="561"/>
      <c r="R102" s="561"/>
      <c r="T102" s="561">
        <f t="shared" si="27"/>
        <v>-51759</v>
      </c>
    </row>
    <row r="103" spans="1:20" outlineLevel="1" x14ac:dyDescent="0.35">
      <c r="A103" s="556" t="s">
        <v>1062</v>
      </c>
      <c r="C103" s="561">
        <v>-4515</v>
      </c>
      <c r="D103" s="561">
        <v>-12312</v>
      </c>
      <c r="E103" s="561">
        <v>-15414</v>
      </c>
      <c r="F103" s="561">
        <v>-26716</v>
      </c>
      <c r="G103" s="561">
        <v>-14761</v>
      </c>
      <c r="H103" s="561">
        <v>-20167</v>
      </c>
      <c r="I103" s="561">
        <v>-29414</v>
      </c>
      <c r="J103" s="561"/>
      <c r="K103" s="561"/>
      <c r="L103" s="561"/>
      <c r="M103" s="561"/>
      <c r="N103" s="561"/>
      <c r="O103" s="561"/>
      <c r="P103" s="561"/>
      <c r="Q103" s="561"/>
      <c r="R103" s="561"/>
      <c r="T103" s="561">
        <f t="shared" si="27"/>
        <v>-9247</v>
      </c>
    </row>
    <row r="104" spans="1:20" outlineLevel="1" x14ac:dyDescent="0.35">
      <c r="A104" s="556" t="s">
        <v>1063</v>
      </c>
      <c r="C104" s="561">
        <v>0</v>
      </c>
      <c r="D104" s="561">
        <v>0</v>
      </c>
      <c r="E104" s="561">
        <v>0</v>
      </c>
      <c r="F104" s="561">
        <v>0</v>
      </c>
      <c r="G104" s="561">
        <v>0</v>
      </c>
      <c r="H104" s="561">
        <v>0</v>
      </c>
      <c r="I104" s="561">
        <v>0</v>
      </c>
      <c r="J104" s="561"/>
      <c r="K104" s="561"/>
      <c r="L104" s="561"/>
      <c r="M104" s="561"/>
      <c r="N104" s="561"/>
      <c r="O104" s="561"/>
      <c r="P104" s="561"/>
      <c r="Q104" s="561"/>
      <c r="R104" s="561"/>
      <c r="T104" s="561">
        <f t="shared" si="27"/>
        <v>0</v>
      </c>
    </row>
    <row r="105" spans="1:20" outlineLevel="1" x14ac:dyDescent="0.35">
      <c r="A105" s="556" t="s">
        <v>1064</v>
      </c>
      <c r="C105" s="561">
        <v>-5930</v>
      </c>
      <c r="D105" s="561">
        <v>-11298</v>
      </c>
      <c r="E105" s="561">
        <v>-17369</v>
      </c>
      <c r="F105" s="561">
        <v>-33893</v>
      </c>
      <c r="G105" s="561">
        <v>-7738</v>
      </c>
      <c r="H105" s="561">
        <v>-15392</v>
      </c>
      <c r="I105" s="561">
        <v>-23875</v>
      </c>
      <c r="J105" s="561"/>
      <c r="K105" s="561"/>
      <c r="L105" s="561"/>
      <c r="M105" s="561"/>
      <c r="N105" s="561"/>
      <c r="O105" s="561"/>
      <c r="P105" s="561"/>
      <c r="Q105" s="561"/>
      <c r="R105" s="561"/>
      <c r="T105" s="561">
        <f t="shared" si="27"/>
        <v>-8483</v>
      </c>
    </row>
    <row r="106" spans="1:20" outlineLevel="1" x14ac:dyDescent="0.35">
      <c r="A106" s="556" t="s">
        <v>1065</v>
      </c>
      <c r="C106" s="561">
        <v>-398315</v>
      </c>
      <c r="D106" s="561">
        <v>-695204</v>
      </c>
      <c r="E106" s="561">
        <v>-1015838</v>
      </c>
      <c r="F106" s="561">
        <v>-1448988</v>
      </c>
      <c r="G106" s="561">
        <v>-667840</v>
      </c>
      <c r="H106" s="561">
        <v>-875571</v>
      </c>
      <c r="I106" s="561">
        <v>-1130563</v>
      </c>
      <c r="J106" s="561"/>
      <c r="K106" s="561"/>
      <c r="L106" s="561"/>
      <c r="M106" s="561"/>
      <c r="N106" s="561"/>
      <c r="O106" s="561"/>
      <c r="P106" s="561"/>
      <c r="Q106" s="561"/>
      <c r="R106" s="561"/>
      <c r="T106" s="561">
        <f t="shared" si="27"/>
        <v>-254992</v>
      </c>
    </row>
    <row r="107" spans="1:20" x14ac:dyDescent="0.35">
      <c r="A107" s="555"/>
      <c r="C107" s="555"/>
      <c r="D107" s="555"/>
      <c r="E107" s="555"/>
      <c r="F107" s="555"/>
      <c r="G107" s="555"/>
      <c r="H107" s="555"/>
      <c r="I107" s="555"/>
      <c r="J107" s="555"/>
      <c r="K107" s="555"/>
      <c r="L107" s="555"/>
      <c r="M107" s="555"/>
      <c r="N107" s="555"/>
      <c r="O107" s="555"/>
      <c r="P107" s="555"/>
      <c r="Q107" s="555"/>
      <c r="R107" s="555"/>
      <c r="T107" s="555"/>
    </row>
    <row r="108" spans="1:20" x14ac:dyDescent="0.35">
      <c r="A108" s="567" t="s">
        <v>1066</v>
      </c>
      <c r="C108" s="558">
        <f t="shared" ref="C108:H108" si="28">C84+C86</f>
        <v>909064</v>
      </c>
      <c r="D108" s="558">
        <f t="shared" si="28"/>
        <v>1032800</v>
      </c>
      <c r="E108" s="558">
        <f t="shared" si="28"/>
        <v>1768923</v>
      </c>
      <c r="F108" s="558">
        <f t="shared" si="28"/>
        <v>2692737</v>
      </c>
      <c r="G108" s="558">
        <f t="shared" si="28"/>
        <v>373338</v>
      </c>
      <c r="H108" s="558">
        <f t="shared" si="28"/>
        <v>1077291</v>
      </c>
      <c r="I108" s="558">
        <f>I84+I86</f>
        <v>2290516</v>
      </c>
      <c r="J108" s="558"/>
      <c r="K108" s="558"/>
      <c r="L108" s="558"/>
      <c r="M108" s="558"/>
      <c r="N108" s="558"/>
      <c r="O108" s="558"/>
      <c r="P108" s="558"/>
      <c r="Q108" s="558"/>
      <c r="R108" s="558"/>
      <c r="T108" s="558">
        <f>T84+T86</f>
        <v>1213225</v>
      </c>
    </row>
    <row r="109" spans="1:20" x14ac:dyDescent="0.35">
      <c r="A109" s="555"/>
      <c r="C109" s="555"/>
      <c r="D109" s="555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T109" s="555"/>
    </row>
    <row r="110" spans="1:20" x14ac:dyDescent="0.35">
      <c r="A110" s="554" t="s">
        <v>1067</v>
      </c>
      <c r="C110" s="562">
        <f t="shared" ref="C110:H110" si="29">SUM(C112:C115)</f>
        <v>-230467</v>
      </c>
      <c r="D110" s="562">
        <f t="shared" si="29"/>
        <v>-418510</v>
      </c>
      <c r="E110" s="562">
        <f t="shared" si="29"/>
        <v>-618274</v>
      </c>
      <c r="F110" s="562">
        <f t="shared" si="29"/>
        <v>-770734</v>
      </c>
      <c r="G110" s="562">
        <f t="shared" si="29"/>
        <v>-85459</v>
      </c>
      <c r="H110" s="562">
        <f t="shared" si="29"/>
        <v>-118762</v>
      </c>
      <c r="I110" s="562">
        <f>SUM(I112:I115)</f>
        <v>-404302</v>
      </c>
      <c r="J110" s="562"/>
      <c r="K110" s="562"/>
      <c r="L110" s="562"/>
      <c r="M110" s="562"/>
      <c r="N110" s="562"/>
      <c r="O110" s="562"/>
      <c r="P110" s="562"/>
      <c r="Q110" s="562"/>
      <c r="R110" s="562"/>
      <c r="T110" s="562">
        <f>SUM(T112:T115)</f>
        <v>-285540</v>
      </c>
    </row>
    <row r="111" spans="1:20" x14ac:dyDescent="0.35">
      <c r="A111" s="555"/>
      <c r="C111" s="555"/>
      <c r="D111" s="555"/>
      <c r="E111" s="555"/>
      <c r="F111" s="555"/>
      <c r="G111" s="555"/>
      <c r="H111" s="555"/>
      <c r="I111" s="555"/>
      <c r="J111" s="555"/>
      <c r="K111" s="555"/>
      <c r="L111" s="555"/>
      <c r="M111" s="555"/>
      <c r="N111" s="555"/>
      <c r="O111" s="555"/>
      <c r="P111" s="555"/>
      <c r="Q111" s="555"/>
      <c r="R111" s="555"/>
      <c r="T111" s="555"/>
    </row>
    <row r="112" spans="1:20" x14ac:dyDescent="0.35">
      <c r="A112" s="555" t="s">
        <v>281</v>
      </c>
      <c r="C112" s="563">
        <v>-87684</v>
      </c>
      <c r="D112" s="563">
        <v>-149736</v>
      </c>
      <c r="E112" s="563">
        <v>-254052</v>
      </c>
      <c r="F112" s="563">
        <v>-356508</v>
      </c>
      <c r="G112" s="563">
        <v>-98588</v>
      </c>
      <c r="H112" s="563">
        <v>-207046</v>
      </c>
      <c r="I112" s="563">
        <v>-317617</v>
      </c>
      <c r="J112" s="563"/>
      <c r="K112" s="563"/>
      <c r="L112" s="563"/>
      <c r="M112" s="563"/>
      <c r="N112" s="563"/>
      <c r="O112" s="563"/>
      <c r="P112" s="563"/>
      <c r="Q112" s="563"/>
      <c r="R112" s="563"/>
      <c r="T112" s="563">
        <f t="shared" ref="T112:T115" si="30">I112-H112</f>
        <v>-110571</v>
      </c>
    </row>
    <row r="113" spans="1:20" x14ac:dyDescent="0.35">
      <c r="A113" s="555" t="s">
        <v>282</v>
      </c>
      <c r="C113" s="563">
        <v>-260158</v>
      </c>
      <c r="D113" s="563">
        <v>-435407</v>
      </c>
      <c r="E113" s="563">
        <v>-724203</v>
      </c>
      <c r="F113" s="563">
        <v>-1038100</v>
      </c>
      <c r="G113" s="563">
        <v>-284953</v>
      </c>
      <c r="H113" s="563">
        <v>-597101</v>
      </c>
      <c r="I113" s="563">
        <v>-908320</v>
      </c>
      <c r="J113" s="563"/>
      <c r="K113" s="563"/>
      <c r="L113" s="563"/>
      <c r="M113" s="563"/>
      <c r="N113" s="563"/>
      <c r="O113" s="563"/>
      <c r="P113" s="563"/>
      <c r="Q113" s="563"/>
      <c r="R113" s="563"/>
      <c r="T113" s="563">
        <f t="shared" si="30"/>
        <v>-311219</v>
      </c>
    </row>
    <row r="114" spans="1:20" x14ac:dyDescent="0.35">
      <c r="A114" s="555" t="s">
        <v>284</v>
      </c>
      <c r="C114" s="563">
        <v>130814</v>
      </c>
      <c r="D114" s="563">
        <v>294475</v>
      </c>
      <c r="E114" s="563">
        <v>481998</v>
      </c>
      <c r="F114" s="563">
        <v>788949</v>
      </c>
      <c r="G114" s="563">
        <v>226845</v>
      </c>
      <c r="H114" s="563">
        <v>438945</v>
      </c>
      <c r="I114" s="563">
        <v>684095</v>
      </c>
      <c r="J114" s="563"/>
      <c r="K114" s="563"/>
      <c r="L114" s="563"/>
      <c r="M114" s="563"/>
      <c r="N114" s="563"/>
      <c r="O114" s="563"/>
      <c r="P114" s="563"/>
      <c r="Q114" s="563"/>
      <c r="R114" s="563"/>
      <c r="T114" s="563">
        <f t="shared" si="30"/>
        <v>245150</v>
      </c>
    </row>
    <row r="115" spans="1:20" x14ac:dyDescent="0.35">
      <c r="A115" s="555" t="s">
        <v>1068</v>
      </c>
      <c r="C115" s="563">
        <v>-13439</v>
      </c>
      <c r="D115" s="563">
        <v>-127842</v>
      </c>
      <c r="E115" s="563">
        <v>-122017</v>
      </c>
      <c r="F115" s="563">
        <v>-165075</v>
      </c>
      <c r="G115" s="563">
        <v>71237</v>
      </c>
      <c r="H115" s="563">
        <v>246440</v>
      </c>
      <c r="I115" s="563">
        <v>137540</v>
      </c>
      <c r="J115" s="563"/>
      <c r="K115" s="563"/>
      <c r="L115" s="563"/>
      <c r="M115" s="563"/>
      <c r="N115" s="563"/>
      <c r="O115" s="563"/>
      <c r="P115" s="563"/>
      <c r="Q115" s="563"/>
      <c r="R115" s="563"/>
      <c r="T115" s="563">
        <f t="shared" si="30"/>
        <v>-108900</v>
      </c>
    </row>
    <row r="116" spans="1:20" x14ac:dyDescent="0.35">
      <c r="A116" s="555"/>
      <c r="C116" s="555"/>
      <c r="D116" s="555"/>
      <c r="E116" s="555"/>
      <c r="F116" s="555"/>
      <c r="G116" s="555"/>
      <c r="H116" s="555"/>
      <c r="I116" s="555"/>
      <c r="J116" s="555"/>
      <c r="K116" s="555"/>
      <c r="L116" s="555"/>
      <c r="M116" s="555"/>
      <c r="N116" s="555"/>
      <c r="O116" s="555"/>
      <c r="P116" s="555"/>
      <c r="Q116" s="555"/>
      <c r="R116" s="555"/>
      <c r="T116" s="555"/>
    </row>
    <row r="117" spans="1:20" ht="15" thickBot="1" x14ac:dyDescent="0.4">
      <c r="A117" s="568" t="s">
        <v>1069</v>
      </c>
      <c r="C117" s="564">
        <f t="shared" ref="C117:H117" si="31">C108+C110</f>
        <v>678597</v>
      </c>
      <c r="D117" s="564">
        <f t="shared" si="31"/>
        <v>614290</v>
      </c>
      <c r="E117" s="564">
        <f t="shared" si="31"/>
        <v>1150649</v>
      </c>
      <c r="F117" s="564">
        <f t="shared" si="31"/>
        <v>1922003</v>
      </c>
      <c r="G117" s="564">
        <f t="shared" si="31"/>
        <v>287879</v>
      </c>
      <c r="H117" s="564">
        <f t="shared" si="31"/>
        <v>958529</v>
      </c>
      <c r="I117" s="564">
        <f>I108+I110</f>
        <v>1886214</v>
      </c>
      <c r="J117" s="564"/>
      <c r="K117" s="564"/>
      <c r="L117" s="564"/>
      <c r="M117" s="564"/>
      <c r="N117" s="564"/>
      <c r="O117" s="564"/>
      <c r="P117" s="564"/>
      <c r="Q117" s="564"/>
      <c r="R117" s="564"/>
      <c r="T117" s="564">
        <f>T108+T110</f>
        <v>927685</v>
      </c>
    </row>
    <row r="118" spans="1:20" ht="15" thickTop="1" x14ac:dyDescent="0.35">
      <c r="A118" s="555"/>
      <c r="C118" s="555"/>
      <c r="D118" s="555"/>
      <c r="E118" s="555"/>
      <c r="F118" s="555"/>
      <c r="G118" s="555"/>
      <c r="H118" s="555"/>
      <c r="I118" s="555"/>
      <c r="J118" s="555"/>
      <c r="K118" s="555"/>
      <c r="L118" s="555"/>
      <c r="M118" s="555"/>
      <c r="N118" s="555"/>
      <c r="O118" s="555"/>
      <c r="P118" s="555"/>
      <c r="Q118" s="555"/>
      <c r="R118" s="555"/>
      <c r="T118" s="555"/>
    </row>
  </sheetData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F1A7F-C903-4E08-8067-FCE539E6768A}">
  <sheetPr>
    <tabColor rgb="FF002060"/>
  </sheetPr>
  <dimension ref="B4:AF8"/>
  <sheetViews>
    <sheetView showGridLines="0" zoomScale="85" zoomScaleNormal="85" workbookViewId="0"/>
  </sheetViews>
  <sheetFormatPr defaultRowHeight="14.5" x14ac:dyDescent="0.35"/>
  <cols>
    <col min="2" max="2" width="1.36328125" customWidth="1"/>
    <col min="8" max="8" width="2" customWidth="1"/>
    <col min="13" max="13" width="2" customWidth="1"/>
    <col min="18" max="18" width="2" customWidth="1"/>
    <col min="23" max="23" width="2" customWidth="1"/>
    <col min="28" max="28" width="2" customWidth="1"/>
  </cols>
  <sheetData>
    <row r="4" spans="2:32" s="1" customFormat="1" ht="32.5" customHeight="1" x14ac:dyDescent="0.35">
      <c r="B4" s="2" t="s">
        <v>991</v>
      </c>
    </row>
    <row r="8" spans="2:32" ht="30" customHeight="1" x14ac:dyDescent="0.35">
      <c r="D8" s="35" t="s">
        <v>144</v>
      </c>
      <c r="E8" s="36"/>
      <c r="F8" s="36"/>
      <c r="G8" s="36"/>
      <c r="I8" s="35" t="s">
        <v>90</v>
      </c>
      <c r="J8" s="36"/>
      <c r="K8" s="36"/>
      <c r="L8" s="36"/>
      <c r="N8" s="35" t="s">
        <v>992</v>
      </c>
      <c r="O8" s="36"/>
      <c r="P8" s="36"/>
      <c r="Q8" s="36"/>
      <c r="S8" s="35" t="s">
        <v>100</v>
      </c>
      <c r="T8" s="36"/>
      <c r="U8" s="36"/>
      <c r="V8" s="36"/>
      <c r="X8" s="35" t="s">
        <v>993</v>
      </c>
      <c r="Y8" s="36"/>
      <c r="Z8" s="36"/>
      <c r="AA8" s="36"/>
      <c r="AC8" s="35" t="s">
        <v>1155</v>
      </c>
      <c r="AD8" s="36"/>
      <c r="AE8" s="36"/>
      <c r="AF8" s="36"/>
    </row>
  </sheetData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AF5D-5981-4777-8A69-EB995C9DA4EF}">
  <sheetPr>
    <tabColor theme="9" tint="0.79998168889431442"/>
  </sheetPr>
  <dimension ref="A7:AS47"/>
  <sheetViews>
    <sheetView showGridLines="0" zoomScale="85" zoomScaleNormal="85" workbookViewId="0">
      <pane xSplit="1" ySplit="8" topLeftCell="B9" activePane="bottomRight" state="frozen"/>
      <selection activeCell="I26" sqref="I26"/>
      <selection pane="topRight" activeCell="I26" sqref="I26"/>
      <selection pane="bottomLeft" activeCell="I26" sqref="I26"/>
      <selection pane="bottomRight" activeCell="AU6" sqref="AU6"/>
    </sheetView>
  </sheetViews>
  <sheetFormatPr defaultColWidth="9.1796875" defaultRowHeight="14.5" outlineLevelCol="1" x14ac:dyDescent="0.35"/>
  <cols>
    <col min="1" max="1" width="44.453125" style="37" bestFit="1" customWidth="1"/>
    <col min="2" max="2" width="3.54296875" style="37" customWidth="1"/>
    <col min="3" max="38" width="0" style="37" hidden="1" customWidth="1" outlineLevel="1"/>
    <col min="39" max="39" width="9.1796875" style="37" collapsed="1"/>
    <col min="40" max="16384" width="9.1796875" style="37"/>
  </cols>
  <sheetData>
    <row r="7" spans="1:45" x14ac:dyDescent="0.35">
      <c r="A7" s="41" t="s">
        <v>542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ht="15" thickBot="1" x14ac:dyDescent="0.4">
      <c r="A8" s="589" t="s">
        <v>245</v>
      </c>
      <c r="C8" s="590" t="s">
        <v>289</v>
      </c>
      <c r="D8" s="608" t="s">
        <v>290</v>
      </c>
      <c r="E8" s="590" t="s">
        <v>291</v>
      </c>
      <c r="F8" s="608" t="s">
        <v>292</v>
      </c>
      <c r="G8" s="590" t="s">
        <v>293</v>
      </c>
      <c r="H8" s="608" t="s">
        <v>294</v>
      </c>
      <c r="I8" s="590" t="s">
        <v>295</v>
      </c>
      <c r="J8" s="608" t="s">
        <v>296</v>
      </c>
      <c r="K8" s="590" t="s">
        <v>297</v>
      </c>
      <c r="L8" s="608" t="s">
        <v>298</v>
      </c>
      <c r="M8" s="590" t="s">
        <v>299</v>
      </c>
      <c r="N8" s="608" t="s">
        <v>300</v>
      </c>
      <c r="O8" s="590" t="s">
        <v>301</v>
      </c>
      <c r="P8" s="608" t="s">
        <v>302</v>
      </c>
      <c r="Q8" s="590" t="s">
        <v>303</v>
      </c>
      <c r="R8" s="608" t="s">
        <v>304</v>
      </c>
      <c r="S8" s="590" t="s">
        <v>57</v>
      </c>
      <c r="T8" s="608" t="s">
        <v>58</v>
      </c>
      <c r="U8" s="590" t="s">
        <v>59</v>
      </c>
      <c r="V8" s="608" t="s">
        <v>60</v>
      </c>
      <c r="W8" s="590" t="s">
        <v>61</v>
      </c>
      <c r="X8" s="590" t="s">
        <v>62</v>
      </c>
      <c r="Y8" s="590" t="s">
        <v>63</v>
      </c>
      <c r="Z8" s="590" t="s">
        <v>64</v>
      </c>
      <c r="AA8" s="590" t="s">
        <v>65</v>
      </c>
      <c r="AB8" s="590" t="s">
        <v>66</v>
      </c>
      <c r="AC8" s="591" t="s">
        <v>67</v>
      </c>
      <c r="AD8" s="590" t="s">
        <v>68</v>
      </c>
      <c r="AE8" s="590" t="s">
        <v>69</v>
      </c>
      <c r="AF8" s="590" t="s">
        <v>70</v>
      </c>
      <c r="AG8" s="591" t="s">
        <v>71</v>
      </c>
      <c r="AH8" s="591" t="s">
        <v>72</v>
      </c>
      <c r="AI8" s="591" t="s">
        <v>73</v>
      </c>
      <c r="AJ8" s="591" t="s">
        <v>74</v>
      </c>
      <c r="AK8" s="591" t="s">
        <v>75</v>
      </c>
      <c r="AL8" s="591" t="s">
        <v>76</v>
      </c>
      <c r="AM8" s="591" t="s">
        <v>77</v>
      </c>
      <c r="AN8" s="591" t="s">
        <v>78</v>
      </c>
      <c r="AO8" s="591" t="s">
        <v>79</v>
      </c>
      <c r="AP8" s="591" t="s">
        <v>80</v>
      </c>
      <c r="AQ8" s="591" t="s">
        <v>81</v>
      </c>
      <c r="AR8" s="591" t="s">
        <v>82</v>
      </c>
      <c r="AS8" s="601" t="s">
        <v>83</v>
      </c>
    </row>
    <row r="9" spans="1:45" ht="15" thickBot="1" x14ac:dyDescent="0.4">
      <c r="A9" s="175" t="s">
        <v>246</v>
      </c>
      <c r="C9" s="357">
        <f>SUM(C10:C13)</f>
        <v>626424</v>
      </c>
      <c r="D9" s="357">
        <f t="shared" ref="D9:AR9" si="0">SUM(D10:D13)</f>
        <v>614416.38441000006</v>
      </c>
      <c r="E9" s="357">
        <f t="shared" si="0"/>
        <v>614963.54881000018</v>
      </c>
      <c r="F9" s="357">
        <f t="shared" si="0"/>
        <v>686408.18412000011</v>
      </c>
      <c r="G9" s="357">
        <f t="shared" si="0"/>
        <v>631615.85896999994</v>
      </c>
      <c r="H9" s="357">
        <f t="shared" si="0"/>
        <v>653889.14103000017</v>
      </c>
      <c r="I9" s="357">
        <f t="shared" si="0"/>
        <v>719264.91234000027</v>
      </c>
      <c r="J9" s="357">
        <f t="shared" si="0"/>
        <v>1167281.7308800002</v>
      </c>
      <c r="K9" s="357">
        <f t="shared" si="0"/>
        <v>860737</v>
      </c>
      <c r="L9" s="357">
        <f t="shared" si="0"/>
        <v>854470</v>
      </c>
      <c r="M9" s="357">
        <f t="shared" si="0"/>
        <v>950320.11650999868</v>
      </c>
      <c r="N9" s="357">
        <f t="shared" si="0"/>
        <v>1084277.4538300021</v>
      </c>
      <c r="O9" s="357">
        <f t="shared" si="0"/>
        <v>986234.24057000014</v>
      </c>
      <c r="P9" s="357">
        <f t="shared" si="0"/>
        <v>961594.61793000018</v>
      </c>
      <c r="Q9" s="357">
        <f t="shared" si="0"/>
        <v>1057758.4452800001</v>
      </c>
      <c r="R9" s="357">
        <f t="shared" si="0"/>
        <v>1190313.4544399998</v>
      </c>
      <c r="S9" s="357">
        <f t="shared" si="0"/>
        <v>942072.01203999983</v>
      </c>
      <c r="T9" s="357">
        <f t="shared" si="0"/>
        <v>1127189</v>
      </c>
      <c r="U9" s="357">
        <f t="shared" si="0"/>
        <v>1254887</v>
      </c>
      <c r="V9" s="357">
        <f t="shared" si="0"/>
        <v>1357997.7</v>
      </c>
      <c r="W9" s="357">
        <f t="shared" si="0"/>
        <v>1230896</v>
      </c>
      <c r="X9" s="357">
        <f t="shared" si="0"/>
        <v>1263506</v>
      </c>
      <c r="Y9" s="357">
        <f t="shared" si="0"/>
        <v>1400057</v>
      </c>
      <c r="Z9" s="357">
        <f t="shared" si="0"/>
        <v>1376435</v>
      </c>
      <c r="AA9" s="357">
        <f t="shared" si="0"/>
        <v>1241693</v>
      </c>
      <c r="AB9" s="357">
        <f t="shared" si="0"/>
        <v>1280973</v>
      </c>
      <c r="AC9" s="357">
        <f t="shared" si="0"/>
        <v>1319076</v>
      </c>
      <c r="AD9" s="357">
        <f t="shared" si="0"/>
        <v>1439049</v>
      </c>
      <c r="AE9" s="357">
        <f t="shared" si="0"/>
        <v>1245076</v>
      </c>
      <c r="AF9" s="357">
        <f t="shared" si="0"/>
        <v>1090881</v>
      </c>
      <c r="AG9" s="357">
        <f t="shared" si="0"/>
        <v>1397686</v>
      </c>
      <c r="AH9" s="357">
        <f t="shared" si="0"/>
        <v>1732527</v>
      </c>
      <c r="AI9" s="357">
        <f t="shared" si="0"/>
        <v>1460485</v>
      </c>
      <c r="AJ9" s="357">
        <f t="shared" si="0"/>
        <v>1386391</v>
      </c>
      <c r="AK9" s="357">
        <f t="shared" si="0"/>
        <v>1992140</v>
      </c>
      <c r="AL9" s="357">
        <f t="shared" si="0"/>
        <v>2243562</v>
      </c>
      <c r="AM9" s="357">
        <f t="shared" si="0"/>
        <v>1512745</v>
      </c>
      <c r="AN9" s="357">
        <f t="shared" si="0"/>
        <v>1621748</v>
      </c>
      <c r="AO9" s="357">
        <f t="shared" si="0"/>
        <v>1613586</v>
      </c>
      <c r="AP9" s="357">
        <f t="shared" si="0"/>
        <v>1882683</v>
      </c>
      <c r="AQ9" s="357">
        <f t="shared" si="0"/>
        <v>1638410</v>
      </c>
      <c r="AR9" s="357">
        <f t="shared" si="0"/>
        <v>1747926</v>
      </c>
      <c r="AS9" s="357">
        <f>SUM(AS10:AS13)</f>
        <v>1973674.753</v>
      </c>
    </row>
    <row r="10" spans="1:45" x14ac:dyDescent="0.35">
      <c r="A10" s="172" t="s">
        <v>247</v>
      </c>
      <c r="C10" s="358">
        <v>513324</v>
      </c>
      <c r="D10" s="358">
        <v>520291.55387000006</v>
      </c>
      <c r="E10" s="358">
        <v>542021.40479000018</v>
      </c>
      <c r="F10" s="358">
        <v>525454.14749000012</v>
      </c>
      <c r="G10" s="358">
        <v>498499.73233999993</v>
      </c>
      <c r="H10" s="358">
        <v>533353.26766000013</v>
      </c>
      <c r="I10" s="358">
        <v>595438.19998000027</v>
      </c>
      <c r="J10" s="358">
        <v>1052143.52654</v>
      </c>
      <c r="K10" s="358">
        <v>745712</v>
      </c>
      <c r="L10" s="358">
        <v>759988</v>
      </c>
      <c r="M10" s="358">
        <v>834572.69127999875</v>
      </c>
      <c r="N10" s="358">
        <v>905084.34483000217</v>
      </c>
      <c r="O10" s="358">
        <v>809833.71102000005</v>
      </c>
      <c r="P10" s="358">
        <v>791536.27199000027</v>
      </c>
      <c r="Q10" s="358">
        <v>867531.94495000003</v>
      </c>
      <c r="R10" s="358">
        <v>1020093.6375899999</v>
      </c>
      <c r="S10" s="358">
        <v>803735.63104999973</v>
      </c>
      <c r="T10" s="358">
        <v>1013159</v>
      </c>
      <c r="U10" s="358">
        <v>1092028</v>
      </c>
      <c r="V10" s="358">
        <v>1202577</v>
      </c>
      <c r="W10" s="358">
        <v>969173</v>
      </c>
      <c r="X10" s="358">
        <v>1109352</v>
      </c>
      <c r="Y10" s="358">
        <v>1236208</v>
      </c>
      <c r="Z10" s="358">
        <v>1191253</v>
      </c>
      <c r="AA10" s="358">
        <v>1116485</v>
      </c>
      <c r="AB10" s="358">
        <v>1135586</v>
      </c>
      <c r="AC10" s="359">
        <v>1179604</v>
      </c>
      <c r="AD10" s="359">
        <v>1232358</v>
      </c>
      <c r="AE10" s="359">
        <v>1064497</v>
      </c>
      <c r="AF10" s="359">
        <v>916742</v>
      </c>
      <c r="AG10" s="359">
        <v>1232779</v>
      </c>
      <c r="AH10" s="359">
        <v>1436738</v>
      </c>
      <c r="AI10" s="359">
        <v>1210335</v>
      </c>
      <c r="AJ10" s="359">
        <v>1245504</v>
      </c>
      <c r="AK10" s="359">
        <v>1668696</v>
      </c>
      <c r="AL10" s="359">
        <v>1669884</v>
      </c>
      <c r="AM10" s="359">
        <v>1177051</v>
      </c>
      <c r="AN10" s="359">
        <v>1241905</v>
      </c>
      <c r="AO10" s="359">
        <v>1317627</v>
      </c>
      <c r="AP10" s="360">
        <v>1437171</v>
      </c>
      <c r="AQ10" s="360">
        <v>1336610</v>
      </c>
      <c r="AR10" s="360">
        <v>1425721</v>
      </c>
      <c r="AS10" s="361">
        <v>1538121.929</v>
      </c>
    </row>
    <row r="11" spans="1:45" x14ac:dyDescent="0.35">
      <c r="A11" s="172" t="s">
        <v>248</v>
      </c>
      <c r="C11" s="358">
        <v>24776</v>
      </c>
      <c r="D11" s="358">
        <v>24094.197650000002</v>
      </c>
      <c r="E11" s="358">
        <v>5970.2228000000032</v>
      </c>
      <c r="F11" s="358">
        <v>6887.0060599999852</v>
      </c>
      <c r="G11" s="358">
        <v>27152.44586</v>
      </c>
      <c r="H11" s="358">
        <v>2788.5541400000002</v>
      </c>
      <c r="I11" s="358">
        <v>315.84540999999808</v>
      </c>
      <c r="J11" s="358">
        <v>9008.0691699999916</v>
      </c>
      <c r="K11" s="358">
        <v>4851</v>
      </c>
      <c r="L11" s="358">
        <v>739</v>
      </c>
      <c r="M11" s="358">
        <v>2269.5153899999996</v>
      </c>
      <c r="N11" s="358">
        <v>3201.5187399999986</v>
      </c>
      <c r="O11" s="358">
        <v>16712.394390000001</v>
      </c>
      <c r="P11" s="358">
        <v>15102.483209999999</v>
      </c>
      <c r="Q11" s="358">
        <v>15191.030709999999</v>
      </c>
      <c r="R11" s="358">
        <v>3228.981270000007</v>
      </c>
      <c r="S11" s="358">
        <v>8278.9912899999999</v>
      </c>
      <c r="T11" s="358">
        <v>1560</v>
      </c>
      <c r="U11" s="358">
        <v>906</v>
      </c>
      <c r="V11" s="358">
        <v>5318</v>
      </c>
      <c r="W11" s="358">
        <v>168323</v>
      </c>
      <c r="X11" s="358">
        <v>14636</v>
      </c>
      <c r="Y11" s="358">
        <v>22692</v>
      </c>
      <c r="Z11" s="358">
        <v>5529</v>
      </c>
      <c r="AA11" s="358">
        <v>4732</v>
      </c>
      <c r="AB11" s="358">
        <v>1857</v>
      </c>
      <c r="AC11" s="359">
        <v>8288</v>
      </c>
      <c r="AD11" s="359">
        <v>1199</v>
      </c>
      <c r="AE11" s="359">
        <v>19736</v>
      </c>
      <c r="AF11" s="359">
        <v>5955</v>
      </c>
      <c r="AG11" s="359">
        <v>1597</v>
      </c>
      <c r="AH11" s="359">
        <v>3732</v>
      </c>
      <c r="AI11" s="359">
        <v>6762</v>
      </c>
      <c r="AJ11" s="359">
        <v>14011</v>
      </c>
      <c r="AK11" s="359">
        <v>25809</v>
      </c>
      <c r="AL11" s="359">
        <v>70294</v>
      </c>
      <c r="AM11" s="359">
        <v>12542</v>
      </c>
      <c r="AN11" s="359">
        <v>2250</v>
      </c>
      <c r="AO11" s="359">
        <v>867</v>
      </c>
      <c r="AP11" s="360">
        <v>6753</v>
      </c>
      <c r="AQ11" s="360">
        <v>5126</v>
      </c>
      <c r="AR11" s="360">
        <v>343</v>
      </c>
      <c r="AS11" s="361">
        <v>2400.2739999999999</v>
      </c>
    </row>
    <row r="12" spans="1:45" x14ac:dyDescent="0.35">
      <c r="A12" s="172" t="s">
        <v>249</v>
      </c>
      <c r="C12" s="358">
        <v>80938</v>
      </c>
      <c r="D12" s="358">
        <v>62592.461889999977</v>
      </c>
      <c r="E12" s="358">
        <v>59043.72431000002</v>
      </c>
      <c r="F12" s="358">
        <v>105336.87851000001</v>
      </c>
      <c r="G12" s="358">
        <v>85467.940920000008</v>
      </c>
      <c r="H12" s="358">
        <v>98297.059079999992</v>
      </c>
      <c r="I12" s="358">
        <v>105419.87208</v>
      </c>
      <c r="J12" s="358">
        <v>93173.212040000013</v>
      </c>
      <c r="K12" s="358">
        <v>90366</v>
      </c>
      <c r="L12" s="358">
        <v>71758</v>
      </c>
      <c r="M12" s="358">
        <v>99409.160029999999</v>
      </c>
      <c r="N12" s="358">
        <v>162865.06043000007</v>
      </c>
      <c r="O12" s="358">
        <v>153997.04321</v>
      </c>
      <c r="P12" s="358">
        <v>141808.5624</v>
      </c>
      <c r="Q12" s="358">
        <v>165701.63649999999</v>
      </c>
      <c r="R12" s="358">
        <v>146269.27710000004</v>
      </c>
      <c r="S12" s="358">
        <v>139625.28456</v>
      </c>
      <c r="T12" s="358">
        <v>87943</v>
      </c>
      <c r="U12" s="358">
        <v>89243</v>
      </c>
      <c r="V12" s="358">
        <v>110192.7</v>
      </c>
      <c r="W12" s="358">
        <v>70310</v>
      </c>
      <c r="X12" s="358">
        <v>101767</v>
      </c>
      <c r="Y12" s="358">
        <v>94687</v>
      </c>
      <c r="Z12" s="358">
        <v>111509</v>
      </c>
      <c r="AA12" s="358">
        <v>79932</v>
      </c>
      <c r="AB12" s="358">
        <v>100988</v>
      </c>
      <c r="AC12" s="359">
        <v>93306</v>
      </c>
      <c r="AD12" s="359">
        <v>135157</v>
      </c>
      <c r="AE12" s="359">
        <v>134536</v>
      </c>
      <c r="AF12" s="359">
        <v>130240</v>
      </c>
      <c r="AG12" s="359">
        <v>108255</v>
      </c>
      <c r="AH12" s="359">
        <v>187713</v>
      </c>
      <c r="AI12" s="359">
        <v>136841</v>
      </c>
      <c r="AJ12" s="362">
        <v>72451</v>
      </c>
      <c r="AK12" s="362">
        <v>159568</v>
      </c>
      <c r="AL12" s="362">
        <v>175159</v>
      </c>
      <c r="AM12" s="362">
        <v>140638</v>
      </c>
      <c r="AN12" s="362">
        <v>242771</v>
      </c>
      <c r="AO12" s="359">
        <v>285898</v>
      </c>
      <c r="AP12" s="360">
        <v>283332</v>
      </c>
      <c r="AQ12" s="360">
        <v>197896</v>
      </c>
      <c r="AR12" s="360">
        <v>232172</v>
      </c>
      <c r="AS12" s="361">
        <v>323577.005</v>
      </c>
    </row>
    <row r="13" spans="1:45" ht="15" thickBot="1" x14ac:dyDescent="0.4">
      <c r="A13" s="172" t="s">
        <v>254</v>
      </c>
      <c r="C13" s="358">
        <v>7386</v>
      </c>
      <c r="D13" s="358">
        <v>7438.1710000000003</v>
      </c>
      <c r="E13" s="358">
        <v>7928.1969100000042</v>
      </c>
      <c r="F13" s="358">
        <v>48730.152059999993</v>
      </c>
      <c r="G13" s="358">
        <v>20495.739850000002</v>
      </c>
      <c r="H13" s="358">
        <v>19450.260149999998</v>
      </c>
      <c r="I13" s="358">
        <v>18090.994870000002</v>
      </c>
      <c r="J13" s="358">
        <v>12956.923129999996</v>
      </c>
      <c r="K13" s="358">
        <v>19808</v>
      </c>
      <c r="L13" s="358">
        <v>21985</v>
      </c>
      <c r="M13" s="358">
        <v>14068.749810000001</v>
      </c>
      <c r="N13" s="358">
        <v>13126.529829999992</v>
      </c>
      <c r="O13" s="358">
        <v>5691.09195</v>
      </c>
      <c r="P13" s="358">
        <v>13147.300330000002</v>
      </c>
      <c r="Q13" s="358">
        <v>9333.8331199999993</v>
      </c>
      <c r="R13" s="358">
        <v>20721.558479999985</v>
      </c>
      <c r="S13" s="358">
        <v>-9567.8948600000022</v>
      </c>
      <c r="T13" s="358">
        <v>24527</v>
      </c>
      <c r="U13" s="358">
        <v>72710</v>
      </c>
      <c r="V13" s="358">
        <v>39910</v>
      </c>
      <c r="W13" s="358">
        <v>23090</v>
      </c>
      <c r="X13" s="358">
        <v>37751</v>
      </c>
      <c r="Y13" s="358">
        <v>46470</v>
      </c>
      <c r="Z13" s="358">
        <v>68144</v>
      </c>
      <c r="AA13" s="358">
        <v>40544</v>
      </c>
      <c r="AB13" s="358">
        <v>42542</v>
      </c>
      <c r="AC13" s="359">
        <v>37878</v>
      </c>
      <c r="AD13" s="359">
        <v>70335</v>
      </c>
      <c r="AE13" s="359">
        <v>26307</v>
      </c>
      <c r="AF13" s="359">
        <v>37944</v>
      </c>
      <c r="AG13" s="359">
        <v>55055</v>
      </c>
      <c r="AH13" s="359">
        <v>104344</v>
      </c>
      <c r="AI13" s="359">
        <v>106547</v>
      </c>
      <c r="AJ13" s="362">
        <v>54425</v>
      </c>
      <c r="AK13" s="362">
        <v>138067</v>
      </c>
      <c r="AL13" s="362">
        <v>328225</v>
      </c>
      <c r="AM13" s="362">
        <v>182514</v>
      </c>
      <c r="AN13" s="362">
        <v>134822</v>
      </c>
      <c r="AO13" s="359">
        <v>9194</v>
      </c>
      <c r="AP13" s="360">
        <v>155427</v>
      </c>
      <c r="AQ13" s="360">
        <v>98778</v>
      </c>
      <c r="AR13" s="360">
        <v>89690</v>
      </c>
      <c r="AS13" s="361">
        <v>109575.545</v>
      </c>
    </row>
    <row r="14" spans="1:45" ht="15" thickBot="1" x14ac:dyDescent="0.4">
      <c r="A14" s="175" t="s">
        <v>305</v>
      </c>
      <c r="C14" s="357">
        <v>-137470</v>
      </c>
      <c r="D14" s="357">
        <v>-140099.10317999998</v>
      </c>
      <c r="E14" s="357">
        <v>-145201.19839000009</v>
      </c>
      <c r="F14" s="357">
        <v>-150668.22579</v>
      </c>
      <c r="G14" s="357">
        <v>-141494.45685000002</v>
      </c>
      <c r="H14" s="357">
        <v>-142747.54314999998</v>
      </c>
      <c r="I14" s="357">
        <v>-174318.47358999995</v>
      </c>
      <c r="J14" s="357">
        <v>-229272.90873000008</v>
      </c>
      <c r="K14" s="357">
        <v>-205186</v>
      </c>
      <c r="L14" s="357">
        <v>-227379</v>
      </c>
      <c r="M14" s="357">
        <v>-273021.06302000012</v>
      </c>
      <c r="N14" s="357">
        <v>-303413.10375999985</v>
      </c>
      <c r="O14" s="357">
        <v>-276080.64013999992</v>
      </c>
      <c r="P14" s="357">
        <v>-261632.34419000006</v>
      </c>
      <c r="Q14" s="357">
        <v>-255607.46419999999</v>
      </c>
      <c r="R14" s="357">
        <v>-331313.70226999989</v>
      </c>
      <c r="S14" s="357">
        <v>-261192.31418999998</v>
      </c>
      <c r="T14" s="357">
        <v>-297290</v>
      </c>
      <c r="U14" s="357">
        <v>-357309</v>
      </c>
      <c r="V14" s="357">
        <v>-395518</v>
      </c>
      <c r="W14" s="357">
        <v>-324320</v>
      </c>
      <c r="X14" s="357">
        <v>-383689</v>
      </c>
      <c r="Y14" s="357">
        <v>-410211</v>
      </c>
      <c r="Z14" s="357">
        <v>-355902</v>
      </c>
      <c r="AA14" s="357">
        <v>-370719</v>
      </c>
      <c r="AB14" s="357">
        <v>-363294</v>
      </c>
      <c r="AC14" s="363">
        <v>-388895</v>
      </c>
      <c r="AD14" s="363">
        <v>-364325</v>
      </c>
      <c r="AE14" s="363">
        <v>-332671</v>
      </c>
      <c r="AF14" s="363">
        <v>-260844</v>
      </c>
      <c r="AG14" s="363">
        <v>-383365</v>
      </c>
      <c r="AH14" s="363">
        <v>-382298</v>
      </c>
      <c r="AI14" s="363">
        <v>-349837</v>
      </c>
      <c r="AJ14" s="364">
        <v>-395062</v>
      </c>
      <c r="AK14" s="364">
        <v>-404525</v>
      </c>
      <c r="AL14" s="364">
        <v>-543511</v>
      </c>
      <c r="AM14" s="364">
        <v>-466451</v>
      </c>
      <c r="AN14" s="364">
        <v>-496070</v>
      </c>
      <c r="AO14" s="364">
        <v>-405231</v>
      </c>
      <c r="AP14" s="364">
        <v>-420294</v>
      </c>
      <c r="AQ14" s="364">
        <v>-395546</v>
      </c>
      <c r="AR14" s="364">
        <v>-438693</v>
      </c>
      <c r="AS14" s="365">
        <v>-498663.81800000003</v>
      </c>
    </row>
    <row r="15" spans="1:45" ht="15" thickBot="1" x14ac:dyDescent="0.4">
      <c r="A15" s="175" t="s">
        <v>256</v>
      </c>
      <c r="C15" s="357">
        <f t="shared" ref="C15:AR15" si="1">C9+C14</f>
        <v>488954</v>
      </c>
      <c r="D15" s="357">
        <f t="shared" si="1"/>
        <v>474317.28123000008</v>
      </c>
      <c r="E15" s="357">
        <f t="shared" si="1"/>
        <v>469762.35042000009</v>
      </c>
      <c r="F15" s="357">
        <f t="shared" si="1"/>
        <v>535739.95833000005</v>
      </c>
      <c r="G15" s="357">
        <f t="shared" si="1"/>
        <v>490121.40211999993</v>
      </c>
      <c r="H15" s="357">
        <f t="shared" si="1"/>
        <v>511141.59788000019</v>
      </c>
      <c r="I15" s="357">
        <f t="shared" si="1"/>
        <v>544946.43875000032</v>
      </c>
      <c r="J15" s="357">
        <f t="shared" si="1"/>
        <v>938008.82215000014</v>
      </c>
      <c r="K15" s="357">
        <f t="shared" si="1"/>
        <v>655551</v>
      </c>
      <c r="L15" s="357">
        <f t="shared" si="1"/>
        <v>627091</v>
      </c>
      <c r="M15" s="357">
        <f t="shared" si="1"/>
        <v>677299.05348999857</v>
      </c>
      <c r="N15" s="357">
        <f t="shared" si="1"/>
        <v>780864.35007000226</v>
      </c>
      <c r="O15" s="357">
        <f t="shared" si="1"/>
        <v>710153.60043000022</v>
      </c>
      <c r="P15" s="357">
        <f t="shared" si="1"/>
        <v>699962.27374000009</v>
      </c>
      <c r="Q15" s="357">
        <f t="shared" si="1"/>
        <v>802150.98108000006</v>
      </c>
      <c r="R15" s="357">
        <f t="shared" si="1"/>
        <v>858999.75216999988</v>
      </c>
      <c r="S15" s="357">
        <f t="shared" si="1"/>
        <v>680879.69784999988</v>
      </c>
      <c r="T15" s="357">
        <f t="shared" si="1"/>
        <v>829899</v>
      </c>
      <c r="U15" s="357">
        <f t="shared" si="1"/>
        <v>897578</v>
      </c>
      <c r="V15" s="357">
        <f t="shared" si="1"/>
        <v>962479.7</v>
      </c>
      <c r="W15" s="357">
        <f t="shared" si="1"/>
        <v>906576</v>
      </c>
      <c r="X15" s="357">
        <f t="shared" si="1"/>
        <v>879817</v>
      </c>
      <c r="Y15" s="357">
        <f t="shared" si="1"/>
        <v>989846</v>
      </c>
      <c r="Z15" s="357">
        <f t="shared" si="1"/>
        <v>1020533</v>
      </c>
      <c r="AA15" s="357">
        <f t="shared" si="1"/>
        <v>870974</v>
      </c>
      <c r="AB15" s="357">
        <f t="shared" si="1"/>
        <v>917679</v>
      </c>
      <c r="AC15" s="357">
        <f t="shared" si="1"/>
        <v>930181</v>
      </c>
      <c r="AD15" s="357">
        <f t="shared" si="1"/>
        <v>1074724</v>
      </c>
      <c r="AE15" s="357">
        <f t="shared" si="1"/>
        <v>912405</v>
      </c>
      <c r="AF15" s="357">
        <f t="shared" si="1"/>
        <v>830037</v>
      </c>
      <c r="AG15" s="357">
        <f t="shared" si="1"/>
        <v>1014321</v>
      </c>
      <c r="AH15" s="357">
        <f t="shared" si="1"/>
        <v>1350229</v>
      </c>
      <c r="AI15" s="357">
        <f t="shared" si="1"/>
        <v>1110648</v>
      </c>
      <c r="AJ15" s="357">
        <f t="shared" si="1"/>
        <v>991329</v>
      </c>
      <c r="AK15" s="357">
        <f t="shared" si="1"/>
        <v>1587615</v>
      </c>
      <c r="AL15" s="357">
        <f t="shared" si="1"/>
        <v>1700051</v>
      </c>
      <c r="AM15" s="357">
        <f t="shared" si="1"/>
        <v>1046294</v>
      </c>
      <c r="AN15" s="357">
        <f t="shared" si="1"/>
        <v>1125678</v>
      </c>
      <c r="AO15" s="357">
        <f t="shared" si="1"/>
        <v>1208355</v>
      </c>
      <c r="AP15" s="357">
        <f t="shared" si="1"/>
        <v>1462389</v>
      </c>
      <c r="AQ15" s="357">
        <f t="shared" si="1"/>
        <v>1242864</v>
      </c>
      <c r="AR15" s="357">
        <f t="shared" si="1"/>
        <v>1309233</v>
      </c>
      <c r="AS15" s="357">
        <f>AS9+AS14</f>
        <v>1475010.9350000001</v>
      </c>
    </row>
    <row r="16" spans="1:45" ht="15" thickBot="1" x14ac:dyDescent="0.4">
      <c r="A16" s="175" t="s">
        <v>257</v>
      </c>
      <c r="C16" s="357">
        <f t="shared" ref="C16:AR16" si="2">SUM(C17:C20)</f>
        <v>-299244</v>
      </c>
      <c r="D16" s="357">
        <f t="shared" si="2"/>
        <v>-256354</v>
      </c>
      <c r="E16" s="357">
        <f t="shared" si="2"/>
        <v>-184589.96658999985</v>
      </c>
      <c r="F16" s="357">
        <f t="shared" si="2"/>
        <v>-304387.6041</v>
      </c>
      <c r="G16" s="357">
        <f t="shared" si="2"/>
        <v>-324336.06970999995</v>
      </c>
      <c r="H16" s="357">
        <f t="shared" si="2"/>
        <v>-393708.93029000005</v>
      </c>
      <c r="I16" s="357">
        <f t="shared" si="2"/>
        <v>-279342.62115000002</v>
      </c>
      <c r="J16" s="357">
        <f t="shared" si="2"/>
        <v>-448617.54712000035</v>
      </c>
      <c r="K16" s="357">
        <f t="shared" si="2"/>
        <v>-420897</v>
      </c>
      <c r="L16" s="357">
        <f t="shared" si="2"/>
        <v>-408023.13576999994</v>
      </c>
      <c r="M16" s="357">
        <f t="shared" si="2"/>
        <v>-403542.60175999993</v>
      </c>
      <c r="N16" s="357">
        <f t="shared" si="2"/>
        <v>-489160.93742999987</v>
      </c>
      <c r="O16" s="357">
        <f t="shared" si="2"/>
        <v>-483945.95909999992</v>
      </c>
      <c r="P16" s="357">
        <f t="shared" si="2"/>
        <v>-420927.70497000002</v>
      </c>
      <c r="Q16" s="357">
        <f t="shared" si="2"/>
        <v>-488989.49725000001</v>
      </c>
      <c r="R16" s="357">
        <f t="shared" si="2"/>
        <v>-518821.05398999993</v>
      </c>
      <c r="S16" s="357">
        <f t="shared" si="2"/>
        <v>-436539.83806000004</v>
      </c>
      <c r="T16" s="357">
        <f t="shared" si="2"/>
        <v>-518170</v>
      </c>
      <c r="U16" s="357">
        <f t="shared" si="2"/>
        <v>-504555</v>
      </c>
      <c r="V16" s="357">
        <f t="shared" si="2"/>
        <v>-585529.30000000005</v>
      </c>
      <c r="W16" s="357">
        <f t="shared" si="2"/>
        <v>-596958</v>
      </c>
      <c r="X16" s="357">
        <f t="shared" si="2"/>
        <v>-535506</v>
      </c>
      <c r="Y16" s="357">
        <f t="shared" si="2"/>
        <v>-626849</v>
      </c>
      <c r="Z16" s="357">
        <f t="shared" si="2"/>
        <v>-518729</v>
      </c>
      <c r="AA16" s="357">
        <f t="shared" si="2"/>
        <v>-512119</v>
      </c>
      <c r="AB16" s="357">
        <f t="shared" si="2"/>
        <v>-502705</v>
      </c>
      <c r="AC16" s="357">
        <f t="shared" si="2"/>
        <v>-539124</v>
      </c>
      <c r="AD16" s="357">
        <f t="shared" si="2"/>
        <v>-618878</v>
      </c>
      <c r="AE16" s="357">
        <f t="shared" si="2"/>
        <v>-543255</v>
      </c>
      <c r="AF16" s="357">
        <f t="shared" si="2"/>
        <v>-467825</v>
      </c>
      <c r="AG16" s="357">
        <f t="shared" si="2"/>
        <v>-556081</v>
      </c>
      <c r="AH16" s="357">
        <f t="shared" si="2"/>
        <v>-799906</v>
      </c>
      <c r="AI16" s="357">
        <f t="shared" si="2"/>
        <v>-638800</v>
      </c>
      <c r="AJ16" s="357">
        <f t="shared" si="2"/>
        <v>-555898</v>
      </c>
      <c r="AK16" s="357">
        <f t="shared" si="2"/>
        <v>-1090613</v>
      </c>
      <c r="AL16" s="357">
        <f t="shared" si="2"/>
        <v>-999516</v>
      </c>
      <c r="AM16" s="357">
        <f t="shared" si="2"/>
        <v>-609624</v>
      </c>
      <c r="AN16" s="357">
        <f t="shared" si="2"/>
        <v>-722699</v>
      </c>
      <c r="AO16" s="357">
        <f t="shared" si="2"/>
        <v>-800073</v>
      </c>
      <c r="AP16" s="357">
        <f t="shared" si="2"/>
        <v>-842936</v>
      </c>
      <c r="AQ16" s="357">
        <f t="shared" si="2"/>
        <v>-749432</v>
      </c>
      <c r="AR16" s="357">
        <f t="shared" si="2"/>
        <v>-794685</v>
      </c>
      <c r="AS16" s="357">
        <f>SUM(AS17:AS20)</f>
        <v>-932487.92</v>
      </c>
    </row>
    <row r="17" spans="1:45" x14ac:dyDescent="0.35">
      <c r="A17" s="172" t="s">
        <v>258</v>
      </c>
      <c r="C17" s="358">
        <v>-207101</v>
      </c>
      <c r="D17" s="358">
        <v>-183069</v>
      </c>
      <c r="E17" s="358">
        <v>-112334.78253999987</v>
      </c>
      <c r="F17" s="358">
        <v>-188271.77510999999</v>
      </c>
      <c r="G17" s="358">
        <v>-227433.34256999992</v>
      </c>
      <c r="H17" s="358">
        <v>-283621.65743000008</v>
      </c>
      <c r="I17" s="358">
        <v>-156601.64410999999</v>
      </c>
      <c r="J17" s="358">
        <v>-445804.1306200003</v>
      </c>
      <c r="K17" s="358">
        <v>-315226</v>
      </c>
      <c r="L17" s="358">
        <v>-316380.96017999994</v>
      </c>
      <c r="M17" s="358">
        <v>-280290.84745999996</v>
      </c>
      <c r="N17" s="358">
        <v>-307326.24317999976</v>
      </c>
      <c r="O17" s="358">
        <v>-297072.32466999994</v>
      </c>
      <c r="P17" s="358">
        <v>-264431.81996000005</v>
      </c>
      <c r="Q17" s="358">
        <v>-300945.10044000001</v>
      </c>
      <c r="R17" s="358">
        <v>-351043.75544999994</v>
      </c>
      <c r="S17" s="358">
        <v>-276037.47010000004</v>
      </c>
      <c r="T17" s="358">
        <v>-408984</v>
      </c>
      <c r="U17" s="358">
        <v>-376540</v>
      </c>
      <c r="V17" s="358">
        <v>-415802</v>
      </c>
      <c r="W17" s="358">
        <v>-462504</v>
      </c>
      <c r="X17" s="358">
        <v>-369247</v>
      </c>
      <c r="Y17" s="358">
        <v>-483138</v>
      </c>
      <c r="Z17" s="358">
        <v>-356519</v>
      </c>
      <c r="AA17" s="358">
        <v>-379411</v>
      </c>
      <c r="AB17" s="358">
        <v>-348618</v>
      </c>
      <c r="AC17" s="359">
        <v>-386929</v>
      </c>
      <c r="AD17" s="359">
        <v>-430375</v>
      </c>
      <c r="AE17" s="359">
        <v>-343603</v>
      </c>
      <c r="AF17" s="359">
        <v>-280544</v>
      </c>
      <c r="AG17" s="359">
        <v>-355394</v>
      </c>
      <c r="AH17" s="359">
        <v>-518348</v>
      </c>
      <c r="AI17" s="359">
        <v>-404897</v>
      </c>
      <c r="AJ17" s="362">
        <v>-383728</v>
      </c>
      <c r="AK17" s="362">
        <v>-841448</v>
      </c>
      <c r="AL17" s="362">
        <v>-734534</v>
      </c>
      <c r="AM17" s="362">
        <v>-463813</v>
      </c>
      <c r="AN17" s="362">
        <v>-475078</v>
      </c>
      <c r="AO17" s="362">
        <v>-508782</v>
      </c>
      <c r="AP17" s="366">
        <v>-554159</v>
      </c>
      <c r="AQ17" s="366">
        <v>-544135</v>
      </c>
      <c r="AR17" s="366">
        <v>-555867</v>
      </c>
      <c r="AS17" s="367">
        <v>-599663.50600000005</v>
      </c>
    </row>
    <row r="18" spans="1:45" x14ac:dyDescent="0.35">
      <c r="A18" s="172" t="s">
        <v>260</v>
      </c>
      <c r="C18" s="358">
        <v>-11205</v>
      </c>
      <c r="D18" s="358">
        <v>-10693</v>
      </c>
      <c r="E18" s="358">
        <v>-13210.99785</v>
      </c>
      <c r="F18" s="358">
        <v>-10778.950480000007</v>
      </c>
      <c r="G18" s="358">
        <v>-11434.78622</v>
      </c>
      <c r="H18" s="358">
        <v>-11790.21378</v>
      </c>
      <c r="I18" s="358">
        <v>-17321.104960000004</v>
      </c>
      <c r="J18" s="358">
        <v>25505.795539999992</v>
      </c>
      <c r="K18" s="358">
        <v>-15305</v>
      </c>
      <c r="L18" s="358">
        <v>-19884.488669999992</v>
      </c>
      <c r="M18" s="358">
        <v>-22839.414990000005</v>
      </c>
      <c r="N18" s="358">
        <v>-17959.946020000003</v>
      </c>
      <c r="O18" s="358">
        <v>-31866.903420000002</v>
      </c>
      <c r="P18" s="358">
        <v>-14687.322610000003</v>
      </c>
      <c r="Q18" s="358">
        <v>-22342.760309999998</v>
      </c>
      <c r="R18" s="358">
        <v>-21508.021439999997</v>
      </c>
      <c r="S18" s="358">
        <v>-20877.083400000003</v>
      </c>
      <c r="T18" s="358">
        <v>-21243</v>
      </c>
      <c r="U18" s="358">
        <v>-38772</v>
      </c>
      <c r="V18" s="358">
        <v>-59534</v>
      </c>
      <c r="W18" s="358">
        <v>-64144</v>
      </c>
      <c r="X18" s="358">
        <v>-64492</v>
      </c>
      <c r="Y18" s="358">
        <v>-49024</v>
      </c>
      <c r="Z18" s="358">
        <v>-50701</v>
      </c>
      <c r="AA18" s="358">
        <v>-52776</v>
      </c>
      <c r="AB18" s="358">
        <v>-53099</v>
      </c>
      <c r="AC18" s="359">
        <v>-58889</v>
      </c>
      <c r="AD18" s="359">
        <v>-53346</v>
      </c>
      <c r="AE18" s="359">
        <v>-65117.000000000007</v>
      </c>
      <c r="AF18" s="359">
        <v>-57041</v>
      </c>
      <c r="AG18" s="359">
        <v>-92432</v>
      </c>
      <c r="AH18" s="359">
        <v>-93845</v>
      </c>
      <c r="AI18" s="359">
        <v>-97062</v>
      </c>
      <c r="AJ18" s="362">
        <v>-99719</v>
      </c>
      <c r="AK18" s="362">
        <v>-89597</v>
      </c>
      <c r="AL18" s="362">
        <v>-89823</v>
      </c>
      <c r="AM18" s="362">
        <v>-5173</v>
      </c>
      <c r="AN18" s="362">
        <v>-4850</v>
      </c>
      <c r="AO18" s="362">
        <v>-5393</v>
      </c>
      <c r="AP18" s="366">
        <v>-5445</v>
      </c>
      <c r="AQ18" s="366">
        <v>-7401</v>
      </c>
      <c r="AR18" s="366">
        <v>-6646</v>
      </c>
      <c r="AS18" s="367">
        <v>-9247.4089999999997</v>
      </c>
    </row>
    <row r="19" spans="1:45" x14ac:dyDescent="0.35">
      <c r="A19" s="172" t="s">
        <v>261</v>
      </c>
      <c r="C19" s="358">
        <v>-80938</v>
      </c>
      <c r="D19" s="358">
        <v>-62592</v>
      </c>
      <c r="E19" s="358">
        <v>-59044.186199999996</v>
      </c>
      <c r="F19" s="358">
        <v>-105336.87851000001</v>
      </c>
      <c r="G19" s="358">
        <v>-85467.940920000008</v>
      </c>
      <c r="H19" s="358">
        <v>-98297.059079999992</v>
      </c>
      <c r="I19" s="358">
        <v>-105419.87208</v>
      </c>
      <c r="J19" s="358">
        <v>-93173.212040000013</v>
      </c>
      <c r="K19" s="358">
        <v>-90366</v>
      </c>
      <c r="L19" s="358">
        <v>-71757.686919999978</v>
      </c>
      <c r="M19" s="358">
        <v>-99409.160029999999</v>
      </c>
      <c r="N19" s="358">
        <v>-162865.06043000007</v>
      </c>
      <c r="O19" s="358">
        <v>-153997.04321</v>
      </c>
      <c r="P19" s="358">
        <v>-141808.5624</v>
      </c>
      <c r="Q19" s="358">
        <v>-165701.63649999999</v>
      </c>
      <c r="R19" s="358">
        <v>-146269.27710000004</v>
      </c>
      <c r="S19" s="358">
        <v>-139625.28456</v>
      </c>
      <c r="T19" s="358">
        <v>-87943</v>
      </c>
      <c r="U19" s="358">
        <v>-89243</v>
      </c>
      <c r="V19" s="358">
        <v>-110193.3</v>
      </c>
      <c r="W19" s="358">
        <v>-70310</v>
      </c>
      <c r="X19" s="358">
        <v>-101767</v>
      </c>
      <c r="Y19" s="358">
        <v>-94687</v>
      </c>
      <c r="Z19" s="358">
        <v>-111509</v>
      </c>
      <c r="AA19" s="358">
        <v>-79932</v>
      </c>
      <c r="AB19" s="358">
        <v>-100988</v>
      </c>
      <c r="AC19" s="359">
        <v>-93306</v>
      </c>
      <c r="AD19" s="359">
        <v>-135157</v>
      </c>
      <c r="AE19" s="359">
        <v>-134535</v>
      </c>
      <c r="AF19" s="359">
        <v>-130240</v>
      </c>
      <c r="AG19" s="359">
        <v>-108255</v>
      </c>
      <c r="AH19" s="359">
        <v>-187713</v>
      </c>
      <c r="AI19" s="359">
        <v>-136841</v>
      </c>
      <c r="AJ19" s="362">
        <v>-72451</v>
      </c>
      <c r="AK19" s="362">
        <v>-159568</v>
      </c>
      <c r="AL19" s="362">
        <v>-175159</v>
      </c>
      <c r="AM19" s="362">
        <v>-140638</v>
      </c>
      <c r="AN19" s="362">
        <v>-242771</v>
      </c>
      <c r="AO19" s="362">
        <v>-285898</v>
      </c>
      <c r="AP19" s="366">
        <v>-283332</v>
      </c>
      <c r="AQ19" s="366">
        <v>-197896</v>
      </c>
      <c r="AR19" s="366">
        <v>-232172</v>
      </c>
      <c r="AS19" s="367">
        <v>-323577.005</v>
      </c>
    </row>
    <row r="20" spans="1:45" ht="15" thickBot="1" x14ac:dyDescent="0.4">
      <c r="A20" s="172" t="s">
        <v>262</v>
      </c>
      <c r="C20" s="368"/>
      <c r="D20" s="368"/>
      <c r="E20" s="368"/>
      <c r="F20" s="368"/>
      <c r="G20" s="368"/>
      <c r="H20" s="368"/>
      <c r="I20" s="368"/>
      <c r="J20" s="368">
        <v>64854</v>
      </c>
      <c r="K20" s="368"/>
      <c r="L20" s="368"/>
      <c r="M20" s="368">
        <v>-1003.1792799999996</v>
      </c>
      <c r="N20" s="368">
        <v>-1009.6878000000006</v>
      </c>
      <c r="O20" s="368">
        <v>-1009.6878</v>
      </c>
      <c r="P20" s="368">
        <v>0</v>
      </c>
      <c r="Q20" s="368">
        <v>0</v>
      </c>
      <c r="R20" s="368">
        <v>0</v>
      </c>
      <c r="S20" s="368"/>
      <c r="T20" s="368">
        <v>0</v>
      </c>
      <c r="U20" s="368">
        <v>0</v>
      </c>
      <c r="V20" s="368">
        <v>0</v>
      </c>
      <c r="W20" s="368"/>
      <c r="X20" s="368"/>
      <c r="Y20" s="368"/>
      <c r="Z20" s="368"/>
      <c r="AA20" s="368">
        <v>0</v>
      </c>
      <c r="AB20" s="368">
        <v>0</v>
      </c>
      <c r="AC20" s="369">
        <v>0</v>
      </c>
      <c r="AD20" s="359">
        <v>0</v>
      </c>
      <c r="AE20" s="359">
        <v>0</v>
      </c>
      <c r="AF20" s="359"/>
      <c r="AG20" s="359"/>
      <c r="AH20" s="359">
        <v>0</v>
      </c>
      <c r="AI20" s="359">
        <v>0</v>
      </c>
      <c r="AJ20" s="359">
        <v>0</v>
      </c>
      <c r="AK20" s="359">
        <v>0</v>
      </c>
      <c r="AL20" s="359">
        <v>0</v>
      </c>
      <c r="AM20" s="359"/>
      <c r="AN20" s="359"/>
      <c r="AO20" s="359"/>
      <c r="AP20" s="360"/>
      <c r="AQ20" s="360"/>
      <c r="AR20" s="360"/>
      <c r="AS20" s="361"/>
    </row>
    <row r="21" spans="1:45" ht="15" thickBot="1" x14ac:dyDescent="0.4">
      <c r="A21" s="175" t="s">
        <v>263</v>
      </c>
      <c r="C21" s="357">
        <f t="shared" ref="C21:AR21" si="3">C15+C16</f>
        <v>189710</v>
      </c>
      <c r="D21" s="357">
        <f t="shared" si="3"/>
        <v>217963.28123000008</v>
      </c>
      <c r="E21" s="357">
        <f t="shared" si="3"/>
        <v>285172.38383000024</v>
      </c>
      <c r="F21" s="357">
        <f t="shared" si="3"/>
        <v>231352.35423000006</v>
      </c>
      <c r="G21" s="357">
        <f t="shared" si="3"/>
        <v>165785.33240999997</v>
      </c>
      <c r="H21" s="357">
        <f t="shared" si="3"/>
        <v>117432.66759000014</v>
      </c>
      <c r="I21" s="357">
        <f t="shared" si="3"/>
        <v>265603.8176000003</v>
      </c>
      <c r="J21" s="357">
        <f t="shared" si="3"/>
        <v>489391.27502999979</v>
      </c>
      <c r="K21" s="357">
        <f t="shared" si="3"/>
        <v>234654</v>
      </c>
      <c r="L21" s="357">
        <f t="shared" si="3"/>
        <v>219067.86423000006</v>
      </c>
      <c r="M21" s="357">
        <f t="shared" si="3"/>
        <v>273756.45172999863</v>
      </c>
      <c r="N21" s="357">
        <f t="shared" si="3"/>
        <v>291703.41264000238</v>
      </c>
      <c r="O21" s="357">
        <f t="shared" si="3"/>
        <v>226207.6413300003</v>
      </c>
      <c r="P21" s="357">
        <f t="shared" si="3"/>
        <v>279034.56877000007</v>
      </c>
      <c r="Q21" s="357">
        <f t="shared" si="3"/>
        <v>313161.48383000004</v>
      </c>
      <c r="R21" s="357">
        <f t="shared" si="3"/>
        <v>340178.69817999995</v>
      </c>
      <c r="S21" s="357">
        <f t="shared" si="3"/>
        <v>244339.85978999984</v>
      </c>
      <c r="T21" s="357">
        <f t="shared" si="3"/>
        <v>311729</v>
      </c>
      <c r="U21" s="357">
        <f t="shared" si="3"/>
        <v>393023</v>
      </c>
      <c r="V21" s="357">
        <f t="shared" si="3"/>
        <v>376950.39999999991</v>
      </c>
      <c r="W21" s="357">
        <f t="shared" si="3"/>
        <v>309618</v>
      </c>
      <c r="X21" s="357">
        <f t="shared" si="3"/>
        <v>344311</v>
      </c>
      <c r="Y21" s="357">
        <f t="shared" si="3"/>
        <v>362997</v>
      </c>
      <c r="Z21" s="357">
        <f t="shared" si="3"/>
        <v>501804</v>
      </c>
      <c r="AA21" s="357">
        <f t="shared" si="3"/>
        <v>358855</v>
      </c>
      <c r="AB21" s="357">
        <f t="shared" si="3"/>
        <v>414974</v>
      </c>
      <c r="AC21" s="357">
        <f t="shared" si="3"/>
        <v>391057</v>
      </c>
      <c r="AD21" s="357">
        <f t="shared" si="3"/>
        <v>455846</v>
      </c>
      <c r="AE21" s="357">
        <f t="shared" si="3"/>
        <v>369150</v>
      </c>
      <c r="AF21" s="357">
        <f t="shared" si="3"/>
        <v>362212</v>
      </c>
      <c r="AG21" s="357">
        <f t="shared" si="3"/>
        <v>458240</v>
      </c>
      <c r="AH21" s="357">
        <f t="shared" si="3"/>
        <v>550323</v>
      </c>
      <c r="AI21" s="357">
        <f t="shared" si="3"/>
        <v>471848</v>
      </c>
      <c r="AJ21" s="357">
        <f t="shared" si="3"/>
        <v>435431</v>
      </c>
      <c r="AK21" s="357">
        <f t="shared" si="3"/>
        <v>497002</v>
      </c>
      <c r="AL21" s="357">
        <f t="shared" si="3"/>
        <v>700535</v>
      </c>
      <c r="AM21" s="357">
        <f t="shared" si="3"/>
        <v>436670</v>
      </c>
      <c r="AN21" s="357">
        <f t="shared" si="3"/>
        <v>402979</v>
      </c>
      <c r="AO21" s="357">
        <f t="shared" si="3"/>
        <v>408282</v>
      </c>
      <c r="AP21" s="357">
        <f t="shared" si="3"/>
        <v>619453</v>
      </c>
      <c r="AQ21" s="357">
        <f t="shared" si="3"/>
        <v>493432</v>
      </c>
      <c r="AR21" s="357">
        <f t="shared" si="3"/>
        <v>514548</v>
      </c>
      <c r="AS21" s="357">
        <f>AS15+AS16</f>
        <v>542523.01500000001</v>
      </c>
    </row>
    <row r="22" spans="1:45" ht="15" thickBot="1" x14ac:dyDescent="0.4">
      <c r="A22" s="175" t="s">
        <v>264</v>
      </c>
      <c r="C22" s="357">
        <f t="shared" ref="C22:AR22" si="4">SUM(C23:C28)</f>
        <v>-118827</v>
      </c>
      <c r="D22" s="357">
        <f t="shared" si="4"/>
        <v>-101515</v>
      </c>
      <c r="E22" s="357">
        <f t="shared" si="4"/>
        <v>-116993.08495999996</v>
      </c>
      <c r="F22" s="357">
        <f t="shared" si="4"/>
        <v>-127755.34806999999</v>
      </c>
      <c r="G22" s="357">
        <f t="shared" si="4"/>
        <v>-91242.08259999998</v>
      </c>
      <c r="H22" s="357">
        <f t="shared" si="4"/>
        <v>-102885.91739999999</v>
      </c>
      <c r="I22" s="357">
        <f t="shared" si="4"/>
        <v>-98378.061969999995</v>
      </c>
      <c r="J22" s="357">
        <f t="shared" si="4"/>
        <v>-129927.74609000006</v>
      </c>
      <c r="K22" s="357">
        <f t="shared" si="4"/>
        <v>-105662.45723000001</v>
      </c>
      <c r="L22" s="357">
        <f t="shared" si="4"/>
        <v>-98048.662709999946</v>
      </c>
      <c r="M22" s="357">
        <f t="shared" si="4"/>
        <v>-110640.55699999999</v>
      </c>
      <c r="N22" s="357">
        <f t="shared" si="4"/>
        <v>-154850.25174000009</v>
      </c>
      <c r="O22" s="357">
        <f t="shared" si="4"/>
        <v>-116374.97566000003</v>
      </c>
      <c r="P22" s="357">
        <f t="shared" si="4"/>
        <v>-120263.96012</v>
      </c>
      <c r="Q22" s="357">
        <f t="shared" si="4"/>
        <v>-133798.12986999998</v>
      </c>
      <c r="R22" s="357">
        <f t="shared" si="4"/>
        <v>-186309.43487</v>
      </c>
      <c r="S22" s="357">
        <f t="shared" si="4"/>
        <v>-149696.69298999998</v>
      </c>
      <c r="T22" s="357">
        <f t="shared" si="4"/>
        <v>-113570</v>
      </c>
      <c r="U22" s="357">
        <f t="shared" si="4"/>
        <v>-126558</v>
      </c>
      <c r="V22" s="357">
        <f t="shared" si="4"/>
        <v>-151126.35012999998</v>
      </c>
      <c r="W22" s="357">
        <f t="shared" si="4"/>
        <v>-148491</v>
      </c>
      <c r="X22" s="357">
        <f t="shared" si="4"/>
        <v>-149763</v>
      </c>
      <c r="Y22" s="357">
        <f t="shared" si="4"/>
        <v>-117870</v>
      </c>
      <c r="Z22" s="357">
        <f t="shared" si="4"/>
        <v>-148455</v>
      </c>
      <c r="AA22" s="357">
        <f t="shared" si="4"/>
        <v>-150039</v>
      </c>
      <c r="AB22" s="357">
        <f t="shared" si="4"/>
        <v>-152140</v>
      </c>
      <c r="AC22" s="357">
        <f t="shared" si="4"/>
        <v>-164413</v>
      </c>
      <c r="AD22" s="357">
        <f t="shared" si="4"/>
        <v>-170904</v>
      </c>
      <c r="AE22" s="357">
        <f t="shared" si="4"/>
        <v>-139544</v>
      </c>
      <c r="AF22" s="357">
        <f t="shared" si="4"/>
        <v>-167481</v>
      </c>
      <c r="AG22" s="357">
        <f t="shared" si="4"/>
        <v>-171289</v>
      </c>
      <c r="AH22" s="357">
        <f t="shared" si="4"/>
        <v>-175666</v>
      </c>
      <c r="AI22" s="357">
        <f t="shared" si="4"/>
        <v>-145866</v>
      </c>
      <c r="AJ22" s="357">
        <f t="shared" si="4"/>
        <v>-139442</v>
      </c>
      <c r="AK22" s="357">
        <f t="shared" si="4"/>
        <v>-152136</v>
      </c>
      <c r="AL22" s="357">
        <f t="shared" si="4"/>
        <v>-201850</v>
      </c>
      <c r="AM22" s="357">
        <f t="shared" si="4"/>
        <v>-202440</v>
      </c>
      <c r="AN22" s="357">
        <f t="shared" si="4"/>
        <v>-215523</v>
      </c>
      <c r="AO22" s="357">
        <f t="shared" si="4"/>
        <v>-188701</v>
      </c>
      <c r="AP22" s="357">
        <f t="shared" si="4"/>
        <v>-80985</v>
      </c>
      <c r="AQ22" s="357">
        <f t="shared" si="4"/>
        <v>-235302</v>
      </c>
      <c r="AR22" s="357">
        <f t="shared" si="4"/>
        <v>-214174</v>
      </c>
      <c r="AS22" s="357">
        <f>SUM(AS23:AS28)</f>
        <v>-222625.514</v>
      </c>
    </row>
    <row r="23" spans="1:45" x14ac:dyDescent="0.35">
      <c r="A23" s="172" t="s">
        <v>265</v>
      </c>
      <c r="C23" s="358">
        <v>-22339</v>
      </c>
      <c r="D23" s="358">
        <v>-21797</v>
      </c>
      <c r="E23" s="358">
        <v>-23342.783800000005</v>
      </c>
      <c r="F23" s="358">
        <v>-30510.823649999977</v>
      </c>
      <c r="G23" s="358">
        <v>-23667.50995</v>
      </c>
      <c r="H23" s="358">
        <v>-23638.49005</v>
      </c>
      <c r="I23" s="358">
        <v>-23491.287279999975</v>
      </c>
      <c r="J23" s="358">
        <v>-26011.195260000095</v>
      </c>
      <c r="K23" s="358">
        <v>-25402.941879999998</v>
      </c>
      <c r="L23" s="358">
        <v>-24893.064429999991</v>
      </c>
      <c r="M23" s="358">
        <v>-26284.700710000012</v>
      </c>
      <c r="N23" s="358">
        <v>-30761.917729999986</v>
      </c>
      <c r="O23" s="358">
        <v>-29126.086100000008</v>
      </c>
      <c r="P23" s="358">
        <v>-28327.835269999992</v>
      </c>
      <c r="Q23" s="358">
        <v>-26258.337759999995</v>
      </c>
      <c r="R23" s="358">
        <v>-35070.594250000009</v>
      </c>
      <c r="S23" s="358">
        <v>-28587.317339999987</v>
      </c>
      <c r="T23" s="358">
        <v>-28072</v>
      </c>
      <c r="U23" s="358">
        <v>-27589</v>
      </c>
      <c r="V23" s="358">
        <v>-27920.637489999979</v>
      </c>
      <c r="W23" s="358">
        <v>-29775</v>
      </c>
      <c r="X23" s="358">
        <v>-27902</v>
      </c>
      <c r="Y23" s="358">
        <v>-27200</v>
      </c>
      <c r="Z23" s="358">
        <v>-22069</v>
      </c>
      <c r="AA23" s="358">
        <v>-30530</v>
      </c>
      <c r="AB23" s="358">
        <v>-31238</v>
      </c>
      <c r="AC23" s="359">
        <v>-32523</v>
      </c>
      <c r="AD23" s="359">
        <v>-30609</v>
      </c>
      <c r="AE23" s="359">
        <v>-31631</v>
      </c>
      <c r="AF23" s="359">
        <v>-30498</v>
      </c>
      <c r="AG23" s="359">
        <v>-30430</v>
      </c>
      <c r="AH23" s="359">
        <v>-54314</v>
      </c>
      <c r="AI23" s="359">
        <v>-36273</v>
      </c>
      <c r="AJ23" s="359">
        <v>-41585</v>
      </c>
      <c r="AK23" s="359">
        <v>-35481</v>
      </c>
      <c r="AL23" s="359">
        <v>-46425</v>
      </c>
      <c r="AM23" s="359">
        <v>-28870</v>
      </c>
      <c r="AN23" s="359">
        <v>-44615</v>
      </c>
      <c r="AO23" s="359">
        <v>-38819</v>
      </c>
      <c r="AP23" s="360">
        <v>-41102</v>
      </c>
      <c r="AQ23" s="360">
        <v>-47089</v>
      </c>
      <c r="AR23" s="360">
        <v>-48117</v>
      </c>
      <c r="AS23" s="361">
        <v>-54536.79</v>
      </c>
    </row>
    <row r="24" spans="1:45" x14ac:dyDescent="0.35">
      <c r="A24" s="172" t="s">
        <v>266</v>
      </c>
      <c r="C24" s="358">
        <v>-1773</v>
      </c>
      <c r="D24" s="358">
        <v>-1447</v>
      </c>
      <c r="E24" s="358">
        <v>-3096.9437000000089</v>
      </c>
      <c r="F24" s="358">
        <v>-10099.68149999999</v>
      </c>
      <c r="G24" s="358">
        <v>-3319.9168200000008</v>
      </c>
      <c r="H24" s="358">
        <v>-3041.0831799999992</v>
      </c>
      <c r="I24" s="358">
        <v>-1689.8555399999987</v>
      </c>
      <c r="J24" s="358">
        <v>-4404.5413200000075</v>
      </c>
      <c r="K24" s="358">
        <v>-3155.5558000000001</v>
      </c>
      <c r="L24" s="358">
        <v>-1803.1039099999998</v>
      </c>
      <c r="M24" s="358">
        <v>-3994.2679399999997</v>
      </c>
      <c r="N24" s="358">
        <v>-3127.5439399999996</v>
      </c>
      <c r="O24" s="358">
        <v>-1577.86761</v>
      </c>
      <c r="P24" s="358">
        <v>-1718.8589799999997</v>
      </c>
      <c r="Q24" s="358">
        <v>-749.06453000000022</v>
      </c>
      <c r="R24" s="358">
        <v>-634.52695000000017</v>
      </c>
      <c r="S24" s="358">
        <v>-3598.7363799999998</v>
      </c>
      <c r="T24" s="358">
        <v>-2180</v>
      </c>
      <c r="U24" s="358">
        <v>-2563</v>
      </c>
      <c r="V24" s="358">
        <v>-6675</v>
      </c>
      <c r="W24" s="358">
        <v>-2110</v>
      </c>
      <c r="X24" s="358">
        <v>-2608</v>
      </c>
      <c r="Y24" s="358">
        <v>-3119</v>
      </c>
      <c r="Z24" s="358">
        <v>-15249</v>
      </c>
      <c r="AA24" s="358">
        <v>-2016</v>
      </c>
      <c r="AB24" s="358">
        <v>-3983</v>
      </c>
      <c r="AC24" s="359">
        <v>-3987</v>
      </c>
      <c r="AD24" s="359">
        <v>-2554</v>
      </c>
      <c r="AE24" s="359">
        <v>-2429</v>
      </c>
      <c r="AF24" s="359">
        <v>-2393</v>
      </c>
      <c r="AG24" s="359">
        <v>-8591</v>
      </c>
      <c r="AH24" s="359">
        <v>-12179</v>
      </c>
      <c r="AI24" s="359">
        <v>-5272</v>
      </c>
      <c r="AJ24" s="359">
        <v>132</v>
      </c>
      <c r="AK24" s="359">
        <v>-3721</v>
      </c>
      <c r="AL24" s="359">
        <v>-5913</v>
      </c>
      <c r="AM24" s="359">
        <v>-5078</v>
      </c>
      <c r="AN24" s="359">
        <v>-4313</v>
      </c>
      <c r="AO24" s="359">
        <v>-6211</v>
      </c>
      <c r="AP24" s="360">
        <v>-3672</v>
      </c>
      <c r="AQ24" s="360">
        <v>-4677</v>
      </c>
      <c r="AR24" s="360">
        <v>-4876</v>
      </c>
      <c r="AS24" s="361">
        <v>-3124.971</v>
      </c>
    </row>
    <row r="25" spans="1:45" x14ac:dyDescent="0.35">
      <c r="A25" s="172" t="s">
        <v>267</v>
      </c>
      <c r="C25" s="358">
        <v>-55426</v>
      </c>
      <c r="D25" s="358">
        <v>-53615</v>
      </c>
      <c r="E25" s="358">
        <v>-65447.560059999931</v>
      </c>
      <c r="F25" s="358">
        <v>-58611.621570000076</v>
      </c>
      <c r="G25" s="358">
        <v>-52152.801899999999</v>
      </c>
      <c r="H25" s="358">
        <v>-52522.198100000001</v>
      </c>
      <c r="I25" s="358">
        <v>-54882.911450000014</v>
      </c>
      <c r="J25" s="358">
        <v>-61086.640189999976</v>
      </c>
      <c r="K25" s="358">
        <v>-54311.539060000003</v>
      </c>
      <c r="L25" s="358">
        <v>-53885.452569999958</v>
      </c>
      <c r="M25" s="358">
        <v>-55875.633739999961</v>
      </c>
      <c r="N25" s="358">
        <v>-86791.016160000087</v>
      </c>
      <c r="O25" s="358">
        <v>-57097.830810000007</v>
      </c>
      <c r="P25" s="358">
        <v>-58982.305059999999</v>
      </c>
      <c r="Q25" s="358">
        <v>-66503.563939999993</v>
      </c>
      <c r="R25" s="358">
        <v>-104679.06632999997</v>
      </c>
      <c r="S25" s="358">
        <v>-71101.010909999997</v>
      </c>
      <c r="T25" s="358">
        <v>-62596</v>
      </c>
      <c r="U25" s="358">
        <v>-65642</v>
      </c>
      <c r="V25" s="358">
        <v>-68725</v>
      </c>
      <c r="W25" s="358">
        <v>-74164</v>
      </c>
      <c r="X25" s="358">
        <v>-74163</v>
      </c>
      <c r="Y25" s="358">
        <v>-71638</v>
      </c>
      <c r="Z25" s="358">
        <v>-70786</v>
      </c>
      <c r="AA25" s="358">
        <v>-78776</v>
      </c>
      <c r="AB25" s="358">
        <v>-75965</v>
      </c>
      <c r="AC25" s="359">
        <v>-83860</v>
      </c>
      <c r="AD25" s="359">
        <v>-97935</v>
      </c>
      <c r="AE25" s="359">
        <v>-79762</v>
      </c>
      <c r="AF25" s="359">
        <v>-88918</v>
      </c>
      <c r="AG25" s="359">
        <v>-111724</v>
      </c>
      <c r="AH25" s="359">
        <v>-111049</v>
      </c>
      <c r="AI25" s="359">
        <v>-83360</v>
      </c>
      <c r="AJ25" s="359">
        <v>-77017</v>
      </c>
      <c r="AK25" s="359">
        <v>-85305</v>
      </c>
      <c r="AL25" s="359">
        <v>-93601</v>
      </c>
      <c r="AM25" s="359">
        <v>-85732</v>
      </c>
      <c r="AN25" s="359">
        <v>-100936</v>
      </c>
      <c r="AO25" s="359">
        <v>-85980</v>
      </c>
      <c r="AP25" s="360">
        <v>-60173</v>
      </c>
      <c r="AQ25" s="360">
        <v>-93165</v>
      </c>
      <c r="AR25" s="360">
        <v>-119544</v>
      </c>
      <c r="AS25" s="361">
        <v>-103227.32799999999</v>
      </c>
    </row>
    <row r="26" spans="1:45" x14ac:dyDescent="0.35">
      <c r="A26" s="172" t="s">
        <v>268</v>
      </c>
      <c r="C26" s="358">
        <v>-17785</v>
      </c>
      <c r="D26" s="358">
        <v>-14382</v>
      </c>
      <c r="E26" s="358">
        <v>-15901.481900000028</v>
      </c>
      <c r="F26" s="358">
        <v>-11332.536849999946</v>
      </c>
      <c r="G26" s="358">
        <v>-5744.8809900000015</v>
      </c>
      <c r="H26" s="358">
        <v>-12797.304569999997</v>
      </c>
      <c r="I26" s="358">
        <v>-8320.6144699999968</v>
      </c>
      <c r="J26" s="358">
        <v>-21134.058219999988</v>
      </c>
      <c r="K26" s="358">
        <v>-9534.0817099999986</v>
      </c>
      <c r="L26" s="358">
        <v>-7176.1695700000018</v>
      </c>
      <c r="M26" s="358">
        <v>-7596.1238599999997</v>
      </c>
      <c r="N26" s="358">
        <v>-20480.809129999998</v>
      </c>
      <c r="O26" s="358">
        <v>-14255.162160000009</v>
      </c>
      <c r="P26" s="358">
        <v>-23205.540080000013</v>
      </c>
      <c r="Q26" s="358">
        <v>-25116.089929999973</v>
      </c>
      <c r="R26" s="358">
        <v>-21443.833699999977</v>
      </c>
      <c r="S26" s="358">
        <v>-35198.354300000006</v>
      </c>
      <c r="T26" s="358">
        <v>-3716</v>
      </c>
      <c r="U26" s="358">
        <v>-19493</v>
      </c>
      <c r="V26" s="358">
        <v>-22845</v>
      </c>
      <c r="W26" s="358">
        <v>-32292</v>
      </c>
      <c r="X26" s="358">
        <v>-36649</v>
      </c>
      <c r="Y26" s="358">
        <v>-7394</v>
      </c>
      <c r="Z26" s="358">
        <v>-32382</v>
      </c>
      <c r="AA26" s="358">
        <v>-33180</v>
      </c>
      <c r="AB26" s="358">
        <v>-25465</v>
      </c>
      <c r="AC26" s="359">
        <v>-9695</v>
      </c>
      <c r="AD26" s="359">
        <v>-45217</v>
      </c>
      <c r="AE26" s="359">
        <v>-21746.000000000004</v>
      </c>
      <c r="AF26" s="359">
        <v>-39941</v>
      </c>
      <c r="AG26" s="359">
        <v>-16444</v>
      </c>
      <c r="AH26" s="359">
        <v>7800</v>
      </c>
      <c r="AI26" s="359">
        <v>-19673</v>
      </c>
      <c r="AJ26" s="359">
        <v>-16487</v>
      </c>
      <c r="AK26" s="359">
        <v>-25440</v>
      </c>
      <c r="AL26" s="359">
        <v>-25692</v>
      </c>
      <c r="AM26" s="359">
        <v>-31233</v>
      </c>
      <c r="AN26" s="359">
        <v>-25330</v>
      </c>
      <c r="AO26" s="359">
        <v>-26484</v>
      </c>
      <c r="AP26" s="360">
        <v>26585</v>
      </c>
      <c r="AQ26" s="360">
        <v>-31377</v>
      </c>
      <c r="AR26" s="360">
        <v>-28067</v>
      </c>
      <c r="AS26" s="361">
        <v>-27313.641</v>
      </c>
    </row>
    <row r="27" spans="1:45" x14ac:dyDescent="0.35">
      <c r="A27" s="172" t="s">
        <v>270</v>
      </c>
      <c r="C27" s="358">
        <v>-5067</v>
      </c>
      <c r="D27" s="358">
        <v>-5274</v>
      </c>
      <c r="E27" s="358">
        <v>-5090.3155000000006</v>
      </c>
      <c r="F27" s="358">
        <v>-8167.6844999999994</v>
      </c>
      <c r="G27" s="358">
        <v>-4469.9729399999796</v>
      </c>
      <c r="H27" s="358">
        <v>-4735.8415000000005</v>
      </c>
      <c r="I27" s="358">
        <v>-5305.3932299999997</v>
      </c>
      <c r="J27" s="358">
        <v>-4755.2833799999989</v>
      </c>
      <c r="K27" s="358">
        <v>-8697.33878</v>
      </c>
      <c r="L27" s="358">
        <v>-7036.8722300000009</v>
      </c>
      <c r="M27" s="358">
        <v>-6189.1158999999971</v>
      </c>
      <c r="N27" s="358">
        <v>-4641.3381300000001</v>
      </c>
      <c r="O27" s="358">
        <v>-7217.5887400000011</v>
      </c>
      <c r="P27" s="358">
        <v>-4300.4007700000002</v>
      </c>
      <c r="Q27" s="358">
        <v>-4391.3890599999968</v>
      </c>
      <c r="R27" s="358">
        <v>-4895.4560799999999</v>
      </c>
      <c r="S27" s="358">
        <v>-7501.7936100000015</v>
      </c>
      <c r="T27" s="358">
        <v>-6261</v>
      </c>
      <c r="U27" s="358">
        <v>-5702</v>
      </c>
      <c r="V27" s="358">
        <v>-653</v>
      </c>
      <c r="W27" s="358">
        <v>-2986</v>
      </c>
      <c r="X27" s="358">
        <v>-3644</v>
      </c>
      <c r="Y27" s="358">
        <v>-4964</v>
      </c>
      <c r="Z27" s="358">
        <v>-4205</v>
      </c>
      <c r="AA27" s="358">
        <v>-3455</v>
      </c>
      <c r="AB27" s="358">
        <v>-12421</v>
      </c>
      <c r="AC27" s="359">
        <v>-4446</v>
      </c>
      <c r="AD27" s="359">
        <v>1095</v>
      </c>
      <c r="AE27" s="359">
        <v>-2911</v>
      </c>
      <c r="AF27" s="359">
        <v>-5406</v>
      </c>
      <c r="AG27" s="359">
        <v>-4050</v>
      </c>
      <c r="AH27" s="359">
        <v>-5082</v>
      </c>
      <c r="AI27" s="359">
        <v>-2143</v>
      </c>
      <c r="AJ27" s="359">
        <v>-3344</v>
      </c>
      <c r="AK27" s="359">
        <v>-1216</v>
      </c>
      <c r="AL27" s="359">
        <v>-8222</v>
      </c>
      <c r="AM27" s="359">
        <v>-3466</v>
      </c>
      <c r="AN27" s="359">
        <v>-3069</v>
      </c>
      <c r="AO27" s="359">
        <v>-24485</v>
      </c>
      <c r="AP27" s="360">
        <v>-4626</v>
      </c>
      <c r="AQ27" s="360">
        <v>-6829</v>
      </c>
      <c r="AR27" s="360">
        <v>-4057</v>
      </c>
      <c r="AS27" s="361">
        <v>-3717.8249999999998</v>
      </c>
    </row>
    <row r="28" spans="1:45" x14ac:dyDescent="0.35">
      <c r="A28" s="172" t="s">
        <v>271</v>
      </c>
      <c r="C28" s="358">
        <v>-16437</v>
      </c>
      <c r="D28" s="358">
        <v>-5000</v>
      </c>
      <c r="E28" s="358">
        <v>-4114</v>
      </c>
      <c r="F28" s="358">
        <v>-9033</v>
      </c>
      <c r="G28" s="358">
        <v>-1887</v>
      </c>
      <c r="H28" s="358">
        <v>-6151</v>
      </c>
      <c r="I28" s="358">
        <v>-4688</v>
      </c>
      <c r="J28" s="358">
        <v>-12536.027720000004</v>
      </c>
      <c r="K28" s="358">
        <v>-4561</v>
      </c>
      <c r="L28" s="358">
        <v>-3254</v>
      </c>
      <c r="M28" s="358">
        <v>-10700.71485</v>
      </c>
      <c r="N28" s="358">
        <v>-9047.6266500000056</v>
      </c>
      <c r="O28" s="358">
        <v>-7100.4402399999999</v>
      </c>
      <c r="P28" s="358">
        <v>-3729.0199600000005</v>
      </c>
      <c r="Q28" s="358">
        <v>-10779.684650000003</v>
      </c>
      <c r="R28" s="358">
        <v>-19585.957560000006</v>
      </c>
      <c r="S28" s="358">
        <v>-3709.4804500000005</v>
      </c>
      <c r="T28" s="358">
        <v>-10745</v>
      </c>
      <c r="U28" s="358">
        <v>-5569</v>
      </c>
      <c r="V28" s="358">
        <v>-24307.712639999998</v>
      </c>
      <c r="W28" s="358">
        <v>-7164</v>
      </c>
      <c r="X28" s="358">
        <v>-4797</v>
      </c>
      <c r="Y28" s="358">
        <v>-3555</v>
      </c>
      <c r="Z28" s="358">
        <v>-3764</v>
      </c>
      <c r="AA28" s="358">
        <v>-2082</v>
      </c>
      <c r="AB28" s="358">
        <v>-3068</v>
      </c>
      <c r="AC28" s="359">
        <v>-29902</v>
      </c>
      <c r="AD28" s="359">
        <v>4316</v>
      </c>
      <c r="AE28" s="359">
        <v>-1065</v>
      </c>
      <c r="AF28" s="359">
        <v>-325</v>
      </c>
      <c r="AG28" s="359">
        <v>-50</v>
      </c>
      <c r="AH28" s="359">
        <v>-842</v>
      </c>
      <c r="AI28" s="359">
        <v>855</v>
      </c>
      <c r="AJ28" s="359">
        <v>-1141</v>
      </c>
      <c r="AK28" s="359">
        <v>-973</v>
      </c>
      <c r="AL28" s="359">
        <v>-21997</v>
      </c>
      <c r="AM28" s="359">
        <v>-48061</v>
      </c>
      <c r="AN28" s="359">
        <v>-37260</v>
      </c>
      <c r="AO28" s="359">
        <v>-6722</v>
      </c>
      <c r="AP28" s="360">
        <v>2003</v>
      </c>
      <c r="AQ28" s="360">
        <v>-52165</v>
      </c>
      <c r="AR28" s="360">
        <v>-9513</v>
      </c>
      <c r="AS28" s="361">
        <v>-30704.958999999999</v>
      </c>
    </row>
    <row r="29" spans="1:45" x14ac:dyDescent="0.35">
      <c r="A29" s="596" t="s">
        <v>272</v>
      </c>
      <c r="C29" s="602">
        <f t="shared" ref="C29:AR29" si="5">C15+C16+C22</f>
        <v>70883</v>
      </c>
      <c r="D29" s="602">
        <f t="shared" si="5"/>
        <v>116448.28123000008</v>
      </c>
      <c r="E29" s="602">
        <f t="shared" si="5"/>
        <v>168179.29887000029</v>
      </c>
      <c r="F29" s="602">
        <f t="shared" si="5"/>
        <v>103597.00616000006</v>
      </c>
      <c r="G29" s="602">
        <f t="shared" si="5"/>
        <v>74543.249809999994</v>
      </c>
      <c r="H29" s="602">
        <f t="shared" si="5"/>
        <v>14546.750190000152</v>
      </c>
      <c r="I29" s="602">
        <f t="shared" si="5"/>
        <v>167225.75563000032</v>
      </c>
      <c r="J29" s="602">
        <f t="shared" si="5"/>
        <v>359463.52893999976</v>
      </c>
      <c r="K29" s="602">
        <f t="shared" si="5"/>
        <v>128991.54276999999</v>
      </c>
      <c r="L29" s="602">
        <f t="shared" si="5"/>
        <v>121019.20152000012</v>
      </c>
      <c r="M29" s="602">
        <f t="shared" si="5"/>
        <v>163115.89472999866</v>
      </c>
      <c r="N29" s="602">
        <f t="shared" si="5"/>
        <v>136853.16090000229</v>
      </c>
      <c r="O29" s="602">
        <f t="shared" si="5"/>
        <v>109832.66567000028</v>
      </c>
      <c r="P29" s="602">
        <f t="shared" si="5"/>
        <v>158770.60865000007</v>
      </c>
      <c r="Q29" s="602">
        <f t="shared" si="5"/>
        <v>179363.35396000007</v>
      </c>
      <c r="R29" s="602">
        <f t="shared" si="5"/>
        <v>153869.26330999995</v>
      </c>
      <c r="S29" s="602">
        <f t="shared" si="5"/>
        <v>94643.166799999861</v>
      </c>
      <c r="T29" s="602">
        <f t="shared" si="5"/>
        <v>198159</v>
      </c>
      <c r="U29" s="602">
        <f t="shared" si="5"/>
        <v>266465</v>
      </c>
      <c r="V29" s="602">
        <f t="shared" si="5"/>
        <v>225824.04986999993</v>
      </c>
      <c r="W29" s="602">
        <f t="shared" si="5"/>
        <v>161127</v>
      </c>
      <c r="X29" s="602">
        <f t="shared" si="5"/>
        <v>194548</v>
      </c>
      <c r="Y29" s="602">
        <f t="shared" si="5"/>
        <v>245127</v>
      </c>
      <c r="Z29" s="602">
        <f t="shared" si="5"/>
        <v>353349</v>
      </c>
      <c r="AA29" s="602">
        <f t="shared" si="5"/>
        <v>208816</v>
      </c>
      <c r="AB29" s="602">
        <f t="shared" si="5"/>
        <v>262834</v>
      </c>
      <c r="AC29" s="602">
        <f t="shared" si="5"/>
        <v>226644</v>
      </c>
      <c r="AD29" s="602">
        <f t="shared" si="5"/>
        <v>284942</v>
      </c>
      <c r="AE29" s="602">
        <f t="shared" si="5"/>
        <v>229606</v>
      </c>
      <c r="AF29" s="602">
        <f t="shared" si="5"/>
        <v>194731</v>
      </c>
      <c r="AG29" s="602">
        <f t="shared" si="5"/>
        <v>286951</v>
      </c>
      <c r="AH29" s="602">
        <f t="shared" si="5"/>
        <v>374657</v>
      </c>
      <c r="AI29" s="602">
        <f t="shared" si="5"/>
        <v>325982</v>
      </c>
      <c r="AJ29" s="602">
        <f t="shared" si="5"/>
        <v>295989</v>
      </c>
      <c r="AK29" s="602">
        <f t="shared" si="5"/>
        <v>344866</v>
      </c>
      <c r="AL29" s="602">
        <f t="shared" si="5"/>
        <v>498685</v>
      </c>
      <c r="AM29" s="602">
        <f t="shared" si="5"/>
        <v>234230</v>
      </c>
      <c r="AN29" s="602">
        <f t="shared" si="5"/>
        <v>187456</v>
      </c>
      <c r="AO29" s="602">
        <f t="shared" si="5"/>
        <v>219581</v>
      </c>
      <c r="AP29" s="602">
        <f t="shared" si="5"/>
        <v>538468</v>
      </c>
      <c r="AQ29" s="602">
        <f t="shared" si="5"/>
        <v>258130</v>
      </c>
      <c r="AR29" s="602">
        <f t="shared" si="5"/>
        <v>300374</v>
      </c>
      <c r="AS29" s="602">
        <f>AS15+AS16+AS22</f>
        <v>319897.50100000005</v>
      </c>
    </row>
    <row r="30" spans="1:45" ht="15" thickBot="1" x14ac:dyDescent="0.4">
      <c r="A30" s="172" t="s">
        <v>273</v>
      </c>
      <c r="C30" s="358">
        <v>-22669</v>
      </c>
      <c r="D30" s="358">
        <v>-26072</v>
      </c>
      <c r="E30" s="358">
        <v>-31798.745699999999</v>
      </c>
      <c r="F30" s="358">
        <v>-29174.089900000021</v>
      </c>
      <c r="G30" s="358">
        <v>-29917.190419999999</v>
      </c>
      <c r="H30" s="358">
        <v>-30526.809580000001</v>
      </c>
      <c r="I30" s="358">
        <v>-30933.04571999998</v>
      </c>
      <c r="J30" s="358">
        <v>-30391.668840000013</v>
      </c>
      <c r="K30" s="358">
        <v>-30992.056799999998</v>
      </c>
      <c r="L30" s="358">
        <v>-31125.228160000006</v>
      </c>
      <c r="M30" s="358">
        <v>-32066.886929999979</v>
      </c>
      <c r="N30" s="358">
        <v>-32864.329920000033</v>
      </c>
      <c r="O30" s="358">
        <v>-33743.273390000002</v>
      </c>
      <c r="P30" s="358">
        <v>-34717.168469999997</v>
      </c>
      <c r="Q30" s="358">
        <v>-36816.449590000004</v>
      </c>
      <c r="R30" s="358">
        <v>-38350.81914</v>
      </c>
      <c r="S30" s="358">
        <v>-40847.335009999995</v>
      </c>
      <c r="T30" s="358">
        <v>-42803</v>
      </c>
      <c r="U30" s="358">
        <v>-42398</v>
      </c>
      <c r="V30" s="358">
        <v>-42516</v>
      </c>
      <c r="W30" s="358">
        <v>-43043</v>
      </c>
      <c r="X30" s="358">
        <v>-40500</v>
      </c>
      <c r="Y30" s="358">
        <v>-43720</v>
      </c>
      <c r="Z30" s="358">
        <v>-44426</v>
      </c>
      <c r="AA30" s="358">
        <v>-44957</v>
      </c>
      <c r="AB30" s="358">
        <v>-45623</v>
      </c>
      <c r="AC30" s="359">
        <v>-45469</v>
      </c>
      <c r="AD30" s="359">
        <v>-47742</v>
      </c>
      <c r="AE30" s="359">
        <v>-47240</v>
      </c>
      <c r="AF30" s="359">
        <v>-46604</v>
      </c>
      <c r="AG30" s="359">
        <v>-47991</v>
      </c>
      <c r="AH30" s="359">
        <v>-48632</v>
      </c>
      <c r="AI30" s="359">
        <v>-53288</v>
      </c>
      <c r="AJ30" s="359">
        <v>-53277</v>
      </c>
      <c r="AK30" s="359">
        <v>-53687</v>
      </c>
      <c r="AL30" s="359">
        <v>-62309</v>
      </c>
      <c r="AM30" s="359">
        <v>-55792</v>
      </c>
      <c r="AN30" s="359">
        <v>-56117</v>
      </c>
      <c r="AO30" s="359">
        <v>-56798</v>
      </c>
      <c r="AP30" s="360">
        <v>-61615</v>
      </c>
      <c r="AQ30" s="360">
        <v>-60576</v>
      </c>
      <c r="AR30" s="360">
        <v>-57595</v>
      </c>
      <c r="AS30" s="361">
        <v>-62471.908000000003</v>
      </c>
    </row>
    <row r="31" spans="1:45" ht="15" thickBot="1" x14ac:dyDescent="0.4">
      <c r="A31" s="175" t="s">
        <v>274</v>
      </c>
      <c r="C31" s="357">
        <f t="shared" ref="C31" si="6">SUM(C29:C30)</f>
        <v>48214</v>
      </c>
      <c r="D31" s="357">
        <f t="shared" ref="D31:AR31" si="7">SUM(D29:D30)</f>
        <v>90376.281230000081</v>
      </c>
      <c r="E31" s="357">
        <f t="shared" si="7"/>
        <v>136380.55317000029</v>
      </c>
      <c r="F31" s="357">
        <f t="shared" si="7"/>
        <v>74422.916260000042</v>
      </c>
      <c r="G31" s="357">
        <f t="shared" si="7"/>
        <v>44626.059389999995</v>
      </c>
      <c r="H31" s="357">
        <f t="shared" si="7"/>
        <v>-15980.059389999849</v>
      </c>
      <c r="I31" s="357">
        <f t="shared" si="7"/>
        <v>136292.70991000033</v>
      </c>
      <c r="J31" s="357">
        <f t="shared" si="7"/>
        <v>329071.86009999976</v>
      </c>
      <c r="K31" s="357">
        <f t="shared" si="7"/>
        <v>97999.48596999998</v>
      </c>
      <c r="L31" s="357">
        <f t="shared" si="7"/>
        <v>89893.97336000012</v>
      </c>
      <c r="M31" s="357">
        <f t="shared" si="7"/>
        <v>131049.00779999868</v>
      </c>
      <c r="N31" s="357">
        <f t="shared" si="7"/>
        <v>103988.83098000225</v>
      </c>
      <c r="O31" s="357">
        <f t="shared" si="7"/>
        <v>76089.392280000277</v>
      </c>
      <c r="P31" s="357">
        <f t="shared" si="7"/>
        <v>124053.44018000006</v>
      </c>
      <c r="Q31" s="357">
        <f t="shared" si="7"/>
        <v>142546.90437000006</v>
      </c>
      <c r="R31" s="357">
        <f t="shared" si="7"/>
        <v>115518.44416999994</v>
      </c>
      <c r="S31" s="357">
        <f t="shared" si="7"/>
        <v>53795.831789999866</v>
      </c>
      <c r="T31" s="357">
        <f t="shared" si="7"/>
        <v>155356</v>
      </c>
      <c r="U31" s="357">
        <f t="shared" si="7"/>
        <v>224067</v>
      </c>
      <c r="V31" s="357">
        <f t="shared" si="7"/>
        <v>183308.04986999993</v>
      </c>
      <c r="W31" s="357">
        <f t="shared" si="7"/>
        <v>118084</v>
      </c>
      <c r="X31" s="357">
        <f t="shared" si="7"/>
        <v>154048</v>
      </c>
      <c r="Y31" s="357">
        <f t="shared" si="7"/>
        <v>201407</v>
      </c>
      <c r="Z31" s="357">
        <f t="shared" si="7"/>
        <v>308923</v>
      </c>
      <c r="AA31" s="357">
        <f t="shared" si="7"/>
        <v>163859</v>
      </c>
      <c r="AB31" s="357">
        <f t="shared" si="7"/>
        <v>217211</v>
      </c>
      <c r="AC31" s="357">
        <f t="shared" si="7"/>
        <v>181175</v>
      </c>
      <c r="AD31" s="357">
        <f t="shared" si="7"/>
        <v>237200</v>
      </c>
      <c r="AE31" s="357">
        <f t="shared" si="7"/>
        <v>182366</v>
      </c>
      <c r="AF31" s="357">
        <f t="shared" si="7"/>
        <v>148127</v>
      </c>
      <c r="AG31" s="357">
        <f t="shared" si="7"/>
        <v>238960</v>
      </c>
      <c r="AH31" s="357">
        <f t="shared" si="7"/>
        <v>326025</v>
      </c>
      <c r="AI31" s="357">
        <f t="shared" si="7"/>
        <v>272694</v>
      </c>
      <c r="AJ31" s="357">
        <f t="shared" si="7"/>
        <v>242712</v>
      </c>
      <c r="AK31" s="357">
        <f t="shared" si="7"/>
        <v>291179</v>
      </c>
      <c r="AL31" s="357">
        <f t="shared" si="7"/>
        <v>436376</v>
      </c>
      <c r="AM31" s="357">
        <f t="shared" si="7"/>
        <v>178438</v>
      </c>
      <c r="AN31" s="357">
        <f t="shared" si="7"/>
        <v>131339</v>
      </c>
      <c r="AO31" s="357">
        <f t="shared" si="7"/>
        <v>162783</v>
      </c>
      <c r="AP31" s="357">
        <f t="shared" si="7"/>
        <v>476853</v>
      </c>
      <c r="AQ31" s="357">
        <f t="shared" si="7"/>
        <v>197554</v>
      </c>
      <c r="AR31" s="357">
        <f t="shared" si="7"/>
        <v>242779</v>
      </c>
      <c r="AS31" s="357">
        <f>SUM(AS29:AS30)</f>
        <v>257425.59300000005</v>
      </c>
    </row>
    <row r="32" spans="1:45" ht="15" thickBot="1" x14ac:dyDescent="0.4">
      <c r="A32" s="175" t="s">
        <v>277</v>
      </c>
      <c r="C32" s="370">
        <f>SUM(C33:C34)</f>
        <v>-18211.854940000005</v>
      </c>
      <c r="D32" s="370">
        <f t="shared" ref="D32:AR32" si="8">SUM(D33:D34)</f>
        <v>-18650.770120000001</v>
      </c>
      <c r="E32" s="370">
        <f t="shared" si="8"/>
        <v>-39178.374939999994</v>
      </c>
      <c r="F32" s="370">
        <f t="shared" si="8"/>
        <v>-31866.495669999989</v>
      </c>
      <c r="G32" s="370">
        <f t="shared" si="8"/>
        <v>-17452.059389999995</v>
      </c>
      <c r="H32" s="370">
        <f t="shared" si="8"/>
        <v>-15162.940610000005</v>
      </c>
      <c r="I32" s="370">
        <f t="shared" si="8"/>
        <v>-30901.846819999962</v>
      </c>
      <c r="J32" s="370">
        <f t="shared" si="8"/>
        <v>-29988.389330000035</v>
      </c>
      <c r="K32" s="370">
        <f t="shared" si="8"/>
        <v>-23003</v>
      </c>
      <c r="L32" s="370">
        <f t="shared" si="8"/>
        <v>4507</v>
      </c>
      <c r="M32" s="370">
        <f t="shared" si="8"/>
        <v>-6117.6607900001691</v>
      </c>
      <c r="N32" s="370">
        <f t="shared" si="8"/>
        <v>44796.693980000156</v>
      </c>
      <c r="O32" s="370">
        <f t="shared" si="8"/>
        <v>19430.372239999997</v>
      </c>
      <c r="P32" s="370">
        <f t="shared" si="8"/>
        <v>15242.782919999969</v>
      </c>
      <c r="Q32" s="370">
        <f t="shared" si="8"/>
        <v>10420.635799999989</v>
      </c>
      <c r="R32" s="370">
        <f t="shared" si="8"/>
        <v>-13889.206259999992</v>
      </c>
      <c r="S32" s="370">
        <f t="shared" si="8"/>
        <v>-15541.344730000004</v>
      </c>
      <c r="T32" s="370">
        <f t="shared" si="8"/>
        <v>-12071</v>
      </c>
      <c r="U32" s="370">
        <f t="shared" si="8"/>
        <v>4338</v>
      </c>
      <c r="V32" s="370">
        <f t="shared" si="8"/>
        <v>-1693</v>
      </c>
      <c r="W32" s="370">
        <f t="shared" si="8"/>
        <v>-14873</v>
      </c>
      <c r="X32" s="370">
        <f t="shared" si="8"/>
        <v>-15305</v>
      </c>
      <c r="Y32" s="370">
        <f t="shared" si="8"/>
        <v>-10574</v>
      </c>
      <c r="Z32" s="370">
        <f t="shared" si="8"/>
        <v>71567</v>
      </c>
      <c r="AA32" s="370">
        <f t="shared" si="8"/>
        <v>-8221</v>
      </c>
      <c r="AB32" s="370">
        <f t="shared" si="8"/>
        <v>-10624</v>
      </c>
      <c r="AC32" s="370">
        <f t="shared" si="8"/>
        <v>656</v>
      </c>
      <c r="AD32" s="370">
        <f t="shared" si="8"/>
        <v>3224</v>
      </c>
      <c r="AE32" s="370">
        <f t="shared" si="8"/>
        <v>-16393</v>
      </c>
      <c r="AF32" s="370">
        <f t="shared" si="8"/>
        <v>3809</v>
      </c>
      <c r="AG32" s="370">
        <f t="shared" si="8"/>
        <v>-9606</v>
      </c>
      <c r="AH32" s="370">
        <f t="shared" si="8"/>
        <v>-20022</v>
      </c>
      <c r="AI32" s="370">
        <f t="shared" si="8"/>
        <v>-27005</v>
      </c>
      <c r="AJ32" s="370">
        <f t="shared" si="8"/>
        <v>-10746</v>
      </c>
      <c r="AK32" s="370">
        <f t="shared" si="8"/>
        <v>-19916</v>
      </c>
      <c r="AL32" s="370">
        <f t="shared" si="8"/>
        <v>-29306</v>
      </c>
      <c r="AM32" s="370">
        <f t="shared" si="8"/>
        <v>-16502</v>
      </c>
      <c r="AN32" s="370">
        <f t="shared" si="8"/>
        <v>-132999</v>
      </c>
      <c r="AO32" s="370">
        <f t="shared" si="8"/>
        <v>-52475</v>
      </c>
      <c r="AP32" s="370">
        <f t="shared" si="8"/>
        <v>-7240</v>
      </c>
      <c r="AQ32" s="370">
        <f t="shared" si="8"/>
        <v>-45487</v>
      </c>
      <c r="AR32" s="370">
        <f t="shared" si="8"/>
        <v>-45160</v>
      </c>
      <c r="AS32" s="370">
        <f>SUM(AS33:AS34)</f>
        <v>-16716.156000000003</v>
      </c>
    </row>
    <row r="33" spans="1:45" x14ac:dyDescent="0.35">
      <c r="A33" s="172" t="s">
        <v>278</v>
      </c>
      <c r="C33" s="358">
        <v>31807</v>
      </c>
      <c r="D33" s="358">
        <v>27991.800000000003</v>
      </c>
      <c r="E33" s="358">
        <v>36904.199999999997</v>
      </c>
      <c r="F33" s="358">
        <v>34321.504330000011</v>
      </c>
      <c r="G33" s="358">
        <v>40661.580569999998</v>
      </c>
      <c r="H33" s="358">
        <v>38475.419430000002</v>
      </c>
      <c r="I33" s="358">
        <v>36450.92065</v>
      </c>
      <c r="J33" s="358">
        <v>268727.87357</v>
      </c>
      <c r="K33" s="358">
        <v>105378</v>
      </c>
      <c r="L33" s="358">
        <v>84076</v>
      </c>
      <c r="M33" s="358">
        <v>143230.36141999994</v>
      </c>
      <c r="N33" s="358">
        <v>133895.14516000001</v>
      </c>
      <c r="O33" s="358">
        <v>90623.914919999996</v>
      </c>
      <c r="P33" s="358">
        <v>154814.23532000004</v>
      </c>
      <c r="Q33" s="358">
        <v>81234.575330000007</v>
      </c>
      <c r="R33" s="358">
        <v>61181.272270000001</v>
      </c>
      <c r="S33" s="358">
        <v>58751.783490000009</v>
      </c>
      <c r="T33" s="358">
        <v>51485</v>
      </c>
      <c r="U33" s="358">
        <v>80233</v>
      </c>
      <c r="V33" s="358">
        <v>60471</v>
      </c>
      <c r="W33" s="358">
        <v>54563</v>
      </c>
      <c r="X33" s="358">
        <v>55295</v>
      </c>
      <c r="Y33" s="358">
        <v>51587</v>
      </c>
      <c r="Z33" s="358">
        <v>154588</v>
      </c>
      <c r="AA33" s="358">
        <v>48913</v>
      </c>
      <c r="AB33" s="358">
        <v>52231</v>
      </c>
      <c r="AC33" s="359">
        <v>52416</v>
      </c>
      <c r="AD33" s="359">
        <v>49277</v>
      </c>
      <c r="AE33" s="359">
        <v>39609</v>
      </c>
      <c r="AF33" s="362">
        <v>30295</v>
      </c>
      <c r="AG33" s="362">
        <v>35428</v>
      </c>
      <c r="AH33" s="362">
        <v>46343</v>
      </c>
      <c r="AI33" s="362">
        <v>63314</v>
      </c>
      <c r="AJ33" s="362">
        <v>41303</v>
      </c>
      <c r="AK33" s="362">
        <v>33214</v>
      </c>
      <c r="AL33" s="362">
        <v>66105</v>
      </c>
      <c r="AM33" s="362">
        <v>125366</v>
      </c>
      <c r="AN33" s="362">
        <v>59625</v>
      </c>
      <c r="AO33" s="362">
        <v>79165</v>
      </c>
      <c r="AP33" s="366">
        <v>85041</v>
      </c>
      <c r="AQ33" s="366">
        <v>93580</v>
      </c>
      <c r="AR33" s="366">
        <v>104059</v>
      </c>
      <c r="AS33" s="367">
        <v>93595.925000000003</v>
      </c>
    </row>
    <row r="34" spans="1:45" ht="15" thickBot="1" x14ac:dyDescent="0.4">
      <c r="A34" s="172" t="s">
        <v>279</v>
      </c>
      <c r="C34" s="358">
        <v>-50018.854940000005</v>
      </c>
      <c r="D34" s="358">
        <v>-46642.570120000004</v>
      </c>
      <c r="E34" s="358">
        <v>-76082.574939999991</v>
      </c>
      <c r="F34" s="358">
        <v>-66188</v>
      </c>
      <c r="G34" s="358">
        <v>-58113.639959999993</v>
      </c>
      <c r="H34" s="358">
        <v>-53638.360040000007</v>
      </c>
      <c r="I34" s="358">
        <v>-67352.767469999962</v>
      </c>
      <c r="J34" s="358">
        <v>-298716.26290000003</v>
      </c>
      <c r="K34" s="358">
        <v>-128381</v>
      </c>
      <c r="L34" s="358">
        <v>-79569</v>
      </c>
      <c r="M34" s="358">
        <v>-149348.02221000011</v>
      </c>
      <c r="N34" s="358">
        <v>-89098.451179999858</v>
      </c>
      <c r="O34" s="358">
        <v>-71193.542679999999</v>
      </c>
      <c r="P34" s="358">
        <v>-139571.45240000007</v>
      </c>
      <c r="Q34" s="358">
        <v>-70813.939530000018</v>
      </c>
      <c r="R34" s="358">
        <v>-75070.478529999993</v>
      </c>
      <c r="S34" s="358">
        <v>-74293.128220000013</v>
      </c>
      <c r="T34" s="358">
        <v>-63556</v>
      </c>
      <c r="U34" s="358">
        <v>-75895</v>
      </c>
      <c r="V34" s="358">
        <v>-62164</v>
      </c>
      <c r="W34" s="358">
        <v>-69436</v>
      </c>
      <c r="X34" s="358">
        <v>-70600</v>
      </c>
      <c r="Y34" s="358">
        <v>-62161</v>
      </c>
      <c r="Z34" s="358">
        <v>-83021</v>
      </c>
      <c r="AA34" s="358">
        <v>-57134</v>
      </c>
      <c r="AB34" s="358">
        <v>-62855</v>
      </c>
      <c r="AC34" s="359">
        <v>-51760</v>
      </c>
      <c r="AD34" s="359">
        <v>-46053</v>
      </c>
      <c r="AE34" s="359">
        <v>-56002</v>
      </c>
      <c r="AF34" s="362">
        <v>-26486</v>
      </c>
      <c r="AG34" s="362">
        <v>-45034</v>
      </c>
      <c r="AH34" s="362">
        <v>-66365</v>
      </c>
      <c r="AI34" s="362">
        <v>-90319</v>
      </c>
      <c r="AJ34" s="362">
        <v>-52049</v>
      </c>
      <c r="AK34" s="362">
        <v>-53130</v>
      </c>
      <c r="AL34" s="362">
        <v>-95411</v>
      </c>
      <c r="AM34" s="362">
        <v>-141868</v>
      </c>
      <c r="AN34" s="362">
        <v>-192624</v>
      </c>
      <c r="AO34" s="362">
        <v>-131640</v>
      </c>
      <c r="AP34" s="366">
        <v>-92281</v>
      </c>
      <c r="AQ34" s="366">
        <v>-139067</v>
      </c>
      <c r="AR34" s="366">
        <v>-149219</v>
      </c>
      <c r="AS34" s="367">
        <v>-110312.08100000001</v>
      </c>
    </row>
    <row r="35" spans="1:45" ht="15" thickBot="1" x14ac:dyDescent="0.4">
      <c r="A35" s="175" t="s">
        <v>314</v>
      </c>
      <c r="C35" s="357">
        <f t="shared" ref="C35:AR35" si="9">SUM(C31:C32)</f>
        <v>30002.145059999995</v>
      </c>
      <c r="D35" s="357">
        <f t="shared" si="9"/>
        <v>71725.511110000079</v>
      </c>
      <c r="E35" s="357">
        <f t="shared" si="9"/>
        <v>97202.178230000296</v>
      </c>
      <c r="F35" s="357">
        <f t="shared" si="9"/>
        <v>42556.420590000052</v>
      </c>
      <c r="G35" s="357">
        <f t="shared" si="9"/>
        <v>27174</v>
      </c>
      <c r="H35" s="357">
        <f t="shared" si="9"/>
        <v>-31142.999999999854</v>
      </c>
      <c r="I35" s="357">
        <f t="shared" si="9"/>
        <v>105390.86309000036</v>
      </c>
      <c r="J35" s="357">
        <f t="shared" si="9"/>
        <v>299083.47076999972</v>
      </c>
      <c r="K35" s="357">
        <f t="shared" si="9"/>
        <v>74996.48596999998</v>
      </c>
      <c r="L35" s="357">
        <f t="shared" si="9"/>
        <v>94400.97336000012</v>
      </c>
      <c r="M35" s="357">
        <f t="shared" si="9"/>
        <v>124931.34700999851</v>
      </c>
      <c r="N35" s="357">
        <f t="shared" si="9"/>
        <v>148785.5249600024</v>
      </c>
      <c r="O35" s="357">
        <f t="shared" si="9"/>
        <v>95519.764520000273</v>
      </c>
      <c r="P35" s="357">
        <f t="shared" si="9"/>
        <v>139296.22310000003</v>
      </c>
      <c r="Q35" s="357">
        <f t="shared" si="9"/>
        <v>152967.54017000005</v>
      </c>
      <c r="R35" s="357">
        <f t="shared" si="9"/>
        <v>101629.23790999995</v>
      </c>
      <c r="S35" s="357">
        <f t="shared" si="9"/>
        <v>38254.487059999861</v>
      </c>
      <c r="T35" s="357">
        <f t="shared" si="9"/>
        <v>143285</v>
      </c>
      <c r="U35" s="357">
        <f t="shared" si="9"/>
        <v>228405</v>
      </c>
      <c r="V35" s="357">
        <f t="shared" si="9"/>
        <v>181615.04986999993</v>
      </c>
      <c r="W35" s="357">
        <f t="shared" si="9"/>
        <v>103211</v>
      </c>
      <c r="X35" s="357">
        <f t="shared" si="9"/>
        <v>138743</v>
      </c>
      <c r="Y35" s="357">
        <f t="shared" si="9"/>
        <v>190833</v>
      </c>
      <c r="Z35" s="357">
        <f t="shared" si="9"/>
        <v>380490</v>
      </c>
      <c r="AA35" s="357">
        <f t="shared" si="9"/>
        <v>155638</v>
      </c>
      <c r="AB35" s="357">
        <f t="shared" si="9"/>
        <v>206587</v>
      </c>
      <c r="AC35" s="357">
        <f t="shared" si="9"/>
        <v>181831</v>
      </c>
      <c r="AD35" s="357">
        <f t="shared" si="9"/>
        <v>240424</v>
      </c>
      <c r="AE35" s="357">
        <f t="shared" si="9"/>
        <v>165973</v>
      </c>
      <c r="AF35" s="357">
        <f t="shared" si="9"/>
        <v>151936</v>
      </c>
      <c r="AG35" s="357">
        <f t="shared" si="9"/>
        <v>229354</v>
      </c>
      <c r="AH35" s="357">
        <f t="shared" si="9"/>
        <v>306003</v>
      </c>
      <c r="AI35" s="357">
        <f t="shared" si="9"/>
        <v>245689</v>
      </c>
      <c r="AJ35" s="357">
        <f t="shared" si="9"/>
        <v>231966</v>
      </c>
      <c r="AK35" s="357">
        <f t="shared" si="9"/>
        <v>271263</v>
      </c>
      <c r="AL35" s="357">
        <f t="shared" si="9"/>
        <v>407070</v>
      </c>
      <c r="AM35" s="357">
        <f t="shared" si="9"/>
        <v>161936</v>
      </c>
      <c r="AN35" s="357">
        <f t="shared" si="9"/>
        <v>-1660</v>
      </c>
      <c r="AO35" s="357">
        <f t="shared" si="9"/>
        <v>110308</v>
      </c>
      <c r="AP35" s="357">
        <f t="shared" si="9"/>
        <v>469613</v>
      </c>
      <c r="AQ35" s="357">
        <f t="shared" si="9"/>
        <v>152067</v>
      </c>
      <c r="AR35" s="357">
        <f t="shared" si="9"/>
        <v>197619</v>
      </c>
      <c r="AS35" s="357">
        <f>SUM(AS31:AS32)</f>
        <v>240709.43700000003</v>
      </c>
    </row>
    <row r="36" spans="1:45" x14ac:dyDescent="0.35">
      <c r="A36" s="172" t="s">
        <v>281</v>
      </c>
      <c r="C36" s="358">
        <v>-727</v>
      </c>
      <c r="D36" s="358">
        <v>-10949.01849</v>
      </c>
      <c r="E36" s="358">
        <v>2792.0184900000004</v>
      </c>
      <c r="F36" s="358">
        <v>-5276</v>
      </c>
      <c r="G36" s="358">
        <v>-8531</v>
      </c>
      <c r="H36" s="358">
        <v>4227</v>
      </c>
      <c r="I36" s="358">
        <v>-13948.08684</v>
      </c>
      <c r="J36" s="358">
        <v>-20824.730080000005</v>
      </c>
      <c r="K36" s="358">
        <v>-3547</v>
      </c>
      <c r="L36" s="358">
        <v>-7635.733119999999</v>
      </c>
      <c r="M36" s="358">
        <v>-5989.1582099999996</v>
      </c>
      <c r="N36" s="358">
        <v>-14796.244830000003</v>
      </c>
      <c r="O36" s="358">
        <v>-7307.72156</v>
      </c>
      <c r="P36" s="358">
        <v>-14075.58632</v>
      </c>
      <c r="Q36" s="358">
        <v>-14703.26273</v>
      </c>
      <c r="R36" s="358">
        <v>-4357.4177199999986</v>
      </c>
      <c r="S36" s="358">
        <v>-9121.3269799999998</v>
      </c>
      <c r="T36" s="358">
        <v>-9519</v>
      </c>
      <c r="U36" s="358">
        <v>-19022</v>
      </c>
      <c r="V36" s="358">
        <v>-20029</v>
      </c>
      <c r="W36" s="358">
        <v>-9143</v>
      </c>
      <c r="X36" s="358">
        <v>-12982</v>
      </c>
      <c r="Y36" s="358">
        <v>-15621</v>
      </c>
      <c r="Z36" s="358">
        <v>-35516</v>
      </c>
      <c r="AA36" s="358">
        <v>-12793</v>
      </c>
      <c r="AB36" s="358">
        <v>-17683</v>
      </c>
      <c r="AC36" s="359">
        <v>-16427</v>
      </c>
      <c r="AD36" s="359">
        <v>-20439</v>
      </c>
      <c r="AE36" s="359">
        <v>-15957</v>
      </c>
      <c r="AF36" s="362">
        <v>-14243</v>
      </c>
      <c r="AG36" s="362">
        <v>-18968</v>
      </c>
      <c r="AH36" s="362">
        <v>-25276</v>
      </c>
      <c r="AI36" s="362">
        <v>-14904</v>
      </c>
      <c r="AJ36" s="362">
        <v>-25389</v>
      </c>
      <c r="AK36" s="362">
        <v>-16190</v>
      </c>
      <c r="AL36" s="362">
        <v>-3878</v>
      </c>
      <c r="AM36" s="362">
        <v>-11934</v>
      </c>
      <c r="AN36" s="362">
        <v>0</v>
      </c>
      <c r="AO36" s="362">
        <v>-10198</v>
      </c>
      <c r="AP36" s="366">
        <v>-29190</v>
      </c>
      <c r="AQ36" s="366">
        <v>-8430</v>
      </c>
      <c r="AR36" s="366">
        <v>-20420</v>
      </c>
      <c r="AS36" s="367">
        <v>-18214.61</v>
      </c>
    </row>
    <row r="37" spans="1:45" x14ac:dyDescent="0.35">
      <c r="A37" s="172" t="s">
        <v>282</v>
      </c>
      <c r="C37" s="358">
        <v>-1966</v>
      </c>
      <c r="D37" s="358">
        <v>-29500.54696</v>
      </c>
      <c r="E37" s="358">
        <v>7471.5469599999997</v>
      </c>
      <c r="F37" s="358">
        <v>-9229</v>
      </c>
      <c r="G37" s="358">
        <v>-11580</v>
      </c>
      <c r="H37" s="358">
        <v>-78</v>
      </c>
      <c r="I37" s="358">
        <v>-32543.61537</v>
      </c>
      <c r="J37" s="358">
        <v>-25648.06151</v>
      </c>
      <c r="K37" s="358">
        <v>-9611</v>
      </c>
      <c r="L37" s="358">
        <v>-20536.208760000001</v>
      </c>
      <c r="M37" s="358">
        <v>-16264.17067</v>
      </c>
      <c r="N37" s="358">
        <v>-24608.941819999993</v>
      </c>
      <c r="O37" s="358">
        <v>-13244.736929999999</v>
      </c>
      <c r="P37" s="358">
        <v>-19218.429059999999</v>
      </c>
      <c r="Q37" s="358">
        <v>-25053.904169999998</v>
      </c>
      <c r="R37" s="358">
        <v>-18191.762260000007</v>
      </c>
      <c r="S37" s="358">
        <v>-11512.129199999999</v>
      </c>
      <c r="T37" s="358">
        <v>-20375</v>
      </c>
      <c r="U37" s="358">
        <v>-32842</v>
      </c>
      <c r="V37" s="358">
        <v>-32029</v>
      </c>
      <c r="W37" s="358">
        <v>-17733</v>
      </c>
      <c r="X37" s="358">
        <v>-20965</v>
      </c>
      <c r="Y37" s="358">
        <v>-28903</v>
      </c>
      <c r="Z37" s="358">
        <v>-66768</v>
      </c>
      <c r="AA37" s="358">
        <v>-23554</v>
      </c>
      <c r="AB37" s="358">
        <v>-33995</v>
      </c>
      <c r="AC37" s="359">
        <v>-35350</v>
      </c>
      <c r="AD37" s="359">
        <v>-43067</v>
      </c>
      <c r="AE37" s="359">
        <v>-37057</v>
      </c>
      <c r="AF37" s="359">
        <v>-44898</v>
      </c>
      <c r="AG37" s="359">
        <v>-58057</v>
      </c>
      <c r="AH37" s="359">
        <v>-76743</v>
      </c>
      <c r="AI37" s="359">
        <v>-50592</v>
      </c>
      <c r="AJ37" s="359">
        <v>-75281</v>
      </c>
      <c r="AK37" s="359">
        <v>-51362</v>
      </c>
      <c r="AL37" s="359">
        <v>-19858</v>
      </c>
      <c r="AM37" s="359">
        <v>-38334</v>
      </c>
      <c r="AN37" s="359">
        <v>0</v>
      </c>
      <c r="AO37" s="362">
        <v>-29011</v>
      </c>
      <c r="AP37" s="366">
        <v>-98842</v>
      </c>
      <c r="AQ37" s="366">
        <v>-29472</v>
      </c>
      <c r="AR37" s="366">
        <v>-62844</v>
      </c>
      <c r="AS37" s="367">
        <v>-56917.595999999998</v>
      </c>
    </row>
    <row r="38" spans="1:45" x14ac:dyDescent="0.35">
      <c r="A38" s="172" t="s">
        <v>283</v>
      </c>
      <c r="C38" s="358">
        <v>-10891</v>
      </c>
      <c r="D38" s="358">
        <v>18790.8639</v>
      </c>
      <c r="E38" s="358">
        <v>-43035.863899999997</v>
      </c>
      <c r="F38" s="358">
        <v>179</v>
      </c>
      <c r="G38" s="358">
        <v>11030</v>
      </c>
      <c r="H38" s="358">
        <v>6228</v>
      </c>
      <c r="I38" s="358">
        <v>10579.347850000002</v>
      </c>
      <c r="J38" s="358">
        <v>-54581.189530000003</v>
      </c>
      <c r="K38" s="358">
        <v>-12530</v>
      </c>
      <c r="L38" s="358">
        <v>-3959.4448200000006</v>
      </c>
      <c r="M38" s="358">
        <v>-20303.336639999998</v>
      </c>
      <c r="N38" s="358">
        <v>-10550.412669999998</v>
      </c>
      <c r="O38" s="358">
        <v>-12235.779309999998</v>
      </c>
      <c r="P38" s="358">
        <v>-13971.265069999999</v>
      </c>
      <c r="Q38" s="358">
        <v>-12140.635629999995</v>
      </c>
      <c r="R38" s="358">
        <v>-10827.055450000007</v>
      </c>
      <c r="S38" s="358">
        <v>7434.0502800000004</v>
      </c>
      <c r="T38" s="358">
        <v>-19401</v>
      </c>
      <c r="U38" s="358">
        <v>-25591</v>
      </c>
      <c r="V38" s="358">
        <v>-6693</v>
      </c>
      <c r="W38" s="358">
        <v>-8987</v>
      </c>
      <c r="X38" s="358">
        <v>-14554</v>
      </c>
      <c r="Y38" s="358">
        <v>-17389</v>
      </c>
      <c r="Z38" s="358">
        <v>-24719</v>
      </c>
      <c r="AA38" s="358">
        <v>-16255</v>
      </c>
      <c r="AB38" s="358">
        <v>-16374</v>
      </c>
      <c r="AC38" s="359">
        <v>-11461</v>
      </c>
      <c r="AD38" s="359">
        <v>-15834</v>
      </c>
      <c r="AE38" s="359">
        <v>-3275</v>
      </c>
      <c r="AF38" s="359">
        <v>7623</v>
      </c>
      <c r="AG38" s="359">
        <v>-737</v>
      </c>
      <c r="AH38" s="359">
        <v>-9472</v>
      </c>
      <c r="AI38" s="359">
        <v>-20880</v>
      </c>
      <c r="AJ38" s="362">
        <v>24451</v>
      </c>
      <c r="AK38" s="362">
        <v>-26304</v>
      </c>
      <c r="AL38" s="362">
        <v>-76998</v>
      </c>
      <c r="AM38" s="362">
        <v>-4259</v>
      </c>
      <c r="AN38" s="362">
        <v>-174</v>
      </c>
      <c r="AO38" s="362">
        <v>-5615</v>
      </c>
      <c r="AP38" s="366">
        <v>-30013</v>
      </c>
      <c r="AQ38" s="366">
        <v>-14190</v>
      </c>
      <c r="AR38" s="366">
        <v>14687</v>
      </c>
      <c r="AS38" s="367">
        <v>-7121.0789999999997</v>
      </c>
    </row>
    <row r="39" spans="1:45" ht="15" thickBot="1" x14ac:dyDescent="0.4">
      <c r="A39" s="172" t="s">
        <v>284</v>
      </c>
      <c r="C39" s="358">
        <v>1966</v>
      </c>
      <c r="D39" s="358">
        <v>29500.54696</v>
      </c>
      <c r="E39" s="358">
        <v>-7593.5469599999997</v>
      </c>
      <c r="F39" s="358">
        <v>9228</v>
      </c>
      <c r="G39" s="358">
        <v>11580</v>
      </c>
      <c r="H39" s="358">
        <v>78</v>
      </c>
      <c r="I39" s="358">
        <v>32543.61537</v>
      </c>
      <c r="J39" s="358">
        <v>25648.06151</v>
      </c>
      <c r="K39" s="358">
        <v>9611</v>
      </c>
      <c r="L39" s="358">
        <v>20536.208760000001</v>
      </c>
      <c r="M39" s="358">
        <v>16264.17067</v>
      </c>
      <c r="N39" s="358">
        <v>24608.941819999993</v>
      </c>
      <c r="O39" s="358">
        <v>13244.736929999999</v>
      </c>
      <c r="P39" s="358">
        <v>19218.429059999999</v>
      </c>
      <c r="Q39" s="358">
        <v>25053.904169999998</v>
      </c>
      <c r="R39" s="358">
        <v>18191.762260000007</v>
      </c>
      <c r="S39" s="358">
        <v>11512.129199999999</v>
      </c>
      <c r="T39" s="358">
        <v>20375</v>
      </c>
      <c r="U39" s="358">
        <v>32842</v>
      </c>
      <c r="V39" s="358">
        <v>32029</v>
      </c>
      <c r="W39" s="358">
        <v>17733</v>
      </c>
      <c r="X39" s="358">
        <v>20965</v>
      </c>
      <c r="Y39" s="358">
        <v>28903</v>
      </c>
      <c r="Z39" s="358">
        <v>64759</v>
      </c>
      <c r="AA39" s="358">
        <v>23554</v>
      </c>
      <c r="AB39" s="358">
        <v>31914</v>
      </c>
      <c r="AC39" s="359">
        <v>35125</v>
      </c>
      <c r="AD39" s="359">
        <v>35232</v>
      </c>
      <c r="AE39" s="359">
        <v>29289</v>
      </c>
      <c r="AF39" s="359">
        <v>29060</v>
      </c>
      <c r="AG39" s="359">
        <v>41464</v>
      </c>
      <c r="AH39" s="359">
        <v>44256</v>
      </c>
      <c r="AI39" s="359">
        <v>34332</v>
      </c>
      <c r="AJ39" s="359">
        <v>41019</v>
      </c>
      <c r="AK39" s="359">
        <v>37788</v>
      </c>
      <c r="AL39" s="359">
        <v>31481</v>
      </c>
      <c r="AM39" s="359">
        <v>25688</v>
      </c>
      <c r="AN39" s="359">
        <v>31924</v>
      </c>
      <c r="AO39" s="362">
        <v>27465</v>
      </c>
      <c r="AP39" s="366">
        <v>80442</v>
      </c>
      <c r="AQ39" s="366">
        <v>61691</v>
      </c>
      <c r="AR39" s="366">
        <v>40271</v>
      </c>
      <c r="AS39" s="367">
        <v>44177.292000000001</v>
      </c>
    </row>
    <row r="40" spans="1:45" ht="15" thickBot="1" x14ac:dyDescent="0.4">
      <c r="A40" s="175" t="s">
        <v>285</v>
      </c>
      <c r="C40" s="357">
        <f>SUM(C35:C39)</f>
        <v>18384.145059999995</v>
      </c>
      <c r="D40" s="357">
        <f t="shared" ref="D40:AR40" si="10">SUM(D35:D39)</f>
        <v>79567.356520000088</v>
      </c>
      <c r="E40" s="357">
        <f t="shared" si="10"/>
        <v>56836.332820000309</v>
      </c>
      <c r="F40" s="357">
        <f t="shared" si="10"/>
        <v>37458.420590000052</v>
      </c>
      <c r="G40" s="357">
        <f t="shared" si="10"/>
        <v>29673</v>
      </c>
      <c r="H40" s="357">
        <f t="shared" si="10"/>
        <v>-20687.999999999854</v>
      </c>
      <c r="I40" s="357">
        <f t="shared" si="10"/>
        <v>102022.12410000036</v>
      </c>
      <c r="J40" s="357">
        <f t="shared" si="10"/>
        <v>223677.55115999971</v>
      </c>
      <c r="K40" s="357">
        <f t="shared" si="10"/>
        <v>58919.48596999998</v>
      </c>
      <c r="L40" s="357">
        <f t="shared" si="10"/>
        <v>82805.795420000126</v>
      </c>
      <c r="M40" s="357">
        <f t="shared" si="10"/>
        <v>98638.852159998525</v>
      </c>
      <c r="N40" s="357">
        <f t="shared" si="10"/>
        <v>123438.86746000238</v>
      </c>
      <c r="O40" s="357">
        <f t="shared" si="10"/>
        <v>75976.26365000027</v>
      </c>
      <c r="P40" s="357">
        <f t="shared" si="10"/>
        <v>111249.37171000004</v>
      </c>
      <c r="Q40" s="357">
        <f t="shared" si="10"/>
        <v>126123.64181000007</v>
      </c>
      <c r="R40" s="357">
        <f t="shared" si="10"/>
        <v>86444.764739999941</v>
      </c>
      <c r="S40" s="357">
        <f t="shared" si="10"/>
        <v>36567.210359999866</v>
      </c>
      <c r="T40" s="357">
        <f t="shared" si="10"/>
        <v>114365</v>
      </c>
      <c r="U40" s="357">
        <f t="shared" si="10"/>
        <v>183792</v>
      </c>
      <c r="V40" s="357">
        <f t="shared" si="10"/>
        <v>154893.04986999993</v>
      </c>
      <c r="W40" s="357">
        <f t="shared" si="10"/>
        <v>85081</v>
      </c>
      <c r="X40" s="357">
        <f t="shared" si="10"/>
        <v>111207</v>
      </c>
      <c r="Y40" s="357">
        <f t="shared" si="10"/>
        <v>157823</v>
      </c>
      <c r="Z40" s="357">
        <f t="shared" si="10"/>
        <v>318246</v>
      </c>
      <c r="AA40" s="357">
        <f t="shared" si="10"/>
        <v>126590</v>
      </c>
      <c r="AB40" s="357">
        <f t="shared" si="10"/>
        <v>170449</v>
      </c>
      <c r="AC40" s="357">
        <f t="shared" si="10"/>
        <v>153718</v>
      </c>
      <c r="AD40" s="357">
        <f t="shared" si="10"/>
        <v>196316</v>
      </c>
      <c r="AE40" s="357">
        <f t="shared" si="10"/>
        <v>138973</v>
      </c>
      <c r="AF40" s="357">
        <f t="shared" si="10"/>
        <v>129478</v>
      </c>
      <c r="AG40" s="357">
        <f t="shared" si="10"/>
        <v>193056</v>
      </c>
      <c r="AH40" s="357">
        <f t="shared" si="10"/>
        <v>238768</v>
      </c>
      <c r="AI40" s="357">
        <f t="shared" si="10"/>
        <v>193645</v>
      </c>
      <c r="AJ40" s="357">
        <f t="shared" si="10"/>
        <v>196766</v>
      </c>
      <c r="AK40" s="357">
        <f t="shared" si="10"/>
        <v>215195</v>
      </c>
      <c r="AL40" s="357">
        <f t="shared" si="10"/>
        <v>337817</v>
      </c>
      <c r="AM40" s="357">
        <f t="shared" si="10"/>
        <v>133097</v>
      </c>
      <c r="AN40" s="357">
        <f t="shared" si="10"/>
        <v>30090</v>
      </c>
      <c r="AO40" s="357">
        <f t="shared" si="10"/>
        <v>92949</v>
      </c>
      <c r="AP40" s="357">
        <f t="shared" si="10"/>
        <v>392010</v>
      </c>
      <c r="AQ40" s="357">
        <f t="shared" si="10"/>
        <v>161666</v>
      </c>
      <c r="AR40" s="357">
        <f t="shared" si="10"/>
        <v>169313</v>
      </c>
      <c r="AS40" s="357">
        <f>SUM(AS35:AS39)</f>
        <v>202633.44400000008</v>
      </c>
    </row>
    <row r="41" spans="1:45" x14ac:dyDescent="0.35">
      <c r="AP41" s="371"/>
      <c r="AQ41" s="371"/>
      <c r="AR41" s="371"/>
      <c r="AS41" s="371"/>
    </row>
    <row r="42" spans="1:45" x14ac:dyDescent="0.35">
      <c r="AP42" s="371"/>
      <c r="AQ42" s="371"/>
      <c r="AR42" s="371"/>
      <c r="AS42" s="371"/>
    </row>
    <row r="43" spans="1:45" x14ac:dyDescent="0.35">
      <c r="AP43" s="371"/>
      <c r="AQ43" s="371"/>
      <c r="AR43" s="371"/>
      <c r="AS43" s="371"/>
    </row>
    <row r="44" spans="1:45" x14ac:dyDescent="0.35">
      <c r="AP44" s="371"/>
      <c r="AQ44" s="371"/>
      <c r="AR44" s="371"/>
      <c r="AS44" s="371"/>
    </row>
    <row r="45" spans="1:45" x14ac:dyDescent="0.35">
      <c r="AP45" s="371"/>
      <c r="AQ45" s="371"/>
      <c r="AR45" s="371"/>
      <c r="AS45" s="371"/>
    </row>
    <row r="46" spans="1:45" x14ac:dyDescent="0.35">
      <c r="AP46" s="371"/>
      <c r="AQ46" s="371"/>
      <c r="AR46" s="371"/>
      <c r="AS46" s="371"/>
    </row>
    <row r="47" spans="1:45" x14ac:dyDescent="0.35">
      <c r="AP47" s="371"/>
      <c r="AQ47" s="371"/>
      <c r="AR47" s="371"/>
      <c r="AS47" s="371"/>
    </row>
  </sheetData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8C76F-A352-44A9-8494-70964DD3DE1E}">
  <sheetPr>
    <tabColor theme="9" tint="0.79998168889431442"/>
  </sheetPr>
  <dimension ref="A7:AS43"/>
  <sheetViews>
    <sheetView zoomScale="85" zoomScaleNormal="85" workbookViewId="0">
      <pane xSplit="1" ySplit="8" topLeftCell="B9" activePane="bottomRight" state="frozen"/>
      <selection activeCell="I26" sqref="I26"/>
      <selection pane="topRight" activeCell="I26" sqref="I26"/>
      <selection pane="bottomLeft" activeCell="I26" sqref="I26"/>
      <selection pane="bottomRight" activeCell="AP11" sqref="AP11"/>
    </sheetView>
  </sheetViews>
  <sheetFormatPr defaultColWidth="9.1796875" defaultRowHeight="14.5" outlineLevelCol="1" x14ac:dyDescent="0.35"/>
  <cols>
    <col min="1" max="1" width="44.453125" style="37" bestFit="1" customWidth="1"/>
    <col min="2" max="2" width="1.6328125" style="37" customWidth="1"/>
    <col min="3" max="3" width="11.1796875" style="37" hidden="1" customWidth="1" outlineLevel="1"/>
    <col min="4" max="4" width="12.1796875" style="37" hidden="1" customWidth="1" outlineLevel="1"/>
    <col min="5" max="5" width="11.1796875" style="37" hidden="1" customWidth="1" outlineLevel="1"/>
    <col min="6" max="6" width="12.1796875" style="37" hidden="1" customWidth="1" outlineLevel="1"/>
    <col min="7" max="7" width="11.1796875" style="37" hidden="1" customWidth="1" outlineLevel="1"/>
    <col min="8" max="10" width="12.1796875" style="37" hidden="1" customWidth="1" outlineLevel="1"/>
    <col min="11" max="11" width="11.1796875" style="37" hidden="1" customWidth="1" outlineLevel="1"/>
    <col min="12" max="12" width="12.1796875" style="37" hidden="1" customWidth="1" outlineLevel="1"/>
    <col min="13" max="13" width="10.1796875" style="37" hidden="1" customWidth="1" outlineLevel="1"/>
    <col min="14" max="14" width="11.1796875" style="37" hidden="1" customWidth="1" outlineLevel="1"/>
    <col min="15" max="28" width="0" style="37" hidden="1" customWidth="1" outlineLevel="1"/>
    <col min="29" max="38" width="9.54296875" style="37" hidden="1" customWidth="1" outlineLevel="1"/>
    <col min="39" max="39" width="9.54296875" style="37" bestFit="1" customWidth="1" collapsed="1"/>
    <col min="40" max="45" width="9.54296875" style="37" bestFit="1" customWidth="1"/>
    <col min="46" max="16384" width="9.1796875" style="37"/>
  </cols>
  <sheetData>
    <row r="7" spans="1:45" x14ac:dyDescent="0.35">
      <c r="A7" s="41" t="s">
        <v>543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ht="15" thickBot="1" x14ac:dyDescent="0.4">
      <c r="A8" s="589" t="s">
        <v>245</v>
      </c>
      <c r="B8" s="169"/>
      <c r="C8" s="590" t="s">
        <v>289</v>
      </c>
      <c r="D8" s="590" t="s">
        <v>290</v>
      </c>
      <c r="E8" s="590" t="s">
        <v>291</v>
      </c>
      <c r="F8" s="590" t="s">
        <v>292</v>
      </c>
      <c r="G8" s="590" t="s">
        <v>293</v>
      </c>
      <c r="H8" s="590" t="s">
        <v>294</v>
      </c>
      <c r="I8" s="590" t="s">
        <v>295</v>
      </c>
      <c r="J8" s="590" t="s">
        <v>296</v>
      </c>
      <c r="K8" s="590" t="s">
        <v>297</v>
      </c>
      <c r="L8" s="590" t="s">
        <v>298</v>
      </c>
      <c r="M8" s="590" t="s">
        <v>299</v>
      </c>
      <c r="N8" s="590" t="s">
        <v>300</v>
      </c>
      <c r="O8" s="590" t="s">
        <v>301</v>
      </c>
      <c r="P8" s="590" t="s">
        <v>302</v>
      </c>
      <c r="Q8" s="590" t="s">
        <v>303</v>
      </c>
      <c r="R8" s="590" t="s">
        <v>304</v>
      </c>
      <c r="S8" s="590" t="s">
        <v>57</v>
      </c>
      <c r="T8" s="590" t="s">
        <v>58</v>
      </c>
      <c r="U8" s="590" t="s">
        <v>59</v>
      </c>
      <c r="V8" s="590" t="s">
        <v>60</v>
      </c>
      <c r="W8" s="590" t="s">
        <v>61</v>
      </c>
      <c r="X8" s="590" t="s">
        <v>62</v>
      </c>
      <c r="Y8" s="590" t="s">
        <v>63</v>
      </c>
      <c r="Z8" s="590" t="s">
        <v>64</v>
      </c>
      <c r="AA8" s="590" t="s">
        <v>65</v>
      </c>
      <c r="AB8" s="590" t="s">
        <v>66</v>
      </c>
      <c r="AC8" s="591" t="s">
        <v>67</v>
      </c>
      <c r="AD8" s="591" t="s">
        <v>68</v>
      </c>
      <c r="AE8" s="591" t="s">
        <v>69</v>
      </c>
      <c r="AF8" s="591" t="s">
        <v>70</v>
      </c>
      <c r="AG8" s="591" t="s">
        <v>71</v>
      </c>
      <c r="AH8" s="591" t="s">
        <v>72</v>
      </c>
      <c r="AI8" s="591" t="s">
        <v>73</v>
      </c>
      <c r="AJ8" s="591" t="s">
        <v>74</v>
      </c>
      <c r="AK8" s="591" t="s">
        <v>75</v>
      </c>
      <c r="AL8" s="591" t="s">
        <v>76</v>
      </c>
      <c r="AM8" s="591" t="s">
        <v>77</v>
      </c>
      <c r="AN8" s="591" t="s">
        <v>78</v>
      </c>
      <c r="AO8" s="591" t="s">
        <v>79</v>
      </c>
      <c r="AP8" s="591" t="s">
        <v>80</v>
      </c>
      <c r="AQ8" s="591" t="s">
        <v>81</v>
      </c>
      <c r="AR8" s="591" t="s">
        <v>82</v>
      </c>
      <c r="AS8" s="601" t="s">
        <v>83</v>
      </c>
    </row>
    <row r="9" spans="1:45" ht="15" thickBot="1" x14ac:dyDescent="0.4">
      <c r="A9" s="175" t="s">
        <v>246</v>
      </c>
      <c r="B9" s="172"/>
      <c r="C9" s="357">
        <f t="shared" ref="C9:AR9" si="0">SUM(C10:C13)</f>
        <v>737835.0316000001</v>
      </c>
      <c r="D9" s="357">
        <f t="shared" si="0"/>
        <v>778821.28131000011</v>
      </c>
      <c r="E9" s="357">
        <f t="shared" si="0"/>
        <v>887400.01796999958</v>
      </c>
      <c r="F9" s="357">
        <f t="shared" si="0"/>
        <v>998616.80032000085</v>
      </c>
      <c r="G9" s="357">
        <f t="shared" si="0"/>
        <v>955961.67186000035</v>
      </c>
      <c r="H9" s="357">
        <f t="shared" si="0"/>
        <v>1067022.8706999996</v>
      </c>
      <c r="I9" s="357">
        <f t="shared" si="0"/>
        <v>1398660.7319500004</v>
      </c>
      <c r="J9" s="357">
        <f t="shared" si="0"/>
        <v>1821904.0955299991</v>
      </c>
      <c r="K9" s="357">
        <f t="shared" si="0"/>
        <v>1376259.4992800003</v>
      </c>
      <c r="L9" s="357">
        <f t="shared" si="0"/>
        <v>1453164.2323400001</v>
      </c>
      <c r="M9" s="357">
        <f t="shared" si="0"/>
        <v>1676587.2142199993</v>
      </c>
      <c r="N9" s="357">
        <f t="shared" si="0"/>
        <v>1617133.4973599927</v>
      </c>
      <c r="O9" s="357">
        <f t="shared" si="0"/>
        <v>1443099.79315</v>
      </c>
      <c r="P9" s="357">
        <f t="shared" si="0"/>
        <v>1501119.4424200011</v>
      </c>
      <c r="Q9" s="357">
        <f t="shared" si="0"/>
        <v>1687895.0060699994</v>
      </c>
      <c r="R9" s="357">
        <f t="shared" si="0"/>
        <v>1963121.7770900002</v>
      </c>
      <c r="S9" s="357">
        <f t="shared" si="0"/>
        <v>1474852.7886899996</v>
      </c>
      <c r="T9" s="357">
        <f t="shared" si="0"/>
        <v>1758275.2905099995</v>
      </c>
      <c r="U9" s="357">
        <f t="shared" si="0"/>
        <v>1994086</v>
      </c>
      <c r="V9" s="357">
        <f t="shared" si="0"/>
        <v>2102405</v>
      </c>
      <c r="W9" s="357">
        <f t="shared" si="0"/>
        <v>1753198</v>
      </c>
      <c r="X9" s="357">
        <f t="shared" si="0"/>
        <v>1856683.7679199993</v>
      </c>
      <c r="Y9" s="357">
        <f t="shared" si="0"/>
        <v>2097705.19606</v>
      </c>
      <c r="Z9" s="357">
        <f t="shared" si="0"/>
        <v>1991519.0395799999</v>
      </c>
      <c r="AA9" s="357">
        <f t="shared" si="0"/>
        <v>1850157.4807299995</v>
      </c>
      <c r="AB9" s="357">
        <f t="shared" si="0"/>
        <v>1797003.6431700005</v>
      </c>
      <c r="AC9" s="357">
        <f t="shared" si="0"/>
        <v>2130290</v>
      </c>
      <c r="AD9" s="357">
        <f t="shared" si="0"/>
        <v>2375007</v>
      </c>
      <c r="AE9" s="357">
        <f t="shared" si="0"/>
        <v>1850304</v>
      </c>
      <c r="AF9" s="357">
        <f t="shared" si="0"/>
        <v>1585421</v>
      </c>
      <c r="AG9" s="357">
        <f t="shared" si="0"/>
        <v>2103658</v>
      </c>
      <c r="AH9" s="357">
        <f t="shared" si="0"/>
        <v>2472608</v>
      </c>
      <c r="AI9" s="357">
        <f t="shared" si="0"/>
        <v>2083404</v>
      </c>
      <c r="AJ9" s="357">
        <f t="shared" si="0"/>
        <v>2093924</v>
      </c>
      <c r="AK9" s="357">
        <f t="shared" si="0"/>
        <v>3186243</v>
      </c>
      <c r="AL9" s="357">
        <f t="shared" si="0"/>
        <v>3395027</v>
      </c>
      <c r="AM9" s="357">
        <f t="shared" si="0"/>
        <v>2620387</v>
      </c>
      <c r="AN9" s="357">
        <f t="shared" si="0"/>
        <v>2868206</v>
      </c>
      <c r="AO9" s="357">
        <f t="shared" si="0"/>
        <v>2702007</v>
      </c>
      <c r="AP9" s="357">
        <f t="shared" si="0"/>
        <v>3071195</v>
      </c>
      <c r="AQ9" s="357">
        <f t="shared" si="0"/>
        <v>2970012</v>
      </c>
      <c r="AR9" s="357">
        <f t="shared" si="0"/>
        <v>3062304</v>
      </c>
      <c r="AS9" s="357">
        <f>SUM(AS10:AS13)</f>
        <v>3587257.0819999999</v>
      </c>
    </row>
    <row r="10" spans="1:45" x14ac:dyDescent="0.35">
      <c r="A10" s="172" t="s">
        <v>247</v>
      </c>
      <c r="B10" s="172"/>
      <c r="C10" s="358">
        <v>643614.66236000007</v>
      </c>
      <c r="D10" s="358">
        <v>640363.46860000014</v>
      </c>
      <c r="E10" s="358">
        <v>749576.08449999965</v>
      </c>
      <c r="F10" s="358">
        <v>826768.0740100008</v>
      </c>
      <c r="G10" s="358">
        <v>790217.37908000033</v>
      </c>
      <c r="H10" s="358">
        <v>861984.21748999984</v>
      </c>
      <c r="I10" s="358">
        <v>1021280.0737100004</v>
      </c>
      <c r="J10" s="358">
        <v>1627328.5173199992</v>
      </c>
      <c r="K10" s="358">
        <v>1182097.2433200004</v>
      </c>
      <c r="L10" s="358">
        <v>1298427</v>
      </c>
      <c r="M10" s="358">
        <v>1366335.568269999</v>
      </c>
      <c r="N10" s="358">
        <v>1537435.078249993</v>
      </c>
      <c r="O10" s="358">
        <v>1248583.77575</v>
      </c>
      <c r="P10" s="358">
        <v>1237497.0002000011</v>
      </c>
      <c r="Q10" s="358">
        <v>1408059.7287699995</v>
      </c>
      <c r="R10" s="358">
        <v>1626336.6168500003</v>
      </c>
      <c r="S10" s="358">
        <v>1209520.5522299996</v>
      </c>
      <c r="T10" s="358">
        <v>1495423.1860099996</v>
      </c>
      <c r="U10" s="358">
        <v>1727271</v>
      </c>
      <c r="V10" s="358">
        <v>1732674</v>
      </c>
      <c r="W10" s="358">
        <v>1298474</v>
      </c>
      <c r="X10" s="358">
        <v>1548718.3337399994</v>
      </c>
      <c r="Y10" s="358">
        <v>1744126.9170599999</v>
      </c>
      <c r="Z10" s="358">
        <v>1634617.9949199997</v>
      </c>
      <c r="AA10" s="358">
        <v>1534382.3431599995</v>
      </c>
      <c r="AB10" s="358">
        <v>1513492.9954600004</v>
      </c>
      <c r="AC10" s="359">
        <v>1777397</v>
      </c>
      <c r="AD10" s="359">
        <v>1862017</v>
      </c>
      <c r="AE10" s="359">
        <v>1580838</v>
      </c>
      <c r="AF10" s="359">
        <v>1350840</v>
      </c>
      <c r="AG10" s="359">
        <v>1844593</v>
      </c>
      <c r="AH10" s="359">
        <v>1966503</v>
      </c>
      <c r="AI10" s="359">
        <v>1763736</v>
      </c>
      <c r="AJ10" s="359">
        <v>1716106</v>
      </c>
      <c r="AK10" s="359">
        <v>2442030</v>
      </c>
      <c r="AL10" s="359">
        <v>2654050</v>
      </c>
      <c r="AM10" s="359">
        <v>1994754</v>
      </c>
      <c r="AN10" s="359">
        <v>2142547</v>
      </c>
      <c r="AO10" s="359">
        <v>2210386</v>
      </c>
      <c r="AP10" s="359">
        <v>2304221</v>
      </c>
      <c r="AQ10" s="359">
        <v>2196070</v>
      </c>
      <c r="AR10" s="359">
        <v>2336089</v>
      </c>
      <c r="AS10" s="372">
        <v>2522416.2289999998</v>
      </c>
    </row>
    <row r="11" spans="1:45" x14ac:dyDescent="0.35">
      <c r="A11" s="172" t="s">
        <v>248</v>
      </c>
      <c r="B11" s="172"/>
      <c r="C11" s="358">
        <v>0</v>
      </c>
      <c r="D11" s="358">
        <v>55082.11767</v>
      </c>
      <c r="E11" s="358">
        <v>14866.145670000002</v>
      </c>
      <c r="F11" s="358">
        <v>16876.485409999998</v>
      </c>
      <c r="G11" s="358">
        <v>27156.769850000001</v>
      </c>
      <c r="H11" s="358">
        <v>8668.4246700000022</v>
      </c>
      <c r="I11" s="358">
        <v>15438.547709999993</v>
      </c>
      <c r="J11" s="358">
        <v>-11641.896849999994</v>
      </c>
      <c r="K11" s="358">
        <v>8720.9460299999992</v>
      </c>
      <c r="L11" s="358">
        <v>1091.0873100000006</v>
      </c>
      <c r="M11" s="358">
        <v>149757.93368000002</v>
      </c>
      <c r="N11" s="358">
        <v>-131583.95649000001</v>
      </c>
      <c r="O11" s="358">
        <v>37063.224170000001</v>
      </c>
      <c r="P11" s="358">
        <v>49237.452680000002</v>
      </c>
      <c r="Q11" s="358">
        <v>47312.54929000001</v>
      </c>
      <c r="R11" s="358">
        <v>56511.367499999986</v>
      </c>
      <c r="S11" s="358">
        <v>13838.978580000001</v>
      </c>
      <c r="T11" s="358">
        <v>2410.3433799999993</v>
      </c>
      <c r="U11" s="358">
        <v>9944</v>
      </c>
      <c r="V11" s="358">
        <v>22808</v>
      </c>
      <c r="W11" s="358">
        <v>218788</v>
      </c>
      <c r="X11" s="358">
        <v>33721.918990000013</v>
      </c>
      <c r="Y11" s="358">
        <v>59236.028969999978</v>
      </c>
      <c r="Z11" s="358">
        <v>21376.096500000043</v>
      </c>
      <c r="AA11" s="358">
        <v>19556.677359999998</v>
      </c>
      <c r="AB11" s="358">
        <v>11539.999460000001</v>
      </c>
      <c r="AC11" s="359">
        <v>56243</v>
      </c>
      <c r="AD11" s="359">
        <v>61376</v>
      </c>
      <c r="AE11" s="359">
        <v>18721</v>
      </c>
      <c r="AF11" s="359">
        <v>8119</v>
      </c>
      <c r="AG11" s="359">
        <v>-1837</v>
      </c>
      <c r="AH11" s="359">
        <v>94094</v>
      </c>
      <c r="AI11" s="359">
        <v>6801</v>
      </c>
      <c r="AJ11" s="359">
        <v>9288</v>
      </c>
      <c r="AK11" s="359">
        <v>158336</v>
      </c>
      <c r="AL11" s="359">
        <v>131470</v>
      </c>
      <c r="AM11" s="359">
        <v>15422</v>
      </c>
      <c r="AN11" s="359">
        <v>9791</v>
      </c>
      <c r="AO11" s="359">
        <v>1184</v>
      </c>
      <c r="AP11" s="359">
        <v>7432</v>
      </c>
      <c r="AQ11" s="359">
        <v>12636</v>
      </c>
      <c r="AR11" s="359">
        <v>3437</v>
      </c>
      <c r="AS11" s="372">
        <v>6918.0450000000001</v>
      </c>
    </row>
    <row r="12" spans="1:45" x14ac:dyDescent="0.35">
      <c r="A12" s="172" t="s">
        <v>249</v>
      </c>
      <c r="B12" s="172"/>
      <c r="C12" s="358">
        <v>88051.515949999986</v>
      </c>
      <c r="D12" s="358">
        <v>76835.267430000022</v>
      </c>
      <c r="E12" s="358">
        <v>117304.14954999993</v>
      </c>
      <c r="F12" s="358">
        <v>144462.90856000013</v>
      </c>
      <c r="G12" s="358">
        <v>124861.26031999999</v>
      </c>
      <c r="H12" s="358">
        <v>181174.9455</v>
      </c>
      <c r="I12" s="358">
        <v>307998.86126000015</v>
      </c>
      <c r="J12" s="358">
        <v>244520.81526999999</v>
      </c>
      <c r="K12" s="358">
        <v>179949.73270999998</v>
      </c>
      <c r="L12" s="358">
        <v>144460.55298999994</v>
      </c>
      <c r="M12" s="358">
        <v>152046.51736000009</v>
      </c>
      <c r="N12" s="358">
        <v>186927.51971999984</v>
      </c>
      <c r="O12" s="358">
        <v>142749.01282</v>
      </c>
      <c r="P12" s="358">
        <v>207437.23362000001</v>
      </c>
      <c r="Q12" s="358">
        <v>213709.16243</v>
      </c>
      <c r="R12" s="358">
        <v>245943.62796000004</v>
      </c>
      <c r="S12" s="358">
        <v>200228.92356</v>
      </c>
      <c r="T12" s="358">
        <v>212287.28170999998</v>
      </c>
      <c r="U12" s="358">
        <v>188962</v>
      </c>
      <c r="V12" s="358">
        <v>263623</v>
      </c>
      <c r="W12" s="358">
        <v>166777</v>
      </c>
      <c r="X12" s="358">
        <v>203449.31559999997</v>
      </c>
      <c r="Y12" s="358">
        <v>191528.80671000003</v>
      </c>
      <c r="Z12" s="358">
        <v>248126.25462999998</v>
      </c>
      <c r="AA12" s="358">
        <v>193715</v>
      </c>
      <c r="AB12" s="358">
        <v>160780.81066999995</v>
      </c>
      <c r="AC12" s="359">
        <v>203397</v>
      </c>
      <c r="AD12" s="359">
        <v>215139</v>
      </c>
      <c r="AE12" s="359">
        <v>148450</v>
      </c>
      <c r="AF12" s="359">
        <v>165630</v>
      </c>
      <c r="AG12" s="359">
        <v>158004</v>
      </c>
      <c r="AH12" s="359">
        <v>208669</v>
      </c>
      <c r="AI12" s="359">
        <v>186005</v>
      </c>
      <c r="AJ12" s="359">
        <v>223051</v>
      </c>
      <c r="AK12" s="359">
        <v>342498</v>
      </c>
      <c r="AL12" s="359">
        <v>389791</v>
      </c>
      <c r="AM12" s="359">
        <v>334357</v>
      </c>
      <c r="AN12" s="359">
        <v>440645</v>
      </c>
      <c r="AO12" s="359">
        <v>497348</v>
      </c>
      <c r="AP12" s="359">
        <v>564048</v>
      </c>
      <c r="AQ12" s="359">
        <v>614464</v>
      </c>
      <c r="AR12" s="359">
        <v>477697</v>
      </c>
      <c r="AS12" s="372">
        <v>603922.06900000002</v>
      </c>
    </row>
    <row r="13" spans="1:45" ht="15" thickBot="1" x14ac:dyDescent="0.4">
      <c r="A13" s="172" t="s">
        <v>254</v>
      </c>
      <c r="B13" s="172"/>
      <c r="C13" s="358">
        <v>6168.8532899999991</v>
      </c>
      <c r="D13" s="358">
        <v>6540.4276099999997</v>
      </c>
      <c r="E13" s="358">
        <v>5653.63825</v>
      </c>
      <c r="F13" s="358">
        <v>10509.332340000004</v>
      </c>
      <c r="G13" s="358">
        <v>13726.262610000003</v>
      </c>
      <c r="H13" s="358">
        <v>15195.283039999998</v>
      </c>
      <c r="I13" s="358">
        <v>53943.249269999978</v>
      </c>
      <c r="J13" s="358">
        <v>-38303.340209999988</v>
      </c>
      <c r="K13" s="358">
        <v>5491.5772200000001</v>
      </c>
      <c r="L13" s="358">
        <v>9185.5920400000032</v>
      </c>
      <c r="M13" s="358">
        <v>8447.1949100000002</v>
      </c>
      <c r="N13" s="358">
        <v>24354.855879999996</v>
      </c>
      <c r="O13" s="358">
        <v>14703.780409999999</v>
      </c>
      <c r="P13" s="358">
        <v>6947.7559199999996</v>
      </c>
      <c r="Q13" s="358">
        <v>18813.565580000002</v>
      </c>
      <c r="R13" s="358">
        <v>34330.164779999985</v>
      </c>
      <c r="S13" s="358">
        <v>51264.334320000002</v>
      </c>
      <c r="T13" s="358">
        <v>48154.47941</v>
      </c>
      <c r="U13" s="358">
        <v>67909</v>
      </c>
      <c r="V13" s="358">
        <v>83300</v>
      </c>
      <c r="W13" s="358">
        <v>69159</v>
      </c>
      <c r="X13" s="358">
        <v>70794.199590000004</v>
      </c>
      <c r="Y13" s="358">
        <v>102813.44332000001</v>
      </c>
      <c r="Z13" s="358">
        <v>87398.693530000004</v>
      </c>
      <c r="AA13" s="358">
        <v>102503.46020999999</v>
      </c>
      <c r="AB13" s="358">
        <v>111189.83758000002</v>
      </c>
      <c r="AC13" s="359">
        <v>93253</v>
      </c>
      <c r="AD13" s="359">
        <v>236475</v>
      </c>
      <c r="AE13" s="359">
        <v>102295</v>
      </c>
      <c r="AF13" s="359">
        <v>60832</v>
      </c>
      <c r="AG13" s="359">
        <v>102898</v>
      </c>
      <c r="AH13" s="359">
        <v>203342</v>
      </c>
      <c r="AI13" s="359">
        <v>126862</v>
      </c>
      <c r="AJ13" s="362">
        <v>145479</v>
      </c>
      <c r="AK13" s="362">
        <v>243379</v>
      </c>
      <c r="AL13" s="362">
        <v>219716</v>
      </c>
      <c r="AM13" s="362">
        <v>275854</v>
      </c>
      <c r="AN13" s="362">
        <v>275223</v>
      </c>
      <c r="AO13" s="359">
        <v>-6911</v>
      </c>
      <c r="AP13" s="359">
        <v>195494</v>
      </c>
      <c r="AQ13" s="359">
        <v>146842</v>
      </c>
      <c r="AR13" s="359">
        <v>245081</v>
      </c>
      <c r="AS13" s="372">
        <v>454000.739</v>
      </c>
    </row>
    <row r="14" spans="1:45" ht="15" thickBot="1" x14ac:dyDescent="0.4">
      <c r="A14" s="175" t="s">
        <v>305</v>
      </c>
      <c r="B14" s="172"/>
      <c r="C14" s="357">
        <v>-207726.94117000001</v>
      </c>
      <c r="D14" s="357">
        <v>-211738.34410000002</v>
      </c>
      <c r="E14" s="357">
        <v>-224751.47791000002</v>
      </c>
      <c r="F14" s="357">
        <v>-263463.09181999991</v>
      </c>
      <c r="G14" s="357">
        <v>-251067.95547999998</v>
      </c>
      <c r="H14" s="357">
        <v>-267792.30737000005</v>
      </c>
      <c r="I14" s="357">
        <v>-329727.48155999993</v>
      </c>
      <c r="J14" s="357">
        <v>-407783.79608000006</v>
      </c>
      <c r="K14" s="357">
        <v>-391296.20848000003</v>
      </c>
      <c r="L14" s="357">
        <v>-432818.05002999975</v>
      </c>
      <c r="M14" s="357">
        <v>-536593.74840999988</v>
      </c>
      <c r="N14" s="357">
        <v>-575123.89897000056</v>
      </c>
      <c r="O14" s="357">
        <v>-474405.36329000001</v>
      </c>
      <c r="P14" s="357">
        <v>-499100.96230000001</v>
      </c>
      <c r="Q14" s="357">
        <v>-529584.30004999996</v>
      </c>
      <c r="R14" s="357">
        <v>-563937.73337999999</v>
      </c>
      <c r="S14" s="357">
        <v>-459422.8050900001</v>
      </c>
      <c r="T14" s="357">
        <v>-511204.56771999999</v>
      </c>
      <c r="U14" s="357">
        <v>-586565.19999999995</v>
      </c>
      <c r="V14" s="357">
        <v>-621452</v>
      </c>
      <c r="W14" s="357">
        <v>-499400</v>
      </c>
      <c r="X14" s="357">
        <v>-585430</v>
      </c>
      <c r="Y14" s="357">
        <v>-613898</v>
      </c>
      <c r="Z14" s="357">
        <v>-508843</v>
      </c>
      <c r="AA14" s="357">
        <v>-568055</v>
      </c>
      <c r="AB14" s="357">
        <v>-622225</v>
      </c>
      <c r="AC14" s="363">
        <v>-670063</v>
      </c>
      <c r="AD14" s="363">
        <v>-696775</v>
      </c>
      <c r="AE14" s="363">
        <v>-565918</v>
      </c>
      <c r="AF14" s="363">
        <v>-421013</v>
      </c>
      <c r="AG14" s="363">
        <v>-566125</v>
      </c>
      <c r="AH14" s="363">
        <v>-584086</v>
      </c>
      <c r="AI14" s="363">
        <v>-548704.13422999985</v>
      </c>
      <c r="AJ14" s="364">
        <v>-528297</v>
      </c>
      <c r="AK14" s="364">
        <v>-735852</v>
      </c>
      <c r="AL14" s="364">
        <v>-811694</v>
      </c>
      <c r="AM14" s="364">
        <v>-749683</v>
      </c>
      <c r="AN14" s="364">
        <v>-726404</v>
      </c>
      <c r="AO14" s="364">
        <v>-641340</v>
      </c>
      <c r="AP14" s="364">
        <v>-631148</v>
      </c>
      <c r="AQ14" s="364">
        <v>-636024</v>
      </c>
      <c r="AR14" s="364">
        <v>-652375</v>
      </c>
      <c r="AS14" s="365">
        <v>-808149.179</v>
      </c>
    </row>
    <row r="15" spans="1:45" ht="15" thickBot="1" x14ac:dyDescent="0.4">
      <c r="A15" s="175" t="s">
        <v>256</v>
      </c>
      <c r="B15" s="173"/>
      <c r="C15" s="370">
        <f t="shared" ref="C15:AB15" si="1">C9+C14</f>
        <v>530108.0904300001</v>
      </c>
      <c r="D15" s="370">
        <f t="shared" si="1"/>
        <v>567082.93721000012</v>
      </c>
      <c r="E15" s="370">
        <f t="shared" si="1"/>
        <v>662648.54005999956</v>
      </c>
      <c r="F15" s="370">
        <f t="shared" si="1"/>
        <v>735153.70850000088</v>
      </c>
      <c r="G15" s="370">
        <f t="shared" si="1"/>
        <v>704893.71638000035</v>
      </c>
      <c r="H15" s="370">
        <f t="shared" si="1"/>
        <v>799230.56332999957</v>
      </c>
      <c r="I15" s="370">
        <f t="shared" si="1"/>
        <v>1068933.2503900004</v>
      </c>
      <c r="J15" s="370">
        <f t="shared" si="1"/>
        <v>1414120.2994499991</v>
      </c>
      <c r="K15" s="370">
        <f t="shared" si="1"/>
        <v>984963.29080000031</v>
      </c>
      <c r="L15" s="370">
        <f t="shared" si="1"/>
        <v>1020346.1823100003</v>
      </c>
      <c r="M15" s="370">
        <f t="shared" si="1"/>
        <v>1139993.4658099995</v>
      </c>
      <c r="N15" s="370">
        <f t="shared" si="1"/>
        <v>1042009.5983899921</v>
      </c>
      <c r="O15" s="370">
        <f t="shared" si="1"/>
        <v>968694.42986000003</v>
      </c>
      <c r="P15" s="370">
        <f t="shared" si="1"/>
        <v>1002018.4801200011</v>
      </c>
      <c r="Q15" s="370">
        <f t="shared" si="1"/>
        <v>1158310.7060199995</v>
      </c>
      <c r="R15" s="370">
        <f t="shared" si="1"/>
        <v>1399184.0437100003</v>
      </c>
      <c r="S15" s="370">
        <f t="shared" si="1"/>
        <v>1015429.9835999995</v>
      </c>
      <c r="T15" s="370">
        <f t="shared" si="1"/>
        <v>1247070.7227899996</v>
      </c>
      <c r="U15" s="370">
        <f t="shared" si="1"/>
        <v>1407520.8</v>
      </c>
      <c r="V15" s="370">
        <f t="shared" si="1"/>
        <v>1480953</v>
      </c>
      <c r="W15" s="370">
        <f t="shared" si="1"/>
        <v>1253798</v>
      </c>
      <c r="X15" s="370">
        <f t="shared" si="1"/>
        <v>1271253.7679199993</v>
      </c>
      <c r="Y15" s="370">
        <f t="shared" si="1"/>
        <v>1483807.19606</v>
      </c>
      <c r="Z15" s="370">
        <f t="shared" si="1"/>
        <v>1482676.0395799999</v>
      </c>
      <c r="AA15" s="370">
        <f t="shared" si="1"/>
        <v>1282102.4807299995</v>
      </c>
      <c r="AB15" s="370">
        <f t="shared" si="1"/>
        <v>1174778.6431700005</v>
      </c>
      <c r="AC15" s="373">
        <v>1460227</v>
      </c>
      <c r="AD15" s="373">
        <v>1678232</v>
      </c>
      <c r="AE15" s="373">
        <v>1284386</v>
      </c>
      <c r="AF15" s="373">
        <v>1164408</v>
      </c>
      <c r="AG15" s="373">
        <v>1537533</v>
      </c>
      <c r="AH15" s="373">
        <v>1888522</v>
      </c>
      <c r="AI15" s="373">
        <v>1534699.86577</v>
      </c>
      <c r="AJ15" s="374">
        <v>1565627</v>
      </c>
      <c r="AK15" s="374">
        <v>2450391</v>
      </c>
      <c r="AL15" s="374">
        <v>2568799</v>
      </c>
      <c r="AM15" s="374">
        <v>1870704</v>
      </c>
      <c r="AN15" s="370">
        <f t="shared" ref="AN15:AS15" si="2">AN9+AN14</f>
        <v>2141802</v>
      </c>
      <c r="AO15" s="370">
        <f t="shared" si="2"/>
        <v>2060667</v>
      </c>
      <c r="AP15" s="370">
        <f t="shared" si="2"/>
        <v>2440047</v>
      </c>
      <c r="AQ15" s="370">
        <f t="shared" si="2"/>
        <v>2333988</v>
      </c>
      <c r="AR15" s="370">
        <f t="shared" si="2"/>
        <v>2409929</v>
      </c>
      <c r="AS15" s="370">
        <f t="shared" si="2"/>
        <v>2779107.9029999999</v>
      </c>
    </row>
    <row r="16" spans="1:45" ht="15" thickBot="1" x14ac:dyDescent="0.4">
      <c r="A16" s="175" t="s">
        <v>257</v>
      </c>
      <c r="B16" s="173"/>
      <c r="C16" s="370">
        <f>SUM(C17:C19)</f>
        <v>-420859.79602999997</v>
      </c>
      <c r="D16" s="370">
        <f t="shared" ref="D16:AB16" si="3">SUM(D17:D19)</f>
        <v>-503625.86268000002</v>
      </c>
      <c r="E16" s="370">
        <f t="shared" si="3"/>
        <v>-344131.27094000025</v>
      </c>
      <c r="F16" s="370">
        <f t="shared" si="3"/>
        <v>-567036.18271999992</v>
      </c>
      <c r="G16" s="370">
        <f t="shared" si="3"/>
        <v>-504867.42969999992</v>
      </c>
      <c r="H16" s="370">
        <f t="shared" si="3"/>
        <v>-756869.71080000023</v>
      </c>
      <c r="I16" s="370">
        <f t="shared" si="3"/>
        <v>-646547.37953999988</v>
      </c>
      <c r="J16" s="370">
        <f t="shared" si="3"/>
        <v>-831653.91084999987</v>
      </c>
      <c r="K16" s="370">
        <f t="shared" si="3"/>
        <v>-745425.25325000007</v>
      </c>
      <c r="L16" s="370">
        <f t="shared" si="3"/>
        <v>-751459.18751000008</v>
      </c>
      <c r="M16" s="370">
        <f t="shared" si="3"/>
        <v>-787390.59382999979</v>
      </c>
      <c r="N16" s="370">
        <f t="shared" si="3"/>
        <v>-586990.9726399997</v>
      </c>
      <c r="O16" s="370">
        <f t="shared" si="3"/>
        <v>-683055.39113999996</v>
      </c>
      <c r="P16" s="370">
        <f t="shared" si="3"/>
        <v>-686243.62390000001</v>
      </c>
      <c r="Q16" s="370">
        <f t="shared" si="3"/>
        <v>-742894.25103999989</v>
      </c>
      <c r="R16" s="370">
        <f t="shared" si="3"/>
        <v>-867663.07224000013</v>
      </c>
      <c r="S16" s="370">
        <f t="shared" si="3"/>
        <v>-651715.04867000005</v>
      </c>
      <c r="T16" s="370">
        <f t="shared" si="3"/>
        <v>-853277.17443000013</v>
      </c>
      <c r="U16" s="370">
        <f t="shared" si="3"/>
        <v>-865402</v>
      </c>
      <c r="V16" s="370">
        <f t="shared" si="3"/>
        <v>-953590</v>
      </c>
      <c r="W16" s="370">
        <f t="shared" si="3"/>
        <v>-912538.8</v>
      </c>
      <c r="X16" s="370">
        <f t="shared" si="3"/>
        <v>-859340.38951000001</v>
      </c>
      <c r="Y16" s="370">
        <f t="shared" si="3"/>
        <v>-989103.44179000007</v>
      </c>
      <c r="Z16" s="370">
        <f t="shared" si="3"/>
        <v>-864666.99235999992</v>
      </c>
      <c r="AA16" s="370">
        <f t="shared" si="3"/>
        <v>-900038.42368999997</v>
      </c>
      <c r="AB16" s="370">
        <f t="shared" si="3"/>
        <v>-795352.10846999986</v>
      </c>
      <c r="AC16" s="373">
        <v>-901918</v>
      </c>
      <c r="AD16" s="373">
        <v>-974094</v>
      </c>
      <c r="AE16" s="373">
        <v>-770507.00000000012</v>
      </c>
      <c r="AF16" s="373">
        <v>-682187</v>
      </c>
      <c r="AG16" s="373">
        <v>-842473</v>
      </c>
      <c r="AH16" s="373">
        <v>-1176824</v>
      </c>
      <c r="AI16" s="373">
        <v>-956927</v>
      </c>
      <c r="AJ16" s="375">
        <v>-945010</v>
      </c>
      <c r="AK16" s="375">
        <v>-1636183</v>
      </c>
      <c r="AL16" s="375">
        <v>-1666115</v>
      </c>
      <c r="AM16" s="375">
        <v>-1069869</v>
      </c>
      <c r="AN16" s="370">
        <f t="shared" ref="AN16:AS16" si="4">SUM(AN17:AN19)</f>
        <v>-1173639</v>
      </c>
      <c r="AO16" s="370">
        <f t="shared" si="4"/>
        <v>-1301458</v>
      </c>
      <c r="AP16" s="370">
        <f t="shared" si="4"/>
        <v>-1409876</v>
      </c>
      <c r="AQ16" s="370">
        <f t="shared" si="4"/>
        <v>-1467770</v>
      </c>
      <c r="AR16" s="370">
        <f t="shared" si="4"/>
        <v>-1350144</v>
      </c>
      <c r="AS16" s="370">
        <f t="shared" si="4"/>
        <v>-1499196.216</v>
      </c>
    </row>
    <row r="17" spans="1:45" x14ac:dyDescent="0.35">
      <c r="A17" s="172" t="s">
        <v>258</v>
      </c>
      <c r="B17" s="173"/>
      <c r="C17" s="358">
        <v>-311486</v>
      </c>
      <c r="D17" s="358">
        <v>-412577.20562000002</v>
      </c>
      <c r="E17" s="358">
        <v>-208533.80779000031</v>
      </c>
      <c r="F17" s="358">
        <v>-405295.38654999982</v>
      </c>
      <c r="G17" s="358">
        <v>-360826.75384999992</v>
      </c>
      <c r="H17" s="358">
        <v>-556604.87256000016</v>
      </c>
      <c r="I17" s="358">
        <v>-308748.37651999976</v>
      </c>
      <c r="J17" s="358">
        <v>-621971.38639999984</v>
      </c>
      <c r="K17" s="358">
        <v>-539373.61273000005</v>
      </c>
      <c r="L17" s="358">
        <v>-574632.29502000019</v>
      </c>
      <c r="M17" s="358">
        <v>-603145.55429999973</v>
      </c>
      <c r="N17" s="358">
        <v>-362794.32689999987</v>
      </c>
      <c r="O17" s="358">
        <v>-490593.41399000003</v>
      </c>
      <c r="P17" s="358">
        <v>-451538.86718000006</v>
      </c>
      <c r="Q17" s="358">
        <v>-491830.94680999982</v>
      </c>
      <c r="R17" s="358">
        <v>-588305.51587000012</v>
      </c>
      <c r="S17" s="358">
        <v>-413695.39920000004</v>
      </c>
      <c r="T17" s="358">
        <v>-601212.78470000008</v>
      </c>
      <c r="U17" s="358">
        <v>-585688</v>
      </c>
      <c r="V17" s="358">
        <v>-598829</v>
      </c>
      <c r="W17" s="358">
        <v>-651674.4</v>
      </c>
      <c r="X17" s="358">
        <v>-559916.90127000003</v>
      </c>
      <c r="Y17" s="358">
        <v>-711723.98226000008</v>
      </c>
      <c r="Z17" s="358">
        <v>-530726.59700999991</v>
      </c>
      <c r="AA17" s="358">
        <v>-615039.78522999992</v>
      </c>
      <c r="AB17" s="358">
        <v>-542192.99216999998</v>
      </c>
      <c r="AC17" s="359">
        <v>-598072</v>
      </c>
      <c r="AD17" s="359">
        <v>-659268</v>
      </c>
      <c r="AE17" s="359">
        <v>-509110</v>
      </c>
      <c r="AF17" s="359">
        <v>-417435</v>
      </c>
      <c r="AG17" s="359">
        <v>-519695</v>
      </c>
      <c r="AH17" s="359">
        <v>-782591</v>
      </c>
      <c r="AI17" s="359">
        <v>-583829</v>
      </c>
      <c r="AJ17" s="362">
        <v>-534597</v>
      </c>
      <c r="AK17" s="362">
        <v>-1131589</v>
      </c>
      <c r="AL17" s="362">
        <v>-1114048</v>
      </c>
      <c r="AM17" s="362">
        <v>-731824</v>
      </c>
      <c r="AN17" s="362">
        <v>-725735</v>
      </c>
      <c r="AO17" s="362">
        <v>-795956</v>
      </c>
      <c r="AP17" s="362">
        <v>-832757</v>
      </c>
      <c r="AQ17" s="362">
        <v>-846042</v>
      </c>
      <c r="AR17" s="362">
        <v>-862355</v>
      </c>
      <c r="AS17" s="376">
        <v>-884536.96699999995</v>
      </c>
    </row>
    <row r="18" spans="1:45" x14ac:dyDescent="0.35">
      <c r="A18" s="172" t="s">
        <v>260</v>
      </c>
      <c r="B18" s="173"/>
      <c r="C18" s="358">
        <v>-21322.28008</v>
      </c>
      <c r="D18" s="358">
        <v>-14213.389629999992</v>
      </c>
      <c r="E18" s="358">
        <v>-18293.313600000009</v>
      </c>
      <c r="F18" s="358">
        <v>-17277.887609999998</v>
      </c>
      <c r="G18" s="358">
        <v>-19179.415530000002</v>
      </c>
      <c r="H18" s="358">
        <v>-19089.892740000003</v>
      </c>
      <c r="I18" s="358">
        <v>-29800.141759999999</v>
      </c>
      <c r="J18" s="358">
        <v>34838.290820000009</v>
      </c>
      <c r="K18" s="358">
        <v>-26101.907810000001</v>
      </c>
      <c r="L18" s="358">
        <v>-32366.339499999998</v>
      </c>
      <c r="M18" s="358">
        <v>-32198.52217</v>
      </c>
      <c r="N18" s="358">
        <v>-37269.126020000011</v>
      </c>
      <c r="O18" s="358">
        <v>-49712.964330000003</v>
      </c>
      <c r="P18" s="358">
        <v>-27267.523099999999</v>
      </c>
      <c r="Q18" s="358">
        <v>-37354.141800000012</v>
      </c>
      <c r="R18" s="358">
        <v>-33413.928409999986</v>
      </c>
      <c r="S18" s="358">
        <v>-37790.725909999994</v>
      </c>
      <c r="T18" s="358">
        <v>-39777.108020000014</v>
      </c>
      <c r="U18" s="358">
        <v>-90752</v>
      </c>
      <c r="V18" s="358">
        <v>-91138</v>
      </c>
      <c r="W18" s="358">
        <v>-94087.4</v>
      </c>
      <c r="X18" s="358">
        <v>-95974.172640000004</v>
      </c>
      <c r="Y18" s="358">
        <v>-85850.652819999988</v>
      </c>
      <c r="Z18" s="358">
        <v>-85814.14072000001</v>
      </c>
      <c r="AA18" s="358">
        <v>-91283.638460000002</v>
      </c>
      <c r="AB18" s="358">
        <v>-92378.305629999988</v>
      </c>
      <c r="AC18" s="359">
        <v>-100449</v>
      </c>
      <c r="AD18" s="359">
        <v>-99687</v>
      </c>
      <c r="AE18" s="359">
        <v>-112947</v>
      </c>
      <c r="AF18" s="359">
        <v>-99122</v>
      </c>
      <c r="AG18" s="359">
        <v>-164775</v>
      </c>
      <c r="AH18" s="359">
        <v>-185565</v>
      </c>
      <c r="AI18" s="359">
        <v>-187093</v>
      </c>
      <c r="AJ18" s="362">
        <v>-187362</v>
      </c>
      <c r="AK18" s="362">
        <v>-162096</v>
      </c>
      <c r="AL18" s="362">
        <v>-162276</v>
      </c>
      <c r="AM18" s="362">
        <v>-3688</v>
      </c>
      <c r="AN18" s="362">
        <v>-7259</v>
      </c>
      <c r="AO18" s="362">
        <v>-8154</v>
      </c>
      <c r="AP18" s="362">
        <v>-13071</v>
      </c>
      <c r="AQ18" s="362">
        <v>-7264</v>
      </c>
      <c r="AR18" s="362">
        <v>-10092</v>
      </c>
      <c r="AS18" s="376">
        <v>-10737.18</v>
      </c>
    </row>
    <row r="19" spans="1:45" ht="15" thickBot="1" x14ac:dyDescent="0.4">
      <c r="A19" s="172" t="s">
        <v>261</v>
      </c>
      <c r="B19" s="173"/>
      <c r="C19" s="358">
        <v>-88051.515949999986</v>
      </c>
      <c r="D19" s="358">
        <v>-76835.267430000022</v>
      </c>
      <c r="E19" s="358">
        <v>-117304.14954999993</v>
      </c>
      <c r="F19" s="358">
        <v>-144462.90856000013</v>
      </c>
      <c r="G19" s="358">
        <v>-124861.26031999999</v>
      </c>
      <c r="H19" s="358">
        <v>-181174.9455</v>
      </c>
      <c r="I19" s="358">
        <v>-307998.86126000015</v>
      </c>
      <c r="J19" s="358">
        <v>-244520.81526999999</v>
      </c>
      <c r="K19" s="358">
        <v>-179949.73270999998</v>
      </c>
      <c r="L19" s="358">
        <v>-144460.55298999994</v>
      </c>
      <c r="M19" s="358">
        <v>-152046.51736000009</v>
      </c>
      <c r="N19" s="358">
        <v>-186927.51971999984</v>
      </c>
      <c r="O19" s="358">
        <v>-142749.01282</v>
      </c>
      <c r="P19" s="358">
        <v>-207437.23362000001</v>
      </c>
      <c r="Q19" s="358">
        <v>-213709.16243</v>
      </c>
      <c r="R19" s="358">
        <v>-245943.62796000004</v>
      </c>
      <c r="S19" s="358">
        <v>-200228.92356</v>
      </c>
      <c r="T19" s="358">
        <v>-212287.28170999998</v>
      </c>
      <c r="U19" s="358">
        <v>-188962</v>
      </c>
      <c r="V19" s="358">
        <v>-263623</v>
      </c>
      <c r="W19" s="358">
        <v>-166777</v>
      </c>
      <c r="X19" s="358">
        <v>-203449.31559999997</v>
      </c>
      <c r="Y19" s="358">
        <v>-191528.80671000003</v>
      </c>
      <c r="Z19" s="358">
        <v>-248126.25462999998</v>
      </c>
      <c r="AA19" s="358">
        <v>-193715</v>
      </c>
      <c r="AB19" s="358">
        <v>-160780.81066999995</v>
      </c>
      <c r="AC19" s="359">
        <v>-203397</v>
      </c>
      <c r="AD19" s="359">
        <v>-215139</v>
      </c>
      <c r="AE19" s="359">
        <v>-148450</v>
      </c>
      <c r="AF19" s="359">
        <v>-165630</v>
      </c>
      <c r="AG19" s="359">
        <v>-158004</v>
      </c>
      <c r="AH19" s="359">
        <v>-208669</v>
      </c>
      <c r="AI19" s="359">
        <v>-186005</v>
      </c>
      <c r="AJ19" s="362">
        <v>-223051</v>
      </c>
      <c r="AK19" s="362">
        <v>-342498</v>
      </c>
      <c r="AL19" s="362">
        <v>-389791</v>
      </c>
      <c r="AM19" s="362">
        <v>-334357</v>
      </c>
      <c r="AN19" s="362">
        <v>-440645</v>
      </c>
      <c r="AO19" s="362">
        <v>-497348</v>
      </c>
      <c r="AP19" s="362">
        <v>-564048</v>
      </c>
      <c r="AQ19" s="362">
        <v>-614464</v>
      </c>
      <c r="AR19" s="362">
        <v>-477697</v>
      </c>
      <c r="AS19" s="376">
        <v>-603922.06900000002</v>
      </c>
    </row>
    <row r="20" spans="1:45" ht="15" thickBot="1" x14ac:dyDescent="0.4">
      <c r="A20" s="175" t="s">
        <v>263</v>
      </c>
      <c r="B20" s="173"/>
      <c r="C20" s="357">
        <f t="shared" ref="C20:O20" si="5">C15+C16</f>
        <v>109248.29440000013</v>
      </c>
      <c r="D20" s="357">
        <f t="shared" si="5"/>
        <v>63457.0745300001</v>
      </c>
      <c r="E20" s="357">
        <f t="shared" si="5"/>
        <v>318517.26911999931</v>
      </c>
      <c r="F20" s="357">
        <f t="shared" si="5"/>
        <v>168117.52578000096</v>
      </c>
      <c r="G20" s="357">
        <f t="shared" si="5"/>
        <v>200026.28668000043</v>
      </c>
      <c r="H20" s="357">
        <f t="shared" si="5"/>
        <v>42360.852529999334</v>
      </c>
      <c r="I20" s="357">
        <f t="shared" si="5"/>
        <v>422385.87085000053</v>
      </c>
      <c r="J20" s="357">
        <f t="shared" si="5"/>
        <v>582466.38859999925</v>
      </c>
      <c r="K20" s="357">
        <f t="shared" si="5"/>
        <v>239538.03755000024</v>
      </c>
      <c r="L20" s="357">
        <f t="shared" si="5"/>
        <v>268886.99480000022</v>
      </c>
      <c r="M20" s="357">
        <f t="shared" si="5"/>
        <v>352602.87197999971</v>
      </c>
      <c r="N20" s="357">
        <f t="shared" si="5"/>
        <v>455018.62574999244</v>
      </c>
      <c r="O20" s="357">
        <f t="shared" si="5"/>
        <v>285639.03872000007</v>
      </c>
      <c r="P20" s="357">
        <f>P15+P16</f>
        <v>315774.85622000112</v>
      </c>
      <c r="Q20" s="357">
        <f t="shared" ref="Q20:AB20" si="6">Q15+Q16</f>
        <v>415416.45497999957</v>
      </c>
      <c r="R20" s="357">
        <f t="shared" si="6"/>
        <v>531520.97147000022</v>
      </c>
      <c r="S20" s="357">
        <f t="shared" si="6"/>
        <v>363714.93492999941</v>
      </c>
      <c r="T20" s="357">
        <f t="shared" si="6"/>
        <v>393793.54835999943</v>
      </c>
      <c r="U20" s="357">
        <f t="shared" si="6"/>
        <v>542118.80000000005</v>
      </c>
      <c r="V20" s="357">
        <f t="shared" si="6"/>
        <v>527363</v>
      </c>
      <c r="W20" s="357">
        <f t="shared" si="6"/>
        <v>341259.19999999995</v>
      </c>
      <c r="X20" s="357">
        <f t="shared" si="6"/>
        <v>411913.37840999931</v>
      </c>
      <c r="Y20" s="357">
        <f t="shared" si="6"/>
        <v>494703.75426999992</v>
      </c>
      <c r="Z20" s="357">
        <f t="shared" si="6"/>
        <v>618009.04721999995</v>
      </c>
      <c r="AA20" s="357">
        <f t="shared" si="6"/>
        <v>382064.05703999952</v>
      </c>
      <c r="AB20" s="357">
        <f t="shared" si="6"/>
        <v>379426.53470000066</v>
      </c>
      <c r="AC20" s="363">
        <v>558309</v>
      </c>
      <c r="AD20" s="363">
        <v>704138</v>
      </c>
      <c r="AE20" s="363">
        <v>513878.99999999988</v>
      </c>
      <c r="AF20" s="363">
        <v>482221</v>
      </c>
      <c r="AG20" s="363">
        <v>695060</v>
      </c>
      <c r="AH20" s="363">
        <v>711698</v>
      </c>
      <c r="AI20" s="363">
        <v>577772.86577000003</v>
      </c>
      <c r="AJ20" s="364">
        <v>620617</v>
      </c>
      <c r="AK20" s="364">
        <v>814208</v>
      </c>
      <c r="AL20" s="364">
        <v>902684</v>
      </c>
      <c r="AM20" s="364">
        <v>800835</v>
      </c>
      <c r="AN20" s="357">
        <f t="shared" ref="AN20:AS20" si="7">AN15+AN16</f>
        <v>968163</v>
      </c>
      <c r="AO20" s="357">
        <f t="shared" si="7"/>
        <v>759209</v>
      </c>
      <c r="AP20" s="357">
        <f t="shared" si="7"/>
        <v>1030171</v>
      </c>
      <c r="AQ20" s="357">
        <f t="shared" si="7"/>
        <v>866218</v>
      </c>
      <c r="AR20" s="357">
        <f t="shared" si="7"/>
        <v>1059785</v>
      </c>
      <c r="AS20" s="357">
        <f t="shared" si="7"/>
        <v>1279911.6869999999</v>
      </c>
    </row>
    <row r="21" spans="1:45" ht="15" thickBot="1" x14ac:dyDescent="0.4">
      <c r="A21" s="175" t="s">
        <v>264</v>
      </c>
      <c r="B21" s="173"/>
      <c r="C21" s="357">
        <f>SUM(C22:C30)</f>
        <v>-128658.37661000004</v>
      </c>
      <c r="D21" s="357">
        <f t="shared" ref="D21:AB21" si="8">SUM(D22:D30)</f>
        <v>-122752.23995999995</v>
      </c>
      <c r="E21" s="357">
        <f t="shared" si="8"/>
        <v>-166285.98936999991</v>
      </c>
      <c r="F21" s="357">
        <f t="shared" si="8"/>
        <v>-154351.93518</v>
      </c>
      <c r="G21" s="357">
        <f t="shared" si="8"/>
        <v>-159229.31050999995</v>
      </c>
      <c r="H21" s="357">
        <f t="shared" si="8"/>
        <v>-141128.33766000005</v>
      </c>
      <c r="I21" s="357">
        <f t="shared" si="8"/>
        <v>-148484.21539</v>
      </c>
      <c r="J21" s="357">
        <f t="shared" si="8"/>
        <v>-230924.87460999982</v>
      </c>
      <c r="K21" s="357">
        <f t="shared" si="8"/>
        <v>-139854.06372000003</v>
      </c>
      <c r="L21" s="357">
        <f t="shared" si="8"/>
        <v>-202296.39451999994</v>
      </c>
      <c r="M21" s="357">
        <f t="shared" si="8"/>
        <v>-182219.45259999996</v>
      </c>
      <c r="N21" s="357">
        <f t="shared" si="8"/>
        <v>-326605.49509000051</v>
      </c>
      <c r="O21" s="357">
        <f t="shared" si="8"/>
        <v>-192885.92964000005</v>
      </c>
      <c r="P21" s="357">
        <f t="shared" si="8"/>
        <v>-150111.17846000008</v>
      </c>
      <c r="Q21" s="357">
        <f t="shared" si="8"/>
        <v>-189617.08134</v>
      </c>
      <c r="R21" s="357">
        <f t="shared" si="8"/>
        <v>-263238.21045000001</v>
      </c>
      <c r="S21" s="357">
        <f t="shared" si="8"/>
        <v>-247000.53056000001</v>
      </c>
      <c r="T21" s="357">
        <f t="shared" si="8"/>
        <v>-210852.79805999997</v>
      </c>
      <c r="U21" s="357">
        <f t="shared" si="8"/>
        <v>-238997.2</v>
      </c>
      <c r="V21" s="357">
        <f t="shared" si="8"/>
        <v>-189412.80000000002</v>
      </c>
      <c r="W21" s="357">
        <f t="shared" si="8"/>
        <v>-221629.69999999998</v>
      </c>
      <c r="X21" s="357">
        <f t="shared" si="8"/>
        <v>-219909.05077000003</v>
      </c>
      <c r="Y21" s="357">
        <f t="shared" si="8"/>
        <v>-196928.8622</v>
      </c>
      <c r="Z21" s="357">
        <f t="shared" si="8"/>
        <v>-179471.22866000005</v>
      </c>
      <c r="AA21" s="357">
        <f t="shared" si="8"/>
        <v>-245765.79060999997</v>
      </c>
      <c r="AB21" s="357">
        <f t="shared" si="8"/>
        <v>-194656.50264999989</v>
      </c>
      <c r="AC21" s="363">
        <v>-220774</v>
      </c>
      <c r="AD21" s="363">
        <v>-314247</v>
      </c>
      <c r="AE21" s="363">
        <v>-190429</v>
      </c>
      <c r="AF21" s="363">
        <v>-255997</v>
      </c>
      <c r="AG21" s="363">
        <v>-195063</v>
      </c>
      <c r="AH21" s="363">
        <v>-280459</v>
      </c>
      <c r="AI21" s="363">
        <v>-230682.69235000003</v>
      </c>
      <c r="AJ21" s="364">
        <v>-219008</v>
      </c>
      <c r="AK21" s="364">
        <v>-148442</v>
      </c>
      <c r="AL21" s="364">
        <v>-305910</v>
      </c>
      <c r="AM21" s="364">
        <v>-242113</v>
      </c>
      <c r="AN21" s="357">
        <f t="shared" ref="AN21:AS21" si="9">SUM(AN22:AN30)</f>
        <v>-288046</v>
      </c>
      <c r="AO21" s="357">
        <f t="shared" si="9"/>
        <v>-251332</v>
      </c>
      <c r="AP21" s="357">
        <f t="shared" si="9"/>
        <v>-377875</v>
      </c>
      <c r="AQ21" s="357">
        <f t="shared" si="9"/>
        <v>-174783</v>
      </c>
      <c r="AR21" s="357">
        <f t="shared" si="9"/>
        <v>-215878</v>
      </c>
      <c r="AS21" s="357">
        <f t="shared" si="9"/>
        <v>-287502.69099999999</v>
      </c>
    </row>
    <row r="22" spans="1:45" x14ac:dyDescent="0.35">
      <c r="A22" s="172" t="s">
        <v>265</v>
      </c>
      <c r="B22" s="173"/>
      <c r="C22" s="358">
        <v>-34817.255770000003</v>
      </c>
      <c r="D22" s="358">
        <v>-33583.572919999977</v>
      </c>
      <c r="E22" s="358">
        <v>-29106.686359999985</v>
      </c>
      <c r="F22" s="358">
        <v>-43451.664970000027</v>
      </c>
      <c r="G22" s="358">
        <v>-38152.255749999989</v>
      </c>
      <c r="H22" s="358">
        <v>-39112.317339999965</v>
      </c>
      <c r="I22" s="358">
        <v>-38659.374280000106</v>
      </c>
      <c r="J22" s="358">
        <v>-41866.93276999989</v>
      </c>
      <c r="K22" s="358">
        <v>-39011.86020000001</v>
      </c>
      <c r="L22" s="358">
        <v>-34060.698419999964</v>
      </c>
      <c r="M22" s="358">
        <v>-31995.413380000056</v>
      </c>
      <c r="N22" s="358">
        <v>-53661.724850000115</v>
      </c>
      <c r="O22" s="358">
        <v>-35241.758160000019</v>
      </c>
      <c r="P22" s="358">
        <v>-34969.808659999988</v>
      </c>
      <c r="Q22" s="358">
        <v>-27133.964349999995</v>
      </c>
      <c r="R22" s="358">
        <v>-33849.49733999998</v>
      </c>
      <c r="S22" s="358">
        <v>-31490.112169999964</v>
      </c>
      <c r="T22" s="358">
        <v>-31977.793789999996</v>
      </c>
      <c r="U22" s="358">
        <v>-31114</v>
      </c>
      <c r="V22" s="358">
        <v>-37912</v>
      </c>
      <c r="W22" s="358">
        <v>-34222</v>
      </c>
      <c r="X22" s="358">
        <v>-33489.698540000012</v>
      </c>
      <c r="Y22" s="358">
        <v>-37449.320539999986</v>
      </c>
      <c r="Z22" s="358">
        <v>-38311.474230000007</v>
      </c>
      <c r="AA22" s="358">
        <v>-34063.505649999992</v>
      </c>
      <c r="AB22" s="358">
        <v>-31771.451890000011</v>
      </c>
      <c r="AC22" s="359">
        <v>-31473</v>
      </c>
      <c r="AD22" s="359">
        <v>-32885</v>
      </c>
      <c r="AE22" s="359">
        <v>-34389</v>
      </c>
      <c r="AF22" s="359">
        <v>-33812</v>
      </c>
      <c r="AG22" s="359">
        <v>-36132</v>
      </c>
      <c r="AH22" s="359">
        <v>-51736</v>
      </c>
      <c r="AI22" s="359">
        <v>-54891</v>
      </c>
      <c r="AJ22" s="359">
        <v>-43631</v>
      </c>
      <c r="AK22" s="359">
        <v>-38335</v>
      </c>
      <c r="AL22" s="359">
        <v>-38039</v>
      </c>
      <c r="AM22" s="359">
        <v>-40719</v>
      </c>
      <c r="AN22" s="359">
        <v>-43433</v>
      </c>
      <c r="AO22" s="359">
        <v>-43578</v>
      </c>
      <c r="AP22" s="359">
        <v>-50234</v>
      </c>
      <c r="AQ22" s="359">
        <v>-47910</v>
      </c>
      <c r="AR22" s="359">
        <v>-45058</v>
      </c>
      <c r="AS22" s="372">
        <v>-41614.502999999997</v>
      </c>
    </row>
    <row r="23" spans="1:45" x14ac:dyDescent="0.35">
      <c r="A23" s="172" t="s">
        <v>266</v>
      </c>
      <c r="B23" s="173"/>
      <c r="C23" s="358">
        <v>-3026.4941599999997</v>
      </c>
      <c r="D23" s="358">
        <v>-2221.0408499999976</v>
      </c>
      <c r="E23" s="358">
        <v>-3571.8356800000033</v>
      </c>
      <c r="F23" s="358">
        <v>-6317.1461100000033</v>
      </c>
      <c r="G23" s="358">
        <v>-4679.3890399999973</v>
      </c>
      <c r="H23" s="358">
        <v>-5770.5611900000031</v>
      </c>
      <c r="I23" s="358">
        <v>-3416.8399500000028</v>
      </c>
      <c r="J23" s="358">
        <v>-966.64258999999424</v>
      </c>
      <c r="K23" s="358">
        <v>-706.46651999999972</v>
      </c>
      <c r="L23" s="358">
        <v>-2236.1983000000014</v>
      </c>
      <c r="M23" s="358">
        <v>-1667.7134100000017</v>
      </c>
      <c r="N23" s="358">
        <v>-8584.8456900000019</v>
      </c>
      <c r="O23" s="358">
        <v>-1642.9930499999994</v>
      </c>
      <c r="P23" s="358">
        <v>22.173270000000599</v>
      </c>
      <c r="Q23" s="358">
        <v>-71.342150000000174</v>
      </c>
      <c r="R23" s="358">
        <v>-4614.7179400000005</v>
      </c>
      <c r="S23" s="358">
        <v>-616.53707999999949</v>
      </c>
      <c r="T23" s="358">
        <v>-4030.4853800000001</v>
      </c>
      <c r="U23" s="358">
        <v>-1810</v>
      </c>
      <c r="V23" s="358">
        <v>-1978</v>
      </c>
      <c r="W23" s="358">
        <v>-2408</v>
      </c>
      <c r="X23" s="358">
        <v>-3976.8454199999992</v>
      </c>
      <c r="Y23" s="358">
        <v>-5355.5485399999998</v>
      </c>
      <c r="Z23" s="358">
        <v>-174.83368999999988</v>
      </c>
      <c r="AA23" s="358">
        <v>-2062.24296</v>
      </c>
      <c r="AB23" s="358">
        <v>-1758.4424199999996</v>
      </c>
      <c r="AC23" s="359">
        <v>-2555</v>
      </c>
      <c r="AD23" s="359">
        <v>-514</v>
      </c>
      <c r="AE23" s="359">
        <v>-2204</v>
      </c>
      <c r="AF23" s="359">
        <v>-1427</v>
      </c>
      <c r="AG23" s="359">
        <v>-2253</v>
      </c>
      <c r="AH23" s="359">
        <v>-16681</v>
      </c>
      <c r="AI23" s="359">
        <v>-5748</v>
      </c>
      <c r="AJ23" s="359">
        <v>-7246</v>
      </c>
      <c r="AK23" s="359">
        <v>-5063</v>
      </c>
      <c r="AL23" s="359">
        <v>-8536</v>
      </c>
      <c r="AM23" s="359">
        <v>-6272</v>
      </c>
      <c r="AN23" s="359">
        <v>-7258</v>
      </c>
      <c r="AO23" s="359">
        <v>-7225</v>
      </c>
      <c r="AP23" s="359">
        <v>-9389</v>
      </c>
      <c r="AQ23" s="359">
        <v>-6563</v>
      </c>
      <c r="AR23" s="359">
        <v>-2976</v>
      </c>
      <c r="AS23" s="372">
        <v>-2749.65</v>
      </c>
    </row>
    <row r="24" spans="1:45" x14ac:dyDescent="0.35">
      <c r="A24" s="172" t="s">
        <v>267</v>
      </c>
      <c r="B24" s="173"/>
      <c r="C24" s="358">
        <v>-67142.27469000002</v>
      </c>
      <c r="D24" s="358">
        <v>-73112.582029999947</v>
      </c>
      <c r="E24" s="358">
        <v>-89747.354999999938</v>
      </c>
      <c r="F24" s="358">
        <v>-97921</v>
      </c>
      <c r="G24" s="358">
        <v>-73723.75469999999</v>
      </c>
      <c r="H24" s="358">
        <v>-85344.883640000073</v>
      </c>
      <c r="I24" s="358">
        <v>-81761.532729999817</v>
      </c>
      <c r="J24" s="358">
        <v>-108828.84033999991</v>
      </c>
      <c r="K24" s="358">
        <v>-78320.539030000029</v>
      </c>
      <c r="L24" s="358">
        <v>-80800.348039999895</v>
      </c>
      <c r="M24" s="358">
        <v>-77027.118039999958</v>
      </c>
      <c r="N24" s="358">
        <v>-119899.14853000033</v>
      </c>
      <c r="O24" s="358">
        <v>-96146.446690000026</v>
      </c>
      <c r="P24" s="358">
        <v>-88095.386560000101</v>
      </c>
      <c r="Q24" s="358">
        <v>-105221</v>
      </c>
      <c r="R24" s="358">
        <v>-112584.25408999996</v>
      </c>
      <c r="S24" s="358">
        <v>-92504.00758000002</v>
      </c>
      <c r="T24" s="358">
        <v>-84541.790469999964</v>
      </c>
      <c r="U24" s="358">
        <v>-107212</v>
      </c>
      <c r="V24" s="358">
        <v>-96856</v>
      </c>
      <c r="W24" s="358">
        <v>-82341</v>
      </c>
      <c r="X24" s="358">
        <v>-88800.051520000008</v>
      </c>
      <c r="Y24" s="358">
        <v>-82923.459659999979</v>
      </c>
      <c r="Z24" s="358">
        <v>-128485.45204000002</v>
      </c>
      <c r="AA24" s="358">
        <v>-81792.068180000002</v>
      </c>
      <c r="AB24" s="358">
        <v>-84169.554299999945</v>
      </c>
      <c r="AC24" s="359">
        <v>-90824</v>
      </c>
      <c r="AD24" s="359">
        <v>-97380</v>
      </c>
      <c r="AE24" s="359">
        <v>-79237</v>
      </c>
      <c r="AF24" s="359">
        <v>-87268</v>
      </c>
      <c r="AG24" s="359">
        <v>-88103</v>
      </c>
      <c r="AH24" s="359">
        <v>-86192</v>
      </c>
      <c r="AI24" s="359">
        <v>-99257</v>
      </c>
      <c r="AJ24" s="359">
        <v>-101604</v>
      </c>
      <c r="AK24" s="359">
        <v>-106264</v>
      </c>
      <c r="AL24" s="359">
        <v>-119254</v>
      </c>
      <c r="AM24" s="359">
        <v>-106138</v>
      </c>
      <c r="AN24" s="359">
        <v>-123623</v>
      </c>
      <c r="AO24" s="359">
        <v>-120518</v>
      </c>
      <c r="AP24" s="359">
        <v>-152863</v>
      </c>
      <c r="AQ24" s="359">
        <v>-101179</v>
      </c>
      <c r="AR24" s="359">
        <v>-77721</v>
      </c>
      <c r="AS24" s="372">
        <v>-124691.321</v>
      </c>
    </row>
    <row r="25" spans="1:45" x14ac:dyDescent="0.35">
      <c r="A25" s="172" t="s">
        <v>268</v>
      </c>
      <c r="B25" s="173"/>
      <c r="C25" s="358">
        <v>-21402.250450000018</v>
      </c>
      <c r="D25" s="358">
        <v>-18888.716490000032</v>
      </c>
      <c r="E25" s="358">
        <v>-7174.8392499999936</v>
      </c>
      <c r="F25" s="358">
        <v>10588.759209999995</v>
      </c>
      <c r="G25" s="358">
        <v>-20458.857370000002</v>
      </c>
      <c r="H25" s="358">
        <v>-12143.50447</v>
      </c>
      <c r="I25" s="358">
        <v>-13529.536799999994</v>
      </c>
      <c r="J25" s="358">
        <v>-21792.250029999992</v>
      </c>
      <c r="K25" s="358">
        <v>-23088</v>
      </c>
      <c r="L25" s="358">
        <v>-23428.468800000017</v>
      </c>
      <c r="M25" s="358">
        <v>-26910.204669999977</v>
      </c>
      <c r="N25" s="358">
        <v>-47366.265610000031</v>
      </c>
      <c r="O25" s="358">
        <v>-37083.651190000004</v>
      </c>
      <c r="P25" s="358">
        <v>-17326.975889999987</v>
      </c>
      <c r="Q25" s="358">
        <v>-40716.403190000012</v>
      </c>
      <c r="R25" s="358">
        <v>-128515.71961999999</v>
      </c>
      <c r="S25" s="358">
        <v>-92170.150269999998</v>
      </c>
      <c r="T25" s="358">
        <v>-60445.683980000016</v>
      </c>
      <c r="U25" s="358">
        <v>-39723.699999999997</v>
      </c>
      <c r="V25" s="358">
        <v>-42783</v>
      </c>
      <c r="W25" s="358">
        <v>-64775</v>
      </c>
      <c r="X25" s="358">
        <v>-52695.662449999989</v>
      </c>
      <c r="Y25" s="358">
        <v>-28644.450660000017</v>
      </c>
      <c r="Z25" s="358">
        <v>20521.496890000031</v>
      </c>
      <c r="AA25" s="358">
        <v>-15036.38127</v>
      </c>
      <c r="AB25" s="358">
        <v>-50015.064679999967</v>
      </c>
      <c r="AC25" s="359">
        <v>-42122</v>
      </c>
      <c r="AD25" s="359">
        <v>-81197</v>
      </c>
      <c r="AE25" s="359">
        <v>-30584.999999999996</v>
      </c>
      <c r="AF25" s="359">
        <v>-99783</v>
      </c>
      <c r="AG25" s="359">
        <v>-27861</v>
      </c>
      <c r="AH25" s="359">
        <v>-75054</v>
      </c>
      <c r="AI25" s="359">
        <v>-37428.218369999995</v>
      </c>
      <c r="AJ25" s="359">
        <v>-38856</v>
      </c>
      <c r="AK25" s="359">
        <v>-49719</v>
      </c>
      <c r="AL25" s="359">
        <v>-46774</v>
      </c>
      <c r="AM25" s="359">
        <v>-49390</v>
      </c>
      <c r="AN25" s="359">
        <v>-37124</v>
      </c>
      <c r="AO25" s="359">
        <v>-55200</v>
      </c>
      <c r="AP25" s="359">
        <v>26658</v>
      </c>
      <c r="AQ25" s="359">
        <v>-37491</v>
      </c>
      <c r="AR25" s="359">
        <v>-46541</v>
      </c>
      <c r="AS25" s="372">
        <v>-63199.678999999996</v>
      </c>
    </row>
    <row r="26" spans="1:45" x14ac:dyDescent="0.35">
      <c r="A26" s="172" t="s">
        <v>270</v>
      </c>
      <c r="B26" s="173"/>
      <c r="C26" s="358">
        <v>-5935</v>
      </c>
      <c r="D26" s="358">
        <v>-3477</v>
      </c>
      <c r="E26" s="358">
        <v>-33313.365130000006</v>
      </c>
      <c r="F26" s="358">
        <v>-9818.1055899999974</v>
      </c>
      <c r="G26" s="358">
        <v>-9481.6015599999919</v>
      </c>
      <c r="H26" s="358">
        <v>-8168.0507599999983</v>
      </c>
      <c r="I26" s="358">
        <v>-10318.174340000018</v>
      </c>
      <c r="J26" s="358">
        <v>-11627.408369999986</v>
      </c>
      <c r="K26" s="358">
        <v>18805.798760000001</v>
      </c>
      <c r="L26" s="358">
        <v>-24380.17455</v>
      </c>
      <c r="M26" s="358">
        <v>-15773.590109999996</v>
      </c>
      <c r="N26" s="358">
        <v>-35040.443719999996</v>
      </c>
      <c r="O26" s="358">
        <v>-586.00541999999803</v>
      </c>
      <c r="P26" s="358">
        <v>-11257.993200000001</v>
      </c>
      <c r="Q26" s="358">
        <v>-8540.3312400000032</v>
      </c>
      <c r="R26" s="358">
        <v>19441.084899999983</v>
      </c>
      <c r="S26" s="358">
        <v>-22808.607550000004</v>
      </c>
      <c r="T26" s="358">
        <v>-9189.6462199999969</v>
      </c>
      <c r="U26" s="358">
        <v>-9276.5</v>
      </c>
      <c r="V26" s="358">
        <v>20708</v>
      </c>
      <c r="W26" s="358">
        <v>-5702</v>
      </c>
      <c r="X26" s="358">
        <v>-3714</v>
      </c>
      <c r="Y26" s="358">
        <v>-6268.9964199999977</v>
      </c>
      <c r="Z26" s="358">
        <v>-5881.7676599999986</v>
      </c>
      <c r="AA26" s="358">
        <v>-6200.6347300000016</v>
      </c>
      <c r="AB26" s="358">
        <v>-2837.5704199999982</v>
      </c>
      <c r="AC26" s="359">
        <v>-5746</v>
      </c>
      <c r="AD26" s="359">
        <v>-13308</v>
      </c>
      <c r="AE26" s="359">
        <v>-36037</v>
      </c>
      <c r="AF26" s="359">
        <v>-8382</v>
      </c>
      <c r="AG26" s="359">
        <v>-5619</v>
      </c>
      <c r="AH26" s="359">
        <v>-3557</v>
      </c>
      <c r="AI26" s="359">
        <v>114.52601999999955</v>
      </c>
      <c r="AJ26" s="359">
        <v>-1709</v>
      </c>
      <c r="AK26" s="359">
        <v>-6600</v>
      </c>
      <c r="AL26" s="359">
        <v>-21642</v>
      </c>
      <c r="AM26" s="359">
        <v>-3143</v>
      </c>
      <c r="AN26" s="359">
        <v>-4955</v>
      </c>
      <c r="AO26" s="359">
        <v>-4593</v>
      </c>
      <c r="AP26" s="359">
        <v>-8040</v>
      </c>
      <c r="AQ26" s="359">
        <v>-4998</v>
      </c>
      <c r="AR26" s="359">
        <v>-2303</v>
      </c>
      <c r="AS26" s="372">
        <v>-122.002</v>
      </c>
    </row>
    <row r="27" spans="1:45" x14ac:dyDescent="0.35">
      <c r="A27" s="172" t="s">
        <v>518</v>
      </c>
      <c r="B27" s="173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>
        <v>0</v>
      </c>
      <c r="P27" s="358">
        <v>0</v>
      </c>
      <c r="Q27" s="358">
        <v>0</v>
      </c>
      <c r="R27" s="358">
        <v>0</v>
      </c>
      <c r="S27" s="358">
        <v>-74209.911769999992</v>
      </c>
      <c r="T27" s="358">
        <v>-115906.38757000001</v>
      </c>
      <c r="U27" s="358">
        <v>-120298</v>
      </c>
      <c r="V27" s="358">
        <v>-126751.4</v>
      </c>
      <c r="W27" s="358">
        <v>-124183.3</v>
      </c>
      <c r="X27" s="358">
        <v>-129845.45475000002</v>
      </c>
      <c r="Y27" s="358">
        <v>-137334.82364999998</v>
      </c>
      <c r="Z27" s="358">
        <v>-156495.90257000001</v>
      </c>
      <c r="AA27" s="358">
        <v>-100177.11417</v>
      </c>
      <c r="AB27" s="358">
        <v>-105966.53614999999</v>
      </c>
      <c r="AC27" s="359">
        <v>-110787</v>
      </c>
      <c r="AD27" s="359">
        <v>-1251</v>
      </c>
      <c r="AE27" s="359">
        <v>0</v>
      </c>
      <c r="AF27" s="359">
        <v>0</v>
      </c>
      <c r="AG27" s="359">
        <v>-119286</v>
      </c>
      <c r="AH27" s="359">
        <v>-115406</v>
      </c>
      <c r="AI27" s="359">
        <v>-102473</v>
      </c>
      <c r="AJ27" s="359">
        <v>0</v>
      </c>
      <c r="AK27" s="359">
        <v>-133314</v>
      </c>
      <c r="AL27" s="359">
        <v>-143261</v>
      </c>
      <c r="AM27" s="359">
        <v>-136849</v>
      </c>
      <c r="AN27" s="359">
        <v>-149063</v>
      </c>
      <c r="AO27" s="359">
        <v>-178722</v>
      </c>
      <c r="AP27" s="359">
        <v>-177267</v>
      </c>
      <c r="AQ27" s="359">
        <v>-150780</v>
      </c>
      <c r="AR27" s="359"/>
      <c r="AS27" s="372"/>
    </row>
    <row r="28" spans="1:45" x14ac:dyDescent="0.35">
      <c r="A28" s="172" t="s">
        <v>269</v>
      </c>
      <c r="B28" s="173"/>
      <c r="C28" s="358">
        <v>64422.271059999999</v>
      </c>
      <c r="D28" s="358">
        <v>80841.517189999999</v>
      </c>
      <c r="E28" s="358">
        <v>82771.578379999992</v>
      </c>
      <c r="F28" s="358">
        <v>80816.498600000021</v>
      </c>
      <c r="G28" s="358">
        <v>73953.261989999999</v>
      </c>
      <c r="H28" s="358">
        <v>61675.921660000015</v>
      </c>
      <c r="I28" s="358">
        <v>80346.189309999972</v>
      </c>
      <c r="J28" s="358">
        <v>82492.691459999973</v>
      </c>
      <c r="K28" s="358">
        <v>77168.39718</v>
      </c>
      <c r="L28" s="358">
        <v>69550.504629999996</v>
      </c>
      <c r="M28" s="358">
        <v>72250.864539999995</v>
      </c>
      <c r="N28" s="358">
        <v>82181.459530000007</v>
      </c>
      <c r="O28" s="358">
        <v>69847.556219999999</v>
      </c>
      <c r="P28" s="358">
        <v>97642.982799999998</v>
      </c>
      <c r="Q28" s="358">
        <v>69975</v>
      </c>
      <c r="R28" s="358">
        <v>72945.893639999966</v>
      </c>
      <c r="S28" s="358">
        <v>97942.626250000001</v>
      </c>
      <c r="T28" s="358">
        <v>100762.66158000001</v>
      </c>
      <c r="U28" s="358">
        <v>85925</v>
      </c>
      <c r="V28" s="358">
        <v>117659</v>
      </c>
      <c r="W28" s="358">
        <v>97796.6</v>
      </c>
      <c r="X28" s="358">
        <v>104003.66191000001</v>
      </c>
      <c r="Y28" s="358">
        <v>110046.77168000001</v>
      </c>
      <c r="Z28" s="358">
        <v>134561.29387999998</v>
      </c>
      <c r="AA28" s="358">
        <v>71545.974019999994</v>
      </c>
      <c r="AB28" s="358">
        <v>83679.428260000001</v>
      </c>
      <c r="AC28" s="359">
        <v>76719</v>
      </c>
      <c r="AD28" s="359">
        <v>-30042</v>
      </c>
      <c r="AE28" s="359">
        <v>0</v>
      </c>
      <c r="AF28" s="359">
        <v>-28975</v>
      </c>
      <c r="AG28" s="359">
        <v>83543</v>
      </c>
      <c r="AH28" s="359">
        <v>89946</v>
      </c>
      <c r="AI28" s="359">
        <v>81382</v>
      </c>
      <c r="AJ28" s="359">
        <v>-26026</v>
      </c>
      <c r="AK28" s="359">
        <v>190480</v>
      </c>
      <c r="AL28" s="359">
        <v>114784</v>
      </c>
      <c r="AM28" s="359">
        <v>139450</v>
      </c>
      <c r="AN28" s="359">
        <v>151219</v>
      </c>
      <c r="AO28" s="359">
        <v>181629</v>
      </c>
      <c r="AP28" s="359">
        <v>185534</v>
      </c>
      <c r="AQ28" s="359">
        <v>146011</v>
      </c>
      <c r="AR28" s="359">
        <v>-7693</v>
      </c>
      <c r="AS28" s="372">
        <v>-1456.037</v>
      </c>
    </row>
    <row r="29" spans="1:45" x14ac:dyDescent="0.35">
      <c r="A29" s="172" t="s">
        <v>544</v>
      </c>
      <c r="B29" s="173"/>
      <c r="C29" s="358">
        <v>-60009.129300000008</v>
      </c>
      <c r="D29" s="358">
        <v>-66424.476009999998</v>
      </c>
      <c r="E29" s="358">
        <v>-77173.717789999966</v>
      </c>
      <c r="F29" s="358">
        <v>-79853.141730000018</v>
      </c>
      <c r="G29" s="358">
        <v>-80832.86292</v>
      </c>
      <c r="H29" s="358">
        <v>-45275.187209999996</v>
      </c>
      <c r="I29" s="358">
        <v>-69226.133069999996</v>
      </c>
      <c r="J29" s="358">
        <v>-74134.141890000043</v>
      </c>
      <c r="K29" s="358">
        <v>-71362.587579999992</v>
      </c>
      <c r="L29" s="358">
        <v>-65097.853400000022</v>
      </c>
      <c r="M29" s="358">
        <v>-71533.298929999975</v>
      </c>
      <c r="N29" s="358">
        <v>-72996.646460000004</v>
      </c>
      <c r="O29" s="358">
        <v>-88426.169249999992</v>
      </c>
      <c r="P29" s="358">
        <v>-86117.596690000006</v>
      </c>
      <c r="Q29" s="358">
        <v>-72295</v>
      </c>
      <c r="R29" s="358">
        <v>-66487</v>
      </c>
      <c r="S29" s="358">
        <v>-30395.121470000002</v>
      </c>
      <c r="T29" s="358">
        <v>-2056.8265799999999</v>
      </c>
      <c r="U29" s="358">
        <v>-2960</v>
      </c>
      <c r="V29" s="358">
        <v>-6307.4</v>
      </c>
      <c r="W29" s="358">
        <v>-2272</v>
      </c>
      <c r="X29" s="358">
        <v>-2704</v>
      </c>
      <c r="Y29" s="358">
        <v>-2348.6610400000004</v>
      </c>
      <c r="Z29" s="358">
        <v>3667.3737500000002</v>
      </c>
      <c r="AA29" s="358">
        <v>127.67474</v>
      </c>
      <c r="AB29" s="358">
        <v>131.57362000000001</v>
      </c>
      <c r="AC29" s="359">
        <v>129</v>
      </c>
      <c r="AD29" s="359">
        <v>0</v>
      </c>
      <c r="AE29" s="359">
        <v>0</v>
      </c>
      <c r="AF29" s="359">
        <v>0</v>
      </c>
      <c r="AG29" s="359">
        <v>176</v>
      </c>
      <c r="AH29" s="359">
        <v>201</v>
      </c>
      <c r="AI29" s="359">
        <v>131</v>
      </c>
      <c r="AJ29" s="359">
        <v>0</v>
      </c>
      <c r="AK29" s="359">
        <v>193</v>
      </c>
      <c r="AL29" s="359">
        <v>186</v>
      </c>
      <c r="AM29" s="359">
        <v>270</v>
      </c>
      <c r="AN29" s="359">
        <v>365</v>
      </c>
      <c r="AO29" s="359">
        <v>476</v>
      </c>
      <c r="AP29" s="359">
        <v>589</v>
      </c>
      <c r="AQ29" s="359">
        <v>0</v>
      </c>
      <c r="AR29" s="359"/>
      <c r="AS29" s="372"/>
    </row>
    <row r="30" spans="1:45" x14ac:dyDescent="0.35">
      <c r="A30" s="172" t="s">
        <v>271</v>
      </c>
      <c r="B30" s="172"/>
      <c r="C30" s="358">
        <v>-748.24330000000009</v>
      </c>
      <c r="D30" s="358">
        <v>-5886.3688500000007</v>
      </c>
      <c r="E30" s="358">
        <v>-8969.7685400000009</v>
      </c>
      <c r="F30" s="358">
        <v>-8396.1345899999997</v>
      </c>
      <c r="G30" s="358">
        <v>-5853.8511599999993</v>
      </c>
      <c r="H30" s="358">
        <v>-6989.7547099999992</v>
      </c>
      <c r="I30" s="358">
        <v>-11918.813530000005</v>
      </c>
      <c r="J30" s="358">
        <v>-54201.350079999997</v>
      </c>
      <c r="K30" s="358">
        <v>-23338.806329999999</v>
      </c>
      <c r="L30" s="358">
        <v>-41843.157640000019</v>
      </c>
      <c r="M30" s="358">
        <v>-29562.978600000009</v>
      </c>
      <c r="N30" s="358">
        <v>-71237.879759999967</v>
      </c>
      <c r="O30" s="358">
        <v>-3606.4621000000002</v>
      </c>
      <c r="P30" s="358">
        <v>-10008.57353</v>
      </c>
      <c r="Q30" s="358">
        <v>-5614.0404100000005</v>
      </c>
      <c r="R30" s="358">
        <v>-9574</v>
      </c>
      <c r="S30" s="358">
        <v>-748.70891999999992</v>
      </c>
      <c r="T30" s="358">
        <v>-3466.8456499999993</v>
      </c>
      <c r="U30" s="358">
        <v>-12528</v>
      </c>
      <c r="V30" s="358">
        <v>-15192</v>
      </c>
      <c r="W30" s="358">
        <v>-3523</v>
      </c>
      <c r="X30" s="358">
        <v>-8687</v>
      </c>
      <c r="Y30" s="358">
        <v>-6650.3733700000003</v>
      </c>
      <c r="Z30" s="358">
        <v>-8871.9629899999982</v>
      </c>
      <c r="AA30" s="358">
        <v>-78107.492409999992</v>
      </c>
      <c r="AB30" s="358">
        <v>-1948.8846699999879</v>
      </c>
      <c r="AC30" s="359">
        <v>-14115</v>
      </c>
      <c r="AD30" s="359">
        <v>-57670</v>
      </c>
      <c r="AE30" s="359">
        <v>-7977</v>
      </c>
      <c r="AF30" s="359">
        <v>3650</v>
      </c>
      <c r="AG30" s="359">
        <v>472</v>
      </c>
      <c r="AH30" s="359">
        <v>-21980</v>
      </c>
      <c r="AI30" s="359">
        <v>-12513</v>
      </c>
      <c r="AJ30" s="359">
        <v>64</v>
      </c>
      <c r="AK30" s="359">
        <v>180</v>
      </c>
      <c r="AL30" s="359">
        <v>-57908</v>
      </c>
      <c r="AM30" s="359">
        <v>-39322</v>
      </c>
      <c r="AN30" s="359">
        <v>-74174</v>
      </c>
      <c r="AO30" s="359">
        <v>-23601</v>
      </c>
      <c r="AP30" s="359">
        <v>-192863</v>
      </c>
      <c r="AQ30" s="359">
        <v>28127</v>
      </c>
      <c r="AR30" s="359">
        <v>-33586</v>
      </c>
      <c r="AS30" s="372">
        <v>-53669.499000000003</v>
      </c>
    </row>
    <row r="31" spans="1:45" x14ac:dyDescent="0.35">
      <c r="A31" s="599" t="s">
        <v>272</v>
      </c>
      <c r="B31" s="377"/>
      <c r="C31" s="606">
        <f t="shared" ref="C31:AR31" si="10">C15+C16+C21</f>
        <v>-19410.082209999906</v>
      </c>
      <c r="D31" s="606">
        <f t="shared" si="10"/>
        <v>-59295.165429999848</v>
      </c>
      <c r="E31" s="606">
        <f t="shared" si="10"/>
        <v>152231.2797499994</v>
      </c>
      <c r="F31" s="606">
        <f t="shared" si="10"/>
        <v>13765.590600000956</v>
      </c>
      <c r="G31" s="606">
        <f t="shared" si="10"/>
        <v>40796.976170000475</v>
      </c>
      <c r="H31" s="606">
        <f t="shared" si="10"/>
        <v>-98767.485130000714</v>
      </c>
      <c r="I31" s="606">
        <f t="shared" si="10"/>
        <v>273901.6554600005</v>
      </c>
      <c r="J31" s="606">
        <f t="shared" si="10"/>
        <v>351541.51398999942</v>
      </c>
      <c r="K31" s="606">
        <f t="shared" si="10"/>
        <v>99683.973830000206</v>
      </c>
      <c r="L31" s="606">
        <f t="shared" si="10"/>
        <v>66590.600280000275</v>
      </c>
      <c r="M31" s="606">
        <f t="shared" si="10"/>
        <v>170383.41937999974</v>
      </c>
      <c r="N31" s="606">
        <f t="shared" si="10"/>
        <v>128413.13065999193</v>
      </c>
      <c r="O31" s="606">
        <f t="shared" si="10"/>
        <v>92753.109080000024</v>
      </c>
      <c r="P31" s="606">
        <f t="shared" si="10"/>
        <v>165663.67776000104</v>
      </c>
      <c r="Q31" s="606">
        <f t="shared" si="10"/>
        <v>225799.37363999957</v>
      </c>
      <c r="R31" s="606">
        <f t="shared" si="10"/>
        <v>268282.76102000021</v>
      </c>
      <c r="S31" s="606">
        <f t="shared" si="10"/>
        <v>116714.40436999939</v>
      </c>
      <c r="T31" s="606">
        <f t="shared" si="10"/>
        <v>182940.75029999946</v>
      </c>
      <c r="U31" s="606">
        <f t="shared" si="10"/>
        <v>303121.60000000003</v>
      </c>
      <c r="V31" s="606">
        <f t="shared" si="10"/>
        <v>337950.19999999995</v>
      </c>
      <c r="W31" s="606">
        <f t="shared" si="10"/>
        <v>119629.49999999997</v>
      </c>
      <c r="X31" s="606">
        <f t="shared" si="10"/>
        <v>192004.32763999928</v>
      </c>
      <c r="Y31" s="606">
        <f t="shared" si="10"/>
        <v>297774.89206999994</v>
      </c>
      <c r="Z31" s="606">
        <f t="shared" si="10"/>
        <v>438537.81855999993</v>
      </c>
      <c r="AA31" s="606">
        <f t="shared" si="10"/>
        <v>136298.26642999955</v>
      </c>
      <c r="AB31" s="606">
        <f t="shared" si="10"/>
        <v>184770.03205000077</v>
      </c>
      <c r="AC31" s="606">
        <f t="shared" si="10"/>
        <v>337535</v>
      </c>
      <c r="AD31" s="606">
        <f t="shared" si="10"/>
        <v>389891</v>
      </c>
      <c r="AE31" s="606">
        <f t="shared" si="10"/>
        <v>323449.99999999988</v>
      </c>
      <c r="AF31" s="606">
        <f t="shared" si="10"/>
        <v>226224</v>
      </c>
      <c r="AG31" s="606">
        <f t="shared" si="10"/>
        <v>499997</v>
      </c>
      <c r="AH31" s="606">
        <f t="shared" si="10"/>
        <v>431239</v>
      </c>
      <c r="AI31" s="606">
        <f t="shared" si="10"/>
        <v>347090.17342000001</v>
      </c>
      <c r="AJ31" s="606">
        <f t="shared" si="10"/>
        <v>401609</v>
      </c>
      <c r="AK31" s="606">
        <f t="shared" si="10"/>
        <v>665766</v>
      </c>
      <c r="AL31" s="606">
        <f t="shared" si="10"/>
        <v>596774</v>
      </c>
      <c r="AM31" s="606">
        <f t="shared" si="10"/>
        <v>558722</v>
      </c>
      <c r="AN31" s="606">
        <f t="shared" si="10"/>
        <v>680117</v>
      </c>
      <c r="AO31" s="606">
        <f t="shared" si="10"/>
        <v>507877</v>
      </c>
      <c r="AP31" s="606">
        <f t="shared" si="10"/>
        <v>652296</v>
      </c>
      <c r="AQ31" s="606">
        <f t="shared" si="10"/>
        <v>691435</v>
      </c>
      <c r="AR31" s="606">
        <f t="shared" si="10"/>
        <v>843907</v>
      </c>
      <c r="AS31" s="607">
        <f>AS15+AS16+AS21</f>
        <v>992408.99599999993</v>
      </c>
    </row>
    <row r="32" spans="1:45" ht="15" thickBot="1" x14ac:dyDescent="0.4">
      <c r="A32" s="172" t="s">
        <v>273</v>
      </c>
      <c r="B32" s="172"/>
      <c r="C32" s="358">
        <v>-31150.374359999994</v>
      </c>
      <c r="D32" s="358">
        <v>-32181.438809999996</v>
      </c>
      <c r="E32" s="358">
        <v>-40381.733350000017</v>
      </c>
      <c r="F32" s="358">
        <v>-35892.271269999983</v>
      </c>
      <c r="G32" s="358">
        <v>-36580.159070000009</v>
      </c>
      <c r="H32" s="358">
        <v>-42917.743680000007</v>
      </c>
      <c r="I32" s="358">
        <v>-54449.164379999995</v>
      </c>
      <c r="J32" s="358">
        <v>-37105.181320000011</v>
      </c>
      <c r="K32" s="358">
        <v>-214.61177000000222</v>
      </c>
      <c r="L32" s="358">
        <v>-47953.004530000006</v>
      </c>
      <c r="M32" s="358">
        <v>-48452.161079999998</v>
      </c>
      <c r="N32" s="358">
        <v>-88494.638129999978</v>
      </c>
      <c r="O32" s="358">
        <v>-52645.274429999998</v>
      </c>
      <c r="P32" s="358">
        <v>-44721.908069999998</v>
      </c>
      <c r="Q32" s="358">
        <v>-51141</v>
      </c>
      <c r="R32" s="358">
        <v>-49894</v>
      </c>
      <c r="S32" s="358">
        <v>-52013.062829999988</v>
      </c>
      <c r="T32" s="358">
        <v>-52784.297949999993</v>
      </c>
      <c r="U32" s="358">
        <v>-53949</v>
      </c>
      <c r="V32" s="358">
        <v>-51957</v>
      </c>
      <c r="W32" s="358">
        <v>-57824</v>
      </c>
      <c r="X32" s="358">
        <v>-58342</v>
      </c>
      <c r="Y32" s="358">
        <v>-71265.924559999985</v>
      </c>
      <c r="Z32" s="358">
        <v>-62531.030320000005</v>
      </c>
      <c r="AA32" s="358">
        <v>-61021.807829999998</v>
      </c>
      <c r="AB32" s="358">
        <v>-72013.011079999997</v>
      </c>
      <c r="AC32" s="359">
        <v>-72622</v>
      </c>
      <c r="AD32" s="359">
        <v>-101307</v>
      </c>
      <c r="AE32" s="359">
        <v>-70970</v>
      </c>
      <c r="AF32" s="359">
        <v>-78269</v>
      </c>
      <c r="AG32" s="359">
        <v>-79887</v>
      </c>
      <c r="AH32" s="359">
        <v>-82917</v>
      </c>
      <c r="AI32" s="359">
        <v>-71751</v>
      </c>
      <c r="AJ32" s="359">
        <v>-94693</v>
      </c>
      <c r="AK32" s="359">
        <v>-86289</v>
      </c>
      <c r="AL32" s="359">
        <v>-112564</v>
      </c>
      <c r="AM32" s="359">
        <v>-86746</v>
      </c>
      <c r="AN32" s="359">
        <v>-94388</v>
      </c>
      <c r="AO32" s="359">
        <v>-93835</v>
      </c>
      <c r="AP32" s="359">
        <v>-105436</v>
      </c>
      <c r="AQ32" s="359">
        <v>-114894</v>
      </c>
      <c r="AR32" s="359">
        <v>-104683</v>
      </c>
      <c r="AS32" s="372">
        <v>-103781.427</v>
      </c>
    </row>
    <row r="33" spans="1:45" ht="15" thickBot="1" x14ac:dyDescent="0.4">
      <c r="A33" s="175" t="s">
        <v>274</v>
      </c>
      <c r="B33" s="172"/>
      <c r="C33" s="357">
        <f t="shared" ref="C33:Y33" si="11">SUM(C31:C32)</f>
        <v>-50560.4565699999</v>
      </c>
      <c r="D33" s="357">
        <f t="shared" si="11"/>
        <v>-91476.604239999841</v>
      </c>
      <c r="E33" s="357">
        <f t="shared" si="11"/>
        <v>111849.54639999938</v>
      </c>
      <c r="F33" s="357">
        <f t="shared" si="11"/>
        <v>-22126.680669999027</v>
      </c>
      <c r="G33" s="357">
        <f t="shared" si="11"/>
        <v>4216.8171000004659</v>
      </c>
      <c r="H33" s="357">
        <f t="shared" si="11"/>
        <v>-141685.22881000073</v>
      </c>
      <c r="I33" s="357">
        <f t="shared" si="11"/>
        <v>219452.4910800005</v>
      </c>
      <c r="J33" s="357">
        <f t="shared" si="11"/>
        <v>314436.33266999939</v>
      </c>
      <c r="K33" s="357">
        <f t="shared" si="11"/>
        <v>99469.362060000203</v>
      </c>
      <c r="L33" s="357">
        <f t="shared" si="11"/>
        <v>18637.59575000027</v>
      </c>
      <c r="M33" s="357">
        <f t="shared" si="11"/>
        <v>121931.25829999975</v>
      </c>
      <c r="N33" s="357">
        <f t="shared" si="11"/>
        <v>39918.492529991956</v>
      </c>
      <c r="O33" s="357">
        <f t="shared" si="11"/>
        <v>40107.834650000026</v>
      </c>
      <c r="P33" s="357">
        <f t="shared" si="11"/>
        <v>120941.76969000103</v>
      </c>
      <c r="Q33" s="357">
        <f t="shared" si="11"/>
        <v>174658.37363999957</v>
      </c>
      <c r="R33" s="357">
        <f t="shared" si="11"/>
        <v>218388.76102000021</v>
      </c>
      <c r="S33" s="357">
        <f t="shared" si="11"/>
        <v>64701.341539999405</v>
      </c>
      <c r="T33" s="357">
        <f t="shared" si="11"/>
        <v>130156.45234999947</v>
      </c>
      <c r="U33" s="357">
        <f t="shared" si="11"/>
        <v>249172.60000000003</v>
      </c>
      <c r="V33" s="357">
        <f t="shared" si="11"/>
        <v>285993.19999999995</v>
      </c>
      <c r="W33" s="357">
        <f t="shared" si="11"/>
        <v>61805.499999999971</v>
      </c>
      <c r="X33" s="357">
        <f t="shared" si="11"/>
        <v>133662.32763999928</v>
      </c>
      <c r="Y33" s="357">
        <f t="shared" si="11"/>
        <v>226508.96750999996</v>
      </c>
      <c r="Z33" s="357">
        <f>SUM(Z31:Z32)</f>
        <v>376006.78823999991</v>
      </c>
      <c r="AA33" s="357">
        <f>SUM(AA31:AA32)</f>
        <v>75276.458599999547</v>
      </c>
      <c r="AB33" s="357">
        <f>SUM(AB31:AB32)</f>
        <v>112757.02097000077</v>
      </c>
      <c r="AC33" s="363">
        <v>264913</v>
      </c>
      <c r="AD33" s="363">
        <v>288584</v>
      </c>
      <c r="AE33" s="363">
        <v>252479.99999999994</v>
      </c>
      <c r="AF33" s="363">
        <v>147955</v>
      </c>
      <c r="AG33" s="363">
        <v>420109</v>
      </c>
      <c r="AH33" s="363">
        <v>348321</v>
      </c>
      <c r="AI33" s="363">
        <v>275339.17342000001</v>
      </c>
      <c r="AJ33" s="363">
        <v>306916</v>
      </c>
      <c r="AK33" s="363">
        <v>579477</v>
      </c>
      <c r="AL33" s="363">
        <v>484210</v>
      </c>
      <c r="AM33" s="363">
        <v>471976</v>
      </c>
      <c r="AN33" s="357">
        <f t="shared" ref="AN33:AS33" si="12">SUM(AN31:AN32)</f>
        <v>585729</v>
      </c>
      <c r="AO33" s="357">
        <f t="shared" si="12"/>
        <v>414042</v>
      </c>
      <c r="AP33" s="357">
        <f t="shared" si="12"/>
        <v>546860</v>
      </c>
      <c r="AQ33" s="357">
        <f t="shared" si="12"/>
        <v>576541</v>
      </c>
      <c r="AR33" s="357">
        <f t="shared" si="12"/>
        <v>739224</v>
      </c>
      <c r="AS33" s="357">
        <f t="shared" si="12"/>
        <v>888627.5689999999</v>
      </c>
    </row>
    <row r="34" spans="1:45" ht="15" thickBot="1" x14ac:dyDescent="0.4">
      <c r="A34" s="178" t="s">
        <v>277</v>
      </c>
      <c r="B34" s="172"/>
      <c r="C34" s="370">
        <f>SUM(C35:C36)</f>
        <v>-14128.696479999999</v>
      </c>
      <c r="D34" s="370">
        <f t="shared" ref="D34:M34" si="13">SUM(D35:D36)</f>
        <v>-71100.757640000011</v>
      </c>
      <c r="E34" s="370">
        <f t="shared" si="13"/>
        <v>-43252.478670000077</v>
      </c>
      <c r="F34" s="370">
        <f t="shared" si="13"/>
        <v>-60049.737849999947</v>
      </c>
      <c r="G34" s="370">
        <f t="shared" si="13"/>
        <v>-26038.176930000016</v>
      </c>
      <c r="H34" s="370">
        <f t="shared" si="13"/>
        <v>-63506.165870000128</v>
      </c>
      <c r="I34" s="370">
        <f t="shared" si="13"/>
        <v>-40536.831719999638</v>
      </c>
      <c r="J34" s="370">
        <f t="shared" si="13"/>
        <v>-73712.797180000285</v>
      </c>
      <c r="K34" s="370">
        <f t="shared" si="13"/>
        <v>-62716.888289999973</v>
      </c>
      <c r="L34" s="370">
        <f t="shared" si="13"/>
        <v>578042.8136699996</v>
      </c>
      <c r="M34" s="370">
        <f t="shared" si="13"/>
        <v>-91125.799569999217</v>
      </c>
      <c r="N34" s="370">
        <f>SUM(N35:N36)</f>
        <v>-106929.20554000068</v>
      </c>
      <c r="O34" s="370">
        <f t="shared" ref="O34:AB34" si="14">SUM(O35:O36)</f>
        <v>22945</v>
      </c>
      <c r="P34" s="370">
        <f t="shared" si="14"/>
        <v>-5273.2262599999958</v>
      </c>
      <c r="Q34" s="370">
        <f t="shared" si="14"/>
        <v>-70452.497499999983</v>
      </c>
      <c r="R34" s="370">
        <f t="shared" si="14"/>
        <v>-79837.257939999981</v>
      </c>
      <c r="S34" s="370">
        <f t="shared" si="14"/>
        <v>-44319.851169999951</v>
      </c>
      <c r="T34" s="370">
        <f t="shared" si="14"/>
        <v>-73008.505140000052</v>
      </c>
      <c r="U34" s="370">
        <f t="shared" si="14"/>
        <v>-37565</v>
      </c>
      <c r="V34" s="370">
        <f t="shared" si="14"/>
        <v>-52401</v>
      </c>
      <c r="W34" s="370">
        <f t="shared" si="14"/>
        <v>-62062</v>
      </c>
      <c r="X34" s="370">
        <f t="shared" si="14"/>
        <v>-69306.772880000062</v>
      </c>
      <c r="Y34" s="370">
        <f t="shared" si="14"/>
        <v>-63104.380920000025</v>
      </c>
      <c r="Z34" s="370">
        <f t="shared" si="14"/>
        <v>-40968.00391999993</v>
      </c>
      <c r="AA34" s="370">
        <f t="shared" si="14"/>
        <v>-5736.0919700000086</v>
      </c>
      <c r="AB34" s="370">
        <f t="shared" si="14"/>
        <v>-48207.559399999998</v>
      </c>
      <c r="AC34" s="373">
        <v>-41951</v>
      </c>
      <c r="AD34" s="373">
        <v>-50941</v>
      </c>
      <c r="AE34" s="373">
        <v>-56385.999999999971</v>
      </c>
      <c r="AF34" s="373">
        <v>-26809</v>
      </c>
      <c r="AG34" s="373">
        <v>-65512</v>
      </c>
      <c r="AH34" s="373">
        <v>-55360</v>
      </c>
      <c r="AI34" s="373">
        <v>-104154</v>
      </c>
      <c r="AJ34" s="373">
        <v>-46342</v>
      </c>
      <c r="AK34" s="373">
        <v>-102065</v>
      </c>
      <c r="AL34" s="373">
        <v>-94219</v>
      </c>
      <c r="AM34" s="373">
        <v>-90043</v>
      </c>
      <c r="AN34" s="370">
        <f t="shared" ref="AN34:AS34" si="15">AN35+AN36</f>
        <v>-110210</v>
      </c>
      <c r="AO34" s="370">
        <f t="shared" si="15"/>
        <v>-13515</v>
      </c>
      <c r="AP34" s="370">
        <f t="shared" si="15"/>
        <v>-69133</v>
      </c>
      <c r="AQ34" s="370">
        <f t="shared" si="15"/>
        <v>-103296</v>
      </c>
      <c r="AR34" s="370">
        <f t="shared" si="15"/>
        <v>-109763</v>
      </c>
      <c r="AS34" s="370">
        <f t="shared" si="15"/>
        <v>-40634.119999999995</v>
      </c>
    </row>
    <row r="35" spans="1:45" x14ac:dyDescent="0.35">
      <c r="A35" s="172" t="s">
        <v>278</v>
      </c>
      <c r="B35" s="172"/>
      <c r="C35" s="358">
        <v>51894.94647000001</v>
      </c>
      <c r="D35" s="358">
        <v>40571.160889999985</v>
      </c>
      <c r="E35" s="358">
        <v>61996.41845999995</v>
      </c>
      <c r="F35" s="358">
        <v>114859.82284000004</v>
      </c>
      <c r="G35" s="358">
        <v>133992.10060000001</v>
      </c>
      <c r="H35" s="358">
        <v>57676.493979999897</v>
      </c>
      <c r="I35" s="358">
        <v>186678.29216000013</v>
      </c>
      <c r="J35" s="358">
        <v>218307.61736999999</v>
      </c>
      <c r="K35" s="358">
        <v>280919.28619000001</v>
      </c>
      <c r="L35" s="358">
        <v>691954.62032999995</v>
      </c>
      <c r="M35" s="358">
        <v>671478.90337000007</v>
      </c>
      <c r="N35" s="358">
        <v>-79638.646170000313</v>
      </c>
      <c r="O35" s="358">
        <v>204084</v>
      </c>
      <c r="P35" s="358">
        <v>159272.91652</v>
      </c>
      <c r="Q35" s="358">
        <v>22589.630030000018</v>
      </c>
      <c r="R35" s="358">
        <v>165546.68828</v>
      </c>
      <c r="S35" s="358">
        <v>79570.305909999995</v>
      </c>
      <c r="T35" s="358">
        <v>50408.528659999989</v>
      </c>
      <c r="U35" s="358">
        <v>62999</v>
      </c>
      <c r="V35" s="358">
        <v>74983</v>
      </c>
      <c r="W35" s="358">
        <v>55982</v>
      </c>
      <c r="X35" s="358">
        <v>282085.92217000003</v>
      </c>
      <c r="Y35" s="358">
        <v>-249534.80517000004</v>
      </c>
      <c r="Z35" s="358">
        <v>676435.69723000005</v>
      </c>
      <c r="AA35" s="358">
        <v>168455.24921000001</v>
      </c>
      <c r="AB35" s="358">
        <v>37376.66906</v>
      </c>
      <c r="AC35" s="359">
        <v>135310</v>
      </c>
      <c r="AD35" s="359">
        <v>78333</v>
      </c>
      <c r="AE35" s="359">
        <v>318177</v>
      </c>
      <c r="AF35" s="359">
        <v>114133</v>
      </c>
      <c r="AG35" s="359">
        <v>102592</v>
      </c>
      <c r="AH35" s="359">
        <v>-27685</v>
      </c>
      <c r="AI35" s="359">
        <v>192134</v>
      </c>
      <c r="AJ35" s="359">
        <v>89768</v>
      </c>
      <c r="AK35" s="359">
        <v>136316</v>
      </c>
      <c r="AL35" s="359">
        <v>158048</v>
      </c>
      <c r="AM35" s="359">
        <v>264289</v>
      </c>
      <c r="AN35" s="359">
        <v>230685</v>
      </c>
      <c r="AO35" s="359">
        <v>174819</v>
      </c>
      <c r="AP35" s="359">
        <v>180486</v>
      </c>
      <c r="AQ35" s="359">
        <v>147080</v>
      </c>
      <c r="AR35" s="359">
        <v>270474</v>
      </c>
      <c r="AS35" s="372">
        <v>72374.535000000003</v>
      </c>
    </row>
    <row r="36" spans="1:45" ht="15" thickBot="1" x14ac:dyDescent="0.4">
      <c r="A36" s="172" t="s">
        <v>279</v>
      </c>
      <c r="B36" s="172"/>
      <c r="C36" s="358">
        <v>-66023.642950000009</v>
      </c>
      <c r="D36" s="358">
        <v>-111671.91853</v>
      </c>
      <c r="E36" s="358">
        <v>-105248.89713000003</v>
      </c>
      <c r="F36" s="358">
        <v>-174909.56068999998</v>
      </c>
      <c r="G36" s="358">
        <v>-160030.27753000002</v>
      </c>
      <c r="H36" s="358">
        <v>-121182.65985000003</v>
      </c>
      <c r="I36" s="358">
        <v>-227215.12387999977</v>
      </c>
      <c r="J36" s="358">
        <v>-292020.41455000028</v>
      </c>
      <c r="K36" s="358">
        <v>-343636.17447999999</v>
      </c>
      <c r="L36" s="358">
        <v>-113911.80666000032</v>
      </c>
      <c r="M36" s="358">
        <v>-762604.70293999929</v>
      </c>
      <c r="N36" s="358">
        <v>-27290.559370000363</v>
      </c>
      <c r="O36" s="358">
        <v>-181139</v>
      </c>
      <c r="P36" s="358">
        <v>-164546.14277999999</v>
      </c>
      <c r="Q36" s="358">
        <v>-93042.127529999998</v>
      </c>
      <c r="R36" s="358">
        <v>-245383.94621999998</v>
      </c>
      <c r="S36" s="358">
        <v>-123890.15707999995</v>
      </c>
      <c r="T36" s="358">
        <v>-123417.03380000003</v>
      </c>
      <c r="U36" s="358">
        <v>-100564</v>
      </c>
      <c r="V36" s="358">
        <v>-127384</v>
      </c>
      <c r="W36" s="358">
        <v>-118044</v>
      </c>
      <c r="X36" s="358">
        <v>-351392.6950500001</v>
      </c>
      <c r="Y36" s="358">
        <v>186430.42425000001</v>
      </c>
      <c r="Z36" s="358">
        <v>-717403.70114999998</v>
      </c>
      <c r="AA36" s="358">
        <v>-174191.34118000002</v>
      </c>
      <c r="AB36" s="358">
        <v>-85584.228459999998</v>
      </c>
      <c r="AC36" s="359">
        <v>-177261</v>
      </c>
      <c r="AD36" s="359">
        <v>-129274</v>
      </c>
      <c r="AE36" s="359">
        <v>-374563</v>
      </c>
      <c r="AF36" s="359">
        <v>-140942</v>
      </c>
      <c r="AG36" s="359">
        <v>-168104</v>
      </c>
      <c r="AH36" s="359">
        <v>-27675</v>
      </c>
      <c r="AI36" s="359">
        <v>-296288</v>
      </c>
      <c r="AJ36" s="359">
        <v>-136110</v>
      </c>
      <c r="AK36" s="359">
        <v>-238381</v>
      </c>
      <c r="AL36" s="359">
        <v>-252267</v>
      </c>
      <c r="AM36" s="359">
        <v>-354332</v>
      </c>
      <c r="AN36" s="359">
        <v>-340895</v>
      </c>
      <c r="AO36" s="359">
        <v>-188334</v>
      </c>
      <c r="AP36" s="359">
        <v>-249619</v>
      </c>
      <c r="AQ36" s="359">
        <v>-250376</v>
      </c>
      <c r="AR36" s="359">
        <v>-380237</v>
      </c>
      <c r="AS36" s="372">
        <v>-113008.655</v>
      </c>
    </row>
    <row r="37" spans="1:45" ht="15" thickBot="1" x14ac:dyDescent="0.4">
      <c r="A37" s="175" t="s">
        <v>280</v>
      </c>
      <c r="B37" s="172"/>
      <c r="C37" s="357">
        <f>C33+C34</f>
        <v>-64689.153049999899</v>
      </c>
      <c r="D37" s="357">
        <f t="shared" ref="D37:AB37" si="16">D33+D34</f>
        <v>-162577.36187999987</v>
      </c>
      <c r="E37" s="357">
        <f t="shared" si="16"/>
        <v>68597.067729999311</v>
      </c>
      <c r="F37" s="357">
        <f t="shared" si="16"/>
        <v>-82176.418519998973</v>
      </c>
      <c r="G37" s="357">
        <f t="shared" si="16"/>
        <v>-21821.35982999955</v>
      </c>
      <c r="H37" s="357">
        <f t="shared" si="16"/>
        <v>-205191.39468000084</v>
      </c>
      <c r="I37" s="357">
        <f t="shared" si="16"/>
        <v>178915.65936000086</v>
      </c>
      <c r="J37" s="357">
        <f t="shared" si="16"/>
        <v>240723.53548999911</v>
      </c>
      <c r="K37" s="357">
        <f t="shared" si="16"/>
        <v>36752.47377000023</v>
      </c>
      <c r="L37" s="357">
        <f t="shared" si="16"/>
        <v>596680.40941999992</v>
      </c>
      <c r="M37" s="357">
        <f t="shared" si="16"/>
        <v>30805.458730000537</v>
      </c>
      <c r="N37" s="357">
        <f t="shared" si="16"/>
        <v>-67010.713010008723</v>
      </c>
      <c r="O37" s="357">
        <f t="shared" si="16"/>
        <v>63052.834650000026</v>
      </c>
      <c r="P37" s="357">
        <f t="shared" si="16"/>
        <v>115668.54343000104</v>
      </c>
      <c r="Q37" s="357">
        <f t="shared" si="16"/>
        <v>104205.87613999959</v>
      </c>
      <c r="R37" s="357">
        <f t="shared" si="16"/>
        <v>138551.50308000023</v>
      </c>
      <c r="S37" s="357">
        <f t="shared" si="16"/>
        <v>20381.490369999454</v>
      </c>
      <c r="T37" s="357">
        <f t="shared" si="16"/>
        <v>57147.947209999416</v>
      </c>
      <c r="U37" s="357">
        <f t="shared" si="16"/>
        <v>211607.60000000003</v>
      </c>
      <c r="V37" s="357">
        <f t="shared" si="16"/>
        <v>233592.19999999995</v>
      </c>
      <c r="W37" s="357">
        <f t="shared" si="16"/>
        <v>-256.5000000000291</v>
      </c>
      <c r="X37" s="357">
        <f t="shared" si="16"/>
        <v>64355.554759999213</v>
      </c>
      <c r="Y37" s="357">
        <f t="shared" si="16"/>
        <v>163404.58658999993</v>
      </c>
      <c r="Z37" s="357">
        <f t="shared" si="16"/>
        <v>335038.78431999998</v>
      </c>
      <c r="AA37" s="357">
        <f t="shared" si="16"/>
        <v>69540.366629999538</v>
      </c>
      <c r="AB37" s="357">
        <f t="shared" si="16"/>
        <v>64549.461570000771</v>
      </c>
      <c r="AC37" s="363">
        <v>222962</v>
      </c>
      <c r="AD37" s="363">
        <v>237643</v>
      </c>
      <c r="AE37" s="363">
        <v>196093.99999999997</v>
      </c>
      <c r="AF37" s="363">
        <v>121146</v>
      </c>
      <c r="AG37" s="363">
        <v>354597</v>
      </c>
      <c r="AH37" s="363">
        <v>292961</v>
      </c>
      <c r="AI37" s="363">
        <v>171186.17342000001</v>
      </c>
      <c r="AJ37" s="363">
        <v>260574</v>
      </c>
      <c r="AK37" s="363">
        <v>477412</v>
      </c>
      <c r="AL37" s="363">
        <v>389991</v>
      </c>
      <c r="AM37" s="363">
        <v>381933</v>
      </c>
      <c r="AN37" s="357">
        <f t="shared" ref="AN37:AS37" si="17">AN33+AN34</f>
        <v>475519</v>
      </c>
      <c r="AO37" s="357">
        <f t="shared" si="17"/>
        <v>400527</v>
      </c>
      <c r="AP37" s="357">
        <f t="shared" si="17"/>
        <v>477727</v>
      </c>
      <c r="AQ37" s="357">
        <f t="shared" si="17"/>
        <v>473245</v>
      </c>
      <c r="AR37" s="357">
        <f t="shared" si="17"/>
        <v>629461</v>
      </c>
      <c r="AS37" s="357">
        <f t="shared" si="17"/>
        <v>847993.44899999991</v>
      </c>
    </row>
    <row r="38" spans="1:45" x14ac:dyDescent="0.35">
      <c r="A38" s="172" t="s">
        <v>281</v>
      </c>
      <c r="B38" s="172"/>
      <c r="C38" s="358">
        <v>0</v>
      </c>
      <c r="D38" s="358"/>
      <c r="E38" s="358">
        <v>0</v>
      </c>
      <c r="F38" s="358">
        <v>0</v>
      </c>
      <c r="G38" s="358">
        <v>-2368.6992300000002</v>
      </c>
      <c r="H38" s="358">
        <v>2368.6992300000002</v>
      </c>
      <c r="I38" s="358">
        <v>8453.0959000000003</v>
      </c>
      <c r="J38" s="358">
        <v>120655.71192999999</v>
      </c>
      <c r="K38" s="358">
        <v>-840.97987000000001</v>
      </c>
      <c r="L38" s="358">
        <v>-45170.367539999999</v>
      </c>
      <c r="M38" s="358">
        <v>-4586.2858300000044</v>
      </c>
      <c r="N38" s="358">
        <v>18639.783690000004</v>
      </c>
      <c r="O38" s="358">
        <v>-401.23434999999995</v>
      </c>
      <c r="P38" s="358">
        <v>-7489.9948999999997</v>
      </c>
      <c r="Q38" s="358">
        <v>-7649.7729399999998</v>
      </c>
      <c r="R38" s="358">
        <v>-15927.796619999999</v>
      </c>
      <c r="S38" s="358">
        <v>-6915.6922699999996</v>
      </c>
      <c r="T38" s="358">
        <v>5175.1941299999999</v>
      </c>
      <c r="U38" s="358">
        <v>-13970</v>
      </c>
      <c r="V38" s="358">
        <v>-12637</v>
      </c>
      <c r="W38" s="358">
        <v>-2082</v>
      </c>
      <c r="X38" s="358">
        <v>-1990.2077099999999</v>
      </c>
      <c r="Y38" s="358">
        <v>-6400.3147500000014</v>
      </c>
      <c r="Z38" s="358">
        <v>-23624.027519999996</v>
      </c>
      <c r="AA38" s="358">
        <v>-3550.38049</v>
      </c>
      <c r="AB38" s="358">
        <v>366.06508000000008</v>
      </c>
      <c r="AC38" s="359">
        <v>-12761</v>
      </c>
      <c r="AD38" s="359">
        <v>-24388</v>
      </c>
      <c r="AE38" s="359">
        <v>0</v>
      </c>
      <c r="AF38" s="359">
        <v>-7056</v>
      </c>
      <c r="AG38" s="359">
        <v>-17729</v>
      </c>
      <c r="AH38" s="359">
        <v>-23122</v>
      </c>
      <c r="AI38" s="359">
        <v>-3501</v>
      </c>
      <c r="AJ38" s="359">
        <v>-26980</v>
      </c>
      <c r="AK38" s="359">
        <v>-35693</v>
      </c>
      <c r="AL38" s="359">
        <v>-25218</v>
      </c>
      <c r="AM38" s="359">
        <v>-44200</v>
      </c>
      <c r="AN38" s="359">
        <v>-31207</v>
      </c>
      <c r="AO38" s="359">
        <v>-53882</v>
      </c>
      <c r="AP38" s="359">
        <v>-41045</v>
      </c>
      <c r="AQ38" s="359">
        <v>-49808</v>
      </c>
      <c r="AR38" s="359">
        <v>-60623</v>
      </c>
      <c r="AS38" s="372">
        <v>-50975.510999999999</v>
      </c>
    </row>
    <row r="39" spans="1:45" x14ac:dyDescent="0.35">
      <c r="A39" s="172" t="s">
        <v>282</v>
      </c>
      <c r="B39" s="172"/>
      <c r="C39" s="358">
        <v>6772.5655399999996</v>
      </c>
      <c r="D39" s="358">
        <v>1585</v>
      </c>
      <c r="E39" s="358">
        <v>31004.325810000002</v>
      </c>
      <c r="F39" s="358">
        <v>-28610.376230000002</v>
      </c>
      <c r="G39" s="358">
        <v>-6573.7200800000001</v>
      </c>
      <c r="H39" s="358">
        <v>6573.7200800000001</v>
      </c>
      <c r="I39" s="358">
        <v>23480.821949999998</v>
      </c>
      <c r="J39" s="358">
        <v>1.0000003385357559E-5</v>
      </c>
      <c r="K39" s="358">
        <v>-3251.1284000000001</v>
      </c>
      <c r="L39" s="358">
        <v>-135571.96908000001</v>
      </c>
      <c r="M39" s="358">
        <v>-7926.6251699999957</v>
      </c>
      <c r="N39" s="358">
        <v>49676.47073999999</v>
      </c>
      <c r="O39" s="358">
        <v>0</v>
      </c>
      <c r="P39" s="358">
        <v>-18070.494869999999</v>
      </c>
      <c r="Q39" s="358">
        <v>-21711.0412</v>
      </c>
      <c r="R39" s="358">
        <v>-18712.8979</v>
      </c>
      <c r="S39" s="358">
        <v>-1043.0300199999999</v>
      </c>
      <c r="T39" s="358">
        <v>-5611.1566300000004</v>
      </c>
      <c r="U39" s="358">
        <v>-34359</v>
      </c>
      <c r="V39" s="358">
        <v>-33403</v>
      </c>
      <c r="W39" s="358">
        <v>0</v>
      </c>
      <c r="X39" s="358">
        <v>-5922.8987400000005</v>
      </c>
      <c r="Y39" s="358">
        <v>-23197.512220000001</v>
      </c>
      <c r="Z39" s="358">
        <v>-50829.198999999993</v>
      </c>
      <c r="AA39" s="358">
        <v>-9604.3759200000004</v>
      </c>
      <c r="AB39" s="358">
        <v>1021.3029499999992</v>
      </c>
      <c r="AC39" s="359">
        <v>-34541</v>
      </c>
      <c r="AD39" s="359">
        <v>-33859</v>
      </c>
      <c r="AE39" s="359">
        <v>0</v>
      </c>
      <c r="AF39" s="359">
        <v>-21199</v>
      </c>
      <c r="AG39" s="359">
        <v>-50790</v>
      </c>
      <c r="AH39" s="359">
        <v>-44588</v>
      </c>
      <c r="AI39" s="359">
        <v>-11816</v>
      </c>
      <c r="AJ39" s="359">
        <v>-76625</v>
      </c>
      <c r="AK39" s="359">
        <v>-71250</v>
      </c>
      <c r="AL39" s="359">
        <v>-66779</v>
      </c>
      <c r="AM39" s="359">
        <v>-125980</v>
      </c>
      <c r="AN39" s="359">
        <v>-88322</v>
      </c>
      <c r="AO39" s="359">
        <v>-154552</v>
      </c>
      <c r="AP39" s="359">
        <v>-120454</v>
      </c>
      <c r="AQ39" s="359">
        <v>-142848</v>
      </c>
      <c r="AR39" s="359">
        <v>-171995</v>
      </c>
      <c r="AS39" s="372">
        <v>-146469.64499999999</v>
      </c>
    </row>
    <row r="40" spans="1:45" x14ac:dyDescent="0.35">
      <c r="A40" s="172" t="s">
        <v>283</v>
      </c>
      <c r="B40" s="172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>
        <v>-19505.681390000002</v>
      </c>
      <c r="P40" s="358">
        <v>-11999.99532</v>
      </c>
      <c r="Q40" s="358">
        <v>-2779.4774300000017</v>
      </c>
      <c r="R40" s="358">
        <v>-4169.8937899999992</v>
      </c>
      <c r="S40" s="358">
        <v>3396.93075</v>
      </c>
      <c r="T40" s="358">
        <v>-22388.194909999998</v>
      </c>
      <c r="U40" s="358">
        <v>-6812</v>
      </c>
      <c r="V40" s="358">
        <v>144953</v>
      </c>
      <c r="W40" s="358">
        <v>2771</v>
      </c>
      <c r="X40" s="358">
        <v>-13169.650889999999</v>
      </c>
      <c r="Y40" s="358">
        <v>-23223.496520000001</v>
      </c>
      <c r="Z40" s="358">
        <v>-39433.468829999998</v>
      </c>
      <c r="AA40" s="358">
        <v>-14841.012540000002</v>
      </c>
      <c r="AB40" s="358">
        <v>-13672.65011</v>
      </c>
      <c r="AC40" s="359">
        <v>-37569</v>
      </c>
      <c r="AD40" s="359">
        <v>-18851</v>
      </c>
      <c r="AE40" s="359">
        <v>-86871</v>
      </c>
      <c r="AF40" s="359">
        <v>-14533</v>
      </c>
      <c r="AG40" s="359">
        <v>-56153</v>
      </c>
      <c r="AH40" s="359">
        <v>-30270</v>
      </c>
      <c r="AI40" s="359">
        <v>-43664</v>
      </c>
      <c r="AJ40" s="359">
        <v>14473</v>
      </c>
      <c r="AK40" s="359">
        <v>-54620</v>
      </c>
      <c r="AL40" s="359">
        <v>-40953</v>
      </c>
      <c r="AM40" s="359">
        <v>40426</v>
      </c>
      <c r="AN40" s="359">
        <v>-42358</v>
      </c>
      <c r="AO40" s="359">
        <v>69869</v>
      </c>
      <c r="AP40" s="359">
        <v>19363</v>
      </c>
      <c r="AQ40" s="359">
        <v>34554</v>
      </c>
      <c r="AR40" s="359">
        <v>19211</v>
      </c>
      <c r="AS40" s="372">
        <v>-90904.820999999996</v>
      </c>
    </row>
    <row r="41" spans="1:45" ht="15" thickBot="1" x14ac:dyDescent="0.4">
      <c r="A41" s="172" t="s">
        <v>284</v>
      </c>
      <c r="B41" s="172"/>
      <c r="C41" s="358"/>
      <c r="D41" s="358"/>
      <c r="E41" s="358"/>
      <c r="F41" s="358"/>
      <c r="G41" s="358"/>
      <c r="H41" s="358"/>
      <c r="I41" s="358"/>
      <c r="J41" s="358"/>
      <c r="K41" s="358">
        <v>3251.1284000000001</v>
      </c>
      <c r="L41" s="358">
        <v>35188.16072</v>
      </c>
      <c r="M41" s="358">
        <v>-16466.377429999997</v>
      </c>
      <c r="N41" s="358">
        <v>30055.364169999997</v>
      </c>
      <c r="O41" s="358">
        <v>0</v>
      </c>
      <c r="P41" s="358">
        <v>18070.314869999998</v>
      </c>
      <c r="Q41" s="358">
        <v>21711.0412</v>
      </c>
      <c r="R41" s="358">
        <v>18712.8979</v>
      </c>
      <c r="S41" s="358">
        <v>1043.0300199999999</v>
      </c>
      <c r="T41" s="358">
        <v>5611.1566300000004</v>
      </c>
      <c r="U41" s="358">
        <v>34359</v>
      </c>
      <c r="V41" s="358">
        <v>33403</v>
      </c>
      <c r="W41" s="358">
        <v>0</v>
      </c>
      <c r="X41" s="358">
        <v>5922.8987400000005</v>
      </c>
      <c r="Y41" s="358">
        <v>23197.512220000001</v>
      </c>
      <c r="Z41" s="358">
        <v>50829.198999999993</v>
      </c>
      <c r="AA41" s="358">
        <v>9604.3759100000007</v>
      </c>
      <c r="AB41" s="358">
        <v>-4056.5884500000002</v>
      </c>
      <c r="AC41" s="359">
        <v>41260</v>
      </c>
      <c r="AD41" s="359">
        <v>29862</v>
      </c>
      <c r="AE41" s="359">
        <v>0</v>
      </c>
      <c r="AF41" s="359">
        <v>20826</v>
      </c>
      <c r="AG41" s="359">
        <v>50790</v>
      </c>
      <c r="AH41" s="359">
        <v>34441</v>
      </c>
      <c r="AI41" s="359">
        <v>11816</v>
      </c>
      <c r="AJ41" s="359">
        <v>38281</v>
      </c>
      <c r="AK41" s="359">
        <v>60831</v>
      </c>
      <c r="AL41" s="359">
        <v>58082</v>
      </c>
      <c r="AM41" s="359">
        <v>62623</v>
      </c>
      <c r="AN41" s="359">
        <v>71620</v>
      </c>
      <c r="AO41" s="359">
        <v>106154</v>
      </c>
      <c r="AP41" s="359">
        <v>152636</v>
      </c>
      <c r="AQ41" s="359">
        <v>109829</v>
      </c>
      <c r="AR41" s="359">
        <v>103202</v>
      </c>
      <c r="AS41" s="372">
        <v>118010.174</v>
      </c>
    </row>
    <row r="42" spans="1:45" ht="15" thickBot="1" x14ac:dyDescent="0.4">
      <c r="A42" s="175" t="s">
        <v>285</v>
      </c>
      <c r="B42" s="172"/>
      <c r="C42" s="378">
        <f>SUM(C37:C41)</f>
        <v>-57916.587509999896</v>
      </c>
      <c r="D42" s="378">
        <f t="shared" ref="D42:Z42" si="18">SUM(D37:D41)</f>
        <v>-160992.36187999987</v>
      </c>
      <c r="E42" s="378">
        <f t="shared" si="18"/>
        <v>99601.393539999321</v>
      </c>
      <c r="F42" s="378">
        <f t="shared" si="18"/>
        <v>-110786.79474999898</v>
      </c>
      <c r="G42" s="378">
        <f t="shared" si="18"/>
        <v>-30763.779139999548</v>
      </c>
      <c r="H42" s="378">
        <f t="shared" si="18"/>
        <v>-196248.97537000084</v>
      </c>
      <c r="I42" s="378">
        <f t="shared" si="18"/>
        <v>210849.57721000089</v>
      </c>
      <c r="J42" s="378">
        <f t="shared" si="18"/>
        <v>361379.24742999912</v>
      </c>
      <c r="K42" s="378">
        <f t="shared" si="18"/>
        <v>35911.493900000227</v>
      </c>
      <c r="L42" s="378">
        <f t="shared" si="18"/>
        <v>451126.23351999989</v>
      </c>
      <c r="M42" s="378">
        <f t="shared" si="18"/>
        <v>1826.17030000054</v>
      </c>
      <c r="N42" s="378">
        <f t="shared" si="18"/>
        <v>31360.905589991267</v>
      </c>
      <c r="O42" s="378">
        <f t="shared" si="18"/>
        <v>43145.918910000022</v>
      </c>
      <c r="P42" s="378">
        <f t="shared" si="18"/>
        <v>96178.373210001038</v>
      </c>
      <c r="Q42" s="378">
        <f t="shared" si="18"/>
        <v>93776.625769999606</v>
      </c>
      <c r="R42" s="378">
        <f t="shared" si="18"/>
        <v>118453.81267000023</v>
      </c>
      <c r="S42" s="378">
        <f t="shared" si="18"/>
        <v>16862.728849999454</v>
      </c>
      <c r="T42" s="378">
        <f t="shared" si="18"/>
        <v>39934.946429999422</v>
      </c>
      <c r="U42" s="378">
        <f t="shared" si="18"/>
        <v>190825.60000000003</v>
      </c>
      <c r="V42" s="378">
        <f t="shared" si="18"/>
        <v>365908.19999999995</v>
      </c>
      <c r="W42" s="378">
        <f t="shared" si="18"/>
        <v>432.4999999999709</v>
      </c>
      <c r="X42" s="378">
        <f t="shared" si="18"/>
        <v>49195.696159999206</v>
      </c>
      <c r="Y42" s="378">
        <f t="shared" si="18"/>
        <v>133780.77531999993</v>
      </c>
      <c r="Z42" s="378">
        <f t="shared" si="18"/>
        <v>271981.28796999995</v>
      </c>
      <c r="AA42" s="378">
        <f>SUM(AA37:AA41)+1</f>
        <v>51149.973589999543</v>
      </c>
      <c r="AB42" s="378">
        <f>SUM(AB37:AB41)+1</f>
        <v>48208.591040000763</v>
      </c>
      <c r="AC42" s="379">
        <v>179351</v>
      </c>
      <c r="AD42" s="379">
        <v>190407</v>
      </c>
      <c r="AE42" s="379">
        <v>109222.99999999997</v>
      </c>
      <c r="AF42" s="379">
        <v>99184</v>
      </c>
      <c r="AG42" s="379">
        <v>280715</v>
      </c>
      <c r="AH42" s="379">
        <v>229422</v>
      </c>
      <c r="AI42" s="379">
        <v>124021.17342000001</v>
      </c>
      <c r="AJ42" s="379">
        <v>209723</v>
      </c>
      <c r="AK42" s="379">
        <v>376680</v>
      </c>
      <c r="AL42" s="379">
        <v>315123</v>
      </c>
      <c r="AM42" s="379">
        <v>314802</v>
      </c>
      <c r="AN42" s="380">
        <f t="shared" ref="AN42:AS42" si="19">SUM(AN37:AN41)</f>
        <v>385252</v>
      </c>
      <c r="AO42" s="380">
        <f t="shared" si="19"/>
        <v>368116</v>
      </c>
      <c r="AP42" s="380">
        <f t="shared" si="19"/>
        <v>488227</v>
      </c>
      <c r="AQ42" s="380">
        <f t="shared" si="19"/>
        <v>424972</v>
      </c>
      <c r="AR42" s="380">
        <f t="shared" si="19"/>
        <v>519256</v>
      </c>
      <c r="AS42" s="380">
        <f t="shared" si="19"/>
        <v>677653.64599999983</v>
      </c>
    </row>
    <row r="43" spans="1:45" x14ac:dyDescent="0.35"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5A509-AF1C-4C3B-B082-C88C3F4835AD}">
  <sheetPr>
    <tabColor theme="9" tint="0.79998168889431442"/>
  </sheetPr>
  <dimension ref="B6:AT174"/>
  <sheetViews>
    <sheetView zoomScale="70" zoomScaleNormal="70" workbookViewId="0">
      <pane xSplit="2" ySplit="6" topLeftCell="AJ7" activePane="bottomRight" state="frozen"/>
      <selection activeCell="G18" sqref="G18"/>
      <selection pane="topRight" activeCell="G18" sqref="G18"/>
      <selection pane="bottomLeft" activeCell="G18" sqref="G18"/>
      <selection pane="bottomRight" activeCell="AT24" sqref="AT24"/>
    </sheetView>
  </sheetViews>
  <sheetFormatPr defaultColWidth="9.1796875" defaultRowHeight="13" outlineLevelCol="1" x14ac:dyDescent="0.3"/>
  <cols>
    <col min="1" max="1" width="9.1796875" style="61"/>
    <col min="2" max="2" width="33.26953125" style="61" customWidth="1"/>
    <col min="3" max="26" width="13.54296875" style="61" hidden="1" customWidth="1" outlineLevel="1"/>
    <col min="27" max="27" width="13" style="61" customWidth="1" collapsed="1"/>
    <col min="28" max="46" width="13" style="61" customWidth="1"/>
    <col min="47" max="16384" width="9.1796875" style="61"/>
  </cols>
  <sheetData>
    <row r="6" spans="2:46" x14ac:dyDescent="0.3">
      <c r="B6" s="578" t="s">
        <v>404</v>
      </c>
      <c r="C6" s="579" t="s">
        <v>289</v>
      </c>
      <c r="D6" s="579" t="s">
        <v>290</v>
      </c>
      <c r="E6" s="579" t="s">
        <v>291</v>
      </c>
      <c r="F6" s="579" t="s">
        <v>292</v>
      </c>
      <c r="G6" s="579" t="s">
        <v>293</v>
      </c>
      <c r="H6" s="579" t="s">
        <v>294</v>
      </c>
      <c r="I6" s="579" t="s">
        <v>295</v>
      </c>
      <c r="J6" s="579" t="s">
        <v>296</v>
      </c>
      <c r="K6" s="579" t="s">
        <v>297</v>
      </c>
      <c r="L6" s="579" t="s">
        <v>298</v>
      </c>
      <c r="M6" s="579" t="s">
        <v>299</v>
      </c>
      <c r="N6" s="579" t="s">
        <v>300</v>
      </c>
      <c r="O6" s="579" t="s">
        <v>301</v>
      </c>
      <c r="P6" s="579" t="s">
        <v>302</v>
      </c>
      <c r="Q6" s="579" t="s">
        <v>303</v>
      </c>
      <c r="R6" s="579" t="s">
        <v>304</v>
      </c>
      <c r="S6" s="579" t="s">
        <v>57</v>
      </c>
      <c r="T6" s="579" t="s">
        <v>58</v>
      </c>
      <c r="U6" s="579" t="s">
        <v>59</v>
      </c>
      <c r="V6" s="579" t="s">
        <v>60</v>
      </c>
      <c r="W6" s="579" t="s">
        <v>61</v>
      </c>
      <c r="X6" s="579" t="s">
        <v>62</v>
      </c>
      <c r="Y6" s="579" t="s">
        <v>63</v>
      </c>
      <c r="Z6" s="579" t="s">
        <v>64</v>
      </c>
      <c r="AA6" s="579" t="s">
        <v>65</v>
      </c>
      <c r="AB6" s="579" t="s">
        <v>66</v>
      </c>
      <c r="AC6" s="579" t="s">
        <v>67</v>
      </c>
      <c r="AD6" s="579" t="s">
        <v>68</v>
      </c>
      <c r="AE6" s="579" t="s">
        <v>69</v>
      </c>
      <c r="AF6" s="579" t="s">
        <v>70</v>
      </c>
      <c r="AG6" s="579" t="s">
        <v>71</v>
      </c>
      <c r="AH6" s="579" t="s">
        <v>72</v>
      </c>
      <c r="AI6" s="579" t="s">
        <v>73</v>
      </c>
      <c r="AJ6" s="579" t="s">
        <v>74</v>
      </c>
      <c r="AK6" s="579" t="s">
        <v>75</v>
      </c>
      <c r="AL6" s="579" t="s">
        <v>76</v>
      </c>
      <c r="AM6" s="579" t="s">
        <v>77</v>
      </c>
      <c r="AN6" s="579" t="s">
        <v>78</v>
      </c>
      <c r="AO6" s="579" t="s">
        <v>79</v>
      </c>
      <c r="AP6" s="579" t="s">
        <v>80</v>
      </c>
      <c r="AQ6" s="579" t="s">
        <v>81</v>
      </c>
      <c r="AR6" s="579" t="s">
        <v>82</v>
      </c>
      <c r="AS6" s="579" t="s">
        <v>83</v>
      </c>
      <c r="AT6" s="579" t="s">
        <v>685</v>
      </c>
    </row>
    <row r="7" spans="2:46" x14ac:dyDescent="0.3">
      <c r="B7" s="247"/>
    </row>
    <row r="8" spans="2:46" x14ac:dyDescent="0.3">
      <c r="B8" s="248" t="s">
        <v>1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</row>
    <row r="9" spans="2:46" x14ac:dyDescent="0.3">
      <c r="B9" s="250" t="s">
        <v>405</v>
      </c>
      <c r="C9" s="251">
        <v>607543.29500000004</v>
      </c>
      <c r="D9" s="251">
        <v>606984.12699999998</v>
      </c>
      <c r="E9" s="251">
        <v>658859.50300000003</v>
      </c>
      <c r="F9" s="251">
        <v>690102.83199999994</v>
      </c>
      <c r="G9" s="251">
        <v>662831.09</v>
      </c>
      <c r="H9" s="251">
        <v>662570.18999999994</v>
      </c>
      <c r="I9" s="251">
        <v>717307.56300000008</v>
      </c>
      <c r="J9" s="251">
        <v>742978.06400000001</v>
      </c>
      <c r="K9" s="251">
        <v>703966.73</v>
      </c>
      <c r="L9" s="251">
        <v>694777.46799999988</v>
      </c>
      <c r="M9" s="251">
        <v>732751.85800000001</v>
      </c>
      <c r="N9" s="251">
        <v>785132.17700000003</v>
      </c>
      <c r="O9" s="251">
        <v>746781.42299999995</v>
      </c>
      <c r="P9" s="251">
        <v>772005.44</v>
      </c>
      <c r="Q9" s="251">
        <v>784761.41599999997</v>
      </c>
      <c r="R9" s="251">
        <v>820911.929</v>
      </c>
      <c r="S9" s="251">
        <v>723731.495</v>
      </c>
      <c r="T9" s="251">
        <v>762367.25</v>
      </c>
      <c r="U9" s="251">
        <v>814850.78700000001</v>
      </c>
      <c r="V9" s="251">
        <v>884891.43200000003</v>
      </c>
      <c r="W9" s="251">
        <v>763221.72827200009</v>
      </c>
      <c r="X9" s="251">
        <v>782169.86400000006</v>
      </c>
      <c r="Y9" s="251">
        <v>811630.65800000005</v>
      </c>
      <c r="Z9" s="251">
        <v>847781.83499999996</v>
      </c>
      <c r="AA9" s="251">
        <v>779013.49300000002</v>
      </c>
      <c r="AB9" s="251">
        <v>796100.826</v>
      </c>
      <c r="AC9" s="251">
        <v>831986.03099999996</v>
      </c>
      <c r="AD9" s="251">
        <v>889662.44400000013</v>
      </c>
      <c r="AE9" s="251">
        <v>813686.66700000002</v>
      </c>
      <c r="AF9" s="251">
        <v>855730.35100000002</v>
      </c>
      <c r="AG9" s="251">
        <v>907028.05900000001</v>
      </c>
      <c r="AH9" s="251">
        <v>965421.18400000001</v>
      </c>
      <c r="AI9" s="251">
        <v>867983.93800000008</v>
      </c>
      <c r="AJ9" s="251">
        <v>869452.88599999994</v>
      </c>
      <c r="AK9" s="251">
        <v>943825.74800000014</v>
      </c>
      <c r="AL9" s="251">
        <v>989953.71500000008</v>
      </c>
      <c r="AM9" s="251">
        <v>890891.11199999996</v>
      </c>
      <c r="AN9" s="251">
        <v>941432.75399999996</v>
      </c>
      <c r="AO9" s="251">
        <v>1031101.493</v>
      </c>
      <c r="AP9" s="251">
        <v>1082228.1940000001</v>
      </c>
      <c r="AQ9" s="251">
        <v>977104.47499999998</v>
      </c>
      <c r="AR9" s="251">
        <v>1040069.8550000001</v>
      </c>
      <c r="AS9" s="251">
        <v>1132723.2579999999</v>
      </c>
      <c r="AT9" s="251">
        <v>1222357.6510000001</v>
      </c>
    </row>
    <row r="10" spans="2:46" x14ac:dyDescent="0.3">
      <c r="B10" s="250" t="s">
        <v>406</v>
      </c>
      <c r="C10" s="251">
        <v>101372.674</v>
      </c>
      <c r="D10" s="251">
        <v>100380.28300000001</v>
      </c>
      <c r="E10" s="251">
        <v>105016.13499999998</v>
      </c>
      <c r="F10" s="251">
        <v>116534.65399999998</v>
      </c>
      <c r="G10" s="251">
        <v>95501.573999999993</v>
      </c>
      <c r="H10" s="251">
        <v>95625.063999999984</v>
      </c>
      <c r="I10" s="251">
        <v>107377.495</v>
      </c>
      <c r="J10" s="251">
        <v>112343.99500000001</v>
      </c>
      <c r="K10" s="251">
        <v>99550.017999999996</v>
      </c>
      <c r="L10" s="251">
        <v>102238.78</v>
      </c>
      <c r="M10" s="251">
        <v>112394.69200000001</v>
      </c>
      <c r="N10" s="251">
        <v>105282.515</v>
      </c>
      <c r="O10" s="251">
        <v>87859.570999999996</v>
      </c>
      <c r="P10" s="251">
        <v>87625.519</v>
      </c>
      <c r="Q10" s="251">
        <v>90440.456999999995</v>
      </c>
      <c r="R10" s="251">
        <v>83066.921000000002</v>
      </c>
      <c r="S10" s="251">
        <v>63228.222999999998</v>
      </c>
      <c r="T10" s="251">
        <v>65377.695999999996</v>
      </c>
      <c r="U10" s="251">
        <v>74835.442999999999</v>
      </c>
      <c r="V10" s="251">
        <v>74057.275000000009</v>
      </c>
      <c r="W10" s="251">
        <v>62084.974316000036</v>
      </c>
      <c r="X10" s="251">
        <v>60031.263999999996</v>
      </c>
      <c r="Y10" s="251">
        <v>65120.673999999999</v>
      </c>
      <c r="Z10" s="251">
        <v>61217.474000000002</v>
      </c>
      <c r="AA10" s="251">
        <v>50585.607000000004</v>
      </c>
      <c r="AB10" s="251">
        <v>50712.538</v>
      </c>
      <c r="AC10" s="251">
        <v>60604.148999999998</v>
      </c>
      <c r="AD10" s="251">
        <v>61108.157999999996</v>
      </c>
      <c r="AE10" s="251">
        <v>48199.710999999996</v>
      </c>
      <c r="AF10" s="251">
        <v>48384.679000000004</v>
      </c>
      <c r="AG10" s="251">
        <v>57951.412999999993</v>
      </c>
      <c r="AH10" s="251">
        <v>54633.188999999998</v>
      </c>
      <c r="AI10" s="251">
        <v>45464.512000000002</v>
      </c>
      <c r="AJ10" s="251">
        <v>45979.839</v>
      </c>
      <c r="AK10" s="251">
        <v>49104.254000000001</v>
      </c>
      <c r="AL10" s="251">
        <v>46326.891000000003</v>
      </c>
      <c r="AM10" s="251">
        <v>39046.843000000001</v>
      </c>
      <c r="AN10" s="251">
        <v>40094.076999999997</v>
      </c>
      <c r="AO10" s="251">
        <v>45109.434000000001</v>
      </c>
      <c r="AP10" s="251">
        <v>39911.262000000002</v>
      </c>
      <c r="AQ10" s="251">
        <v>41008.735000000001</v>
      </c>
      <c r="AR10" s="251">
        <v>39454.315000000002</v>
      </c>
      <c r="AS10" s="251">
        <v>39935.197</v>
      </c>
      <c r="AT10" s="251">
        <v>38979.281999999999</v>
      </c>
    </row>
    <row r="11" spans="2:46" x14ac:dyDescent="0.3">
      <c r="B11" s="250" t="s">
        <v>407</v>
      </c>
      <c r="C11" s="251">
        <v>245171.71299999999</v>
      </c>
      <c r="D11" s="251">
        <v>249540.23500000002</v>
      </c>
      <c r="E11" s="251">
        <v>268394.26400000002</v>
      </c>
      <c r="F11" s="251">
        <v>282729.598</v>
      </c>
      <c r="G11" s="251">
        <v>269664.80099999998</v>
      </c>
      <c r="H11" s="251">
        <v>278926.864</v>
      </c>
      <c r="I11" s="251">
        <v>301471.23100000003</v>
      </c>
      <c r="J11" s="251">
        <v>313496.80200000003</v>
      </c>
      <c r="K11" s="251">
        <v>287678.00399999996</v>
      </c>
      <c r="L11" s="251">
        <v>294601.94500000001</v>
      </c>
      <c r="M11" s="251">
        <v>311510.26399999997</v>
      </c>
      <c r="N11" s="251">
        <v>322109.772</v>
      </c>
      <c r="O11" s="251">
        <v>295430.76199999999</v>
      </c>
      <c r="P11" s="251">
        <v>307277.40700000001</v>
      </c>
      <c r="Q11" s="251">
        <v>305833.098</v>
      </c>
      <c r="R11" s="251">
        <v>305811.08600000001</v>
      </c>
      <c r="S11" s="251">
        <v>262689.43300000002</v>
      </c>
      <c r="T11" s="251">
        <v>271482.81400000001</v>
      </c>
      <c r="U11" s="251">
        <v>277507.70500000002</v>
      </c>
      <c r="V11" s="251">
        <v>290914.28100000002</v>
      </c>
      <c r="W11" s="251">
        <v>245820.80853600014</v>
      </c>
      <c r="X11" s="251">
        <v>255914.16599999997</v>
      </c>
      <c r="Y11" s="251">
        <v>263178.98100000003</v>
      </c>
      <c r="Z11" s="251">
        <v>269804.82</v>
      </c>
      <c r="AA11" s="251">
        <v>237938.01</v>
      </c>
      <c r="AB11" s="251">
        <v>245327.85399999999</v>
      </c>
      <c r="AC11" s="251">
        <v>255887.04600000003</v>
      </c>
      <c r="AD11" s="251">
        <v>269111.473</v>
      </c>
      <c r="AE11" s="251">
        <v>228595.946</v>
      </c>
      <c r="AF11" s="251">
        <v>192030.81</v>
      </c>
      <c r="AG11" s="251">
        <v>227928.77299999999</v>
      </c>
      <c r="AH11" s="251">
        <v>239069.74699999997</v>
      </c>
      <c r="AI11" s="251">
        <v>210482.533</v>
      </c>
      <c r="AJ11" s="251">
        <v>209747.36799999999</v>
      </c>
      <c r="AK11" s="251">
        <v>224223.25099999999</v>
      </c>
      <c r="AL11" s="251">
        <v>228079.27500000002</v>
      </c>
      <c r="AM11" s="251">
        <v>186590.234</v>
      </c>
      <c r="AN11" s="251">
        <v>165002.70600000001</v>
      </c>
      <c r="AO11" s="251">
        <v>169848.86199999999</v>
      </c>
      <c r="AP11" s="251">
        <v>167498.44699999999</v>
      </c>
      <c r="AQ11" s="251">
        <v>149823.46299999999</v>
      </c>
      <c r="AR11" s="251">
        <v>155796.242</v>
      </c>
      <c r="AS11" s="251">
        <v>164163.54300000001</v>
      </c>
      <c r="AT11" s="251">
        <v>171359.89446000001</v>
      </c>
    </row>
    <row r="12" spans="2:46" ht="13.5" thickBot="1" x14ac:dyDescent="0.35">
      <c r="B12" s="250" t="s">
        <v>270</v>
      </c>
      <c r="C12" s="251">
        <v>267634.61600000004</v>
      </c>
      <c r="D12" s="251">
        <v>278493.55699999997</v>
      </c>
      <c r="E12" s="251">
        <v>304343.48899999994</v>
      </c>
      <c r="F12" s="251">
        <v>322827.74200000003</v>
      </c>
      <c r="G12" s="251">
        <v>278522.55099999998</v>
      </c>
      <c r="H12" s="251">
        <v>289769.69</v>
      </c>
      <c r="I12" s="251">
        <v>333204.92700000003</v>
      </c>
      <c r="J12" s="251">
        <v>329583.30700000003</v>
      </c>
      <c r="K12" s="251">
        <v>292744.99700000003</v>
      </c>
      <c r="L12" s="251">
        <v>305396.94000000006</v>
      </c>
      <c r="M12" s="251">
        <v>334819.12299999996</v>
      </c>
      <c r="N12" s="251">
        <v>357917.41600000003</v>
      </c>
      <c r="O12" s="251">
        <v>304520.23699999996</v>
      </c>
      <c r="P12" s="251">
        <v>333027.40399999998</v>
      </c>
      <c r="Q12" s="251">
        <v>344915.87300000002</v>
      </c>
      <c r="R12" s="251">
        <v>351972.09699999995</v>
      </c>
      <c r="S12" s="251">
        <v>291173.72799999994</v>
      </c>
      <c r="T12" s="251">
        <v>313805.34599999996</v>
      </c>
      <c r="U12" s="251">
        <v>347592.56599999999</v>
      </c>
      <c r="V12" s="251">
        <v>367483.09600000002</v>
      </c>
      <c r="W12" s="251">
        <v>304196.161761</v>
      </c>
      <c r="X12" s="251">
        <v>334981.43300000002</v>
      </c>
      <c r="Y12" s="251">
        <v>357726.94600000005</v>
      </c>
      <c r="Z12" s="251">
        <v>362057.26299999998</v>
      </c>
      <c r="AA12" s="251">
        <v>310769.49099999998</v>
      </c>
      <c r="AB12" s="251">
        <v>339153.84899999999</v>
      </c>
      <c r="AC12" s="251">
        <v>363291.26899999997</v>
      </c>
      <c r="AD12" s="251">
        <v>388700.67800000001</v>
      </c>
      <c r="AE12" s="251">
        <v>320339.76799999998</v>
      </c>
      <c r="AF12" s="251">
        <v>325100.26899999997</v>
      </c>
      <c r="AG12" s="251">
        <v>355401.88900000002</v>
      </c>
      <c r="AH12" s="251">
        <v>361731.07600000006</v>
      </c>
      <c r="AI12" s="251">
        <v>325472.217</v>
      </c>
      <c r="AJ12" s="251">
        <v>343536.69300000003</v>
      </c>
      <c r="AK12" s="251">
        <v>374384.27400000003</v>
      </c>
      <c r="AL12" s="251">
        <v>378112.05500000005</v>
      </c>
      <c r="AM12" s="251">
        <v>334814.73700000002</v>
      </c>
      <c r="AN12" s="251">
        <v>364198.27299999999</v>
      </c>
      <c r="AO12" s="251">
        <v>395376.91399999999</v>
      </c>
      <c r="AP12" s="251">
        <v>405652.40599999996</v>
      </c>
      <c r="AQ12" s="251">
        <v>340486.87100000004</v>
      </c>
      <c r="AR12" s="251">
        <v>384406.48699999996</v>
      </c>
      <c r="AS12" s="251">
        <v>411184.16399999999</v>
      </c>
      <c r="AT12" s="251">
        <v>433292.75600000005</v>
      </c>
    </row>
    <row r="13" spans="2:46" ht="13.5" thickBot="1" x14ac:dyDescent="0.35">
      <c r="B13" s="252" t="s">
        <v>408</v>
      </c>
      <c r="C13" s="253">
        <f>SUM(C9:C12)</f>
        <v>1221722.298</v>
      </c>
      <c r="D13" s="253">
        <f t="shared" ref="D13:AP13" si="0">SUM(D9:D12)</f>
        <v>1235398.202</v>
      </c>
      <c r="E13" s="253">
        <f t="shared" si="0"/>
        <v>1336613.3909999998</v>
      </c>
      <c r="F13" s="253">
        <f t="shared" si="0"/>
        <v>1412194.8259999999</v>
      </c>
      <c r="G13" s="253">
        <f t="shared" si="0"/>
        <v>1306520.0159999998</v>
      </c>
      <c r="H13" s="253">
        <f t="shared" si="0"/>
        <v>1326891.808</v>
      </c>
      <c r="I13" s="253">
        <f t="shared" si="0"/>
        <v>1459361.216</v>
      </c>
      <c r="J13" s="253">
        <f t="shared" si="0"/>
        <v>1498402.1680000001</v>
      </c>
      <c r="K13" s="253">
        <f t="shared" si="0"/>
        <v>1383939.7489999998</v>
      </c>
      <c r="L13" s="253">
        <f t="shared" si="0"/>
        <v>1397015.1329999999</v>
      </c>
      <c r="M13" s="253">
        <f t="shared" si="0"/>
        <v>1491475.9369999999</v>
      </c>
      <c r="N13" s="253">
        <f t="shared" si="0"/>
        <v>1570441.8800000001</v>
      </c>
      <c r="O13" s="253">
        <f t="shared" si="0"/>
        <v>1434591.993</v>
      </c>
      <c r="P13" s="253">
        <f t="shared" si="0"/>
        <v>1499935.77</v>
      </c>
      <c r="Q13" s="253">
        <f t="shared" si="0"/>
        <v>1525950.844</v>
      </c>
      <c r="R13" s="253">
        <f t="shared" si="0"/>
        <v>1561762.0329999998</v>
      </c>
      <c r="S13" s="253">
        <f t="shared" si="0"/>
        <v>1340822.879</v>
      </c>
      <c r="T13" s="253">
        <f t="shared" si="0"/>
        <v>1413033.1059999999</v>
      </c>
      <c r="U13" s="253">
        <f t="shared" si="0"/>
        <v>1514786.5010000002</v>
      </c>
      <c r="V13" s="253">
        <f t="shared" si="0"/>
        <v>1617346.0840000003</v>
      </c>
      <c r="W13" s="253">
        <f t="shared" si="0"/>
        <v>1375323.6728850002</v>
      </c>
      <c r="X13" s="253">
        <f t="shared" si="0"/>
        <v>1433096.727</v>
      </c>
      <c r="Y13" s="253">
        <f t="shared" si="0"/>
        <v>1497657.2590000001</v>
      </c>
      <c r="Z13" s="253">
        <f t="shared" si="0"/>
        <v>1540861.392</v>
      </c>
      <c r="AA13" s="253">
        <f t="shared" si="0"/>
        <v>1378306.6009999998</v>
      </c>
      <c r="AB13" s="253">
        <f t="shared" si="0"/>
        <v>1431295.067</v>
      </c>
      <c r="AC13" s="253">
        <f t="shared" si="0"/>
        <v>1511768.4950000001</v>
      </c>
      <c r="AD13" s="253">
        <f t="shared" si="0"/>
        <v>1608582.7530000003</v>
      </c>
      <c r="AE13" s="253">
        <f t="shared" si="0"/>
        <v>1410822.0919999999</v>
      </c>
      <c r="AF13" s="253">
        <f t="shared" si="0"/>
        <v>1421246.1090000002</v>
      </c>
      <c r="AG13" s="253">
        <f t="shared" si="0"/>
        <v>1548310.1339999998</v>
      </c>
      <c r="AH13" s="253">
        <f t="shared" si="0"/>
        <v>1620855.1960000002</v>
      </c>
      <c r="AI13" s="253">
        <f t="shared" si="0"/>
        <v>1449403.2</v>
      </c>
      <c r="AJ13" s="253">
        <f t="shared" si="0"/>
        <v>1468716.7859999998</v>
      </c>
      <c r="AK13" s="253">
        <f t="shared" si="0"/>
        <v>1591537.527</v>
      </c>
      <c r="AL13" s="253">
        <f t="shared" si="0"/>
        <v>1642471.9360000002</v>
      </c>
      <c r="AM13" s="253">
        <f t="shared" si="0"/>
        <v>1451342.926</v>
      </c>
      <c r="AN13" s="253">
        <f t="shared" si="0"/>
        <v>1510727.81</v>
      </c>
      <c r="AO13" s="253">
        <f t="shared" si="0"/>
        <v>1641436.7029999997</v>
      </c>
      <c r="AP13" s="253">
        <f t="shared" si="0"/>
        <v>1695290.3090000001</v>
      </c>
      <c r="AQ13" s="253">
        <f>SUM(AQ9:AQ12)</f>
        <v>1508423.544</v>
      </c>
      <c r="AR13" s="253">
        <f>SUM(AR9:AR12)</f>
        <v>1619726.8990000002</v>
      </c>
      <c r="AS13" s="253">
        <f>SUM(AS9:AS12)</f>
        <v>1748006.162</v>
      </c>
      <c r="AT13" s="253">
        <f>SUM(AT9:AT12)</f>
        <v>1865989.5834600001</v>
      </c>
    </row>
    <row r="14" spans="2:46" x14ac:dyDescent="0.3">
      <c r="B14" s="250" t="s">
        <v>406</v>
      </c>
      <c r="C14" s="251">
        <v>12739.200541366572</v>
      </c>
      <c r="D14" s="251">
        <v>12528.748999999998</v>
      </c>
      <c r="E14" s="251">
        <v>22721.741682290653</v>
      </c>
      <c r="F14" s="251">
        <v>26153.716099999998</v>
      </c>
      <c r="G14" s="251">
        <v>25061.608</v>
      </c>
      <c r="H14" s="251">
        <v>23404.530130476072</v>
      </c>
      <c r="I14" s="251">
        <v>25953.133320000001</v>
      </c>
      <c r="J14" s="251">
        <v>27549.262299999991</v>
      </c>
      <c r="K14" s="251">
        <v>24758.562440000005</v>
      </c>
      <c r="L14" s="251">
        <v>23624.156499999997</v>
      </c>
      <c r="M14" s="251">
        <v>23755.030276094047</v>
      </c>
      <c r="N14" s="251">
        <v>24286.133609001761</v>
      </c>
      <c r="O14" s="251">
        <v>22291.013279999992</v>
      </c>
      <c r="P14" s="251">
        <v>23462.976459999998</v>
      </c>
      <c r="Q14" s="251">
        <v>28979.146700000005</v>
      </c>
      <c r="R14" s="251">
        <v>37789.533943498376</v>
      </c>
      <c r="S14" s="251">
        <v>38032.335980000011</v>
      </c>
      <c r="T14" s="251">
        <v>37893.330447273067</v>
      </c>
      <c r="U14" s="251">
        <v>43019.610014731472</v>
      </c>
      <c r="V14" s="251">
        <v>43841.551810331293</v>
      </c>
      <c r="W14" s="251">
        <v>31937.104404920789</v>
      </c>
      <c r="X14" s="251">
        <v>41250.130333000008</v>
      </c>
      <c r="Y14" s="251">
        <v>48078.151971512576</v>
      </c>
      <c r="Z14" s="251">
        <v>46683.072000000007</v>
      </c>
      <c r="AA14" s="251">
        <v>46084.102999999988</v>
      </c>
      <c r="AB14" s="251">
        <v>55571.126337000002</v>
      </c>
      <c r="AC14" s="251">
        <v>66552.511276999998</v>
      </c>
      <c r="AD14" s="251">
        <v>71408.137946999981</v>
      </c>
      <c r="AE14" s="251">
        <v>69284.249476333323</v>
      </c>
      <c r="AF14" s="251">
        <v>72266.08066953333</v>
      </c>
      <c r="AG14" s="251">
        <v>82424.711314675835</v>
      </c>
      <c r="AH14" s="251">
        <v>86441.512033833336</v>
      </c>
      <c r="AI14" s="251">
        <v>85153.256815999994</v>
      </c>
      <c r="AJ14" s="251">
        <v>91762.555989800007</v>
      </c>
      <c r="AK14" s="251">
        <v>93191.578407426976</v>
      </c>
      <c r="AL14" s="251">
        <v>96835.444523633327</v>
      </c>
      <c r="AM14" s="251">
        <v>87844.998649200003</v>
      </c>
      <c r="AN14" s="251">
        <v>97482.879768266663</v>
      </c>
      <c r="AO14" s="251">
        <v>102109.51664419996</v>
      </c>
      <c r="AP14" s="251">
        <v>105676.25720846001</v>
      </c>
      <c r="AQ14" s="251">
        <v>94857.542961116647</v>
      </c>
      <c r="AR14" s="251">
        <v>103313.29259438331</v>
      </c>
      <c r="AS14" s="251">
        <v>109428.82919268339</v>
      </c>
      <c r="AT14" s="251">
        <v>113166.9351402</v>
      </c>
    </row>
    <row r="15" spans="2:46" x14ac:dyDescent="0.3">
      <c r="B15" s="250" t="s">
        <v>407</v>
      </c>
      <c r="C15" s="251">
        <v>3534.7393869999987</v>
      </c>
      <c r="D15" s="251">
        <v>3995.8306799999996</v>
      </c>
      <c r="E15" s="251">
        <v>4392.2239610000015</v>
      </c>
      <c r="F15" s="251">
        <v>4496.8588800000016</v>
      </c>
      <c r="G15" s="251">
        <v>4138.0904140000002</v>
      </c>
      <c r="H15" s="251">
        <v>4553.8252799999973</v>
      </c>
      <c r="I15" s="251">
        <v>5499.1014000000032</v>
      </c>
      <c r="J15" s="251">
        <v>5442.3053199999995</v>
      </c>
      <c r="K15" s="251">
        <v>5252.4864939999979</v>
      </c>
      <c r="L15" s="251">
        <v>5107.5622399999984</v>
      </c>
      <c r="M15" s="251">
        <v>5127.1990800000003</v>
      </c>
      <c r="N15" s="251">
        <v>5421.8977600000007</v>
      </c>
      <c r="O15" s="251">
        <v>5011.6203599999999</v>
      </c>
      <c r="P15" s="251">
        <v>5207.0505980000016</v>
      </c>
      <c r="Q15" s="251">
        <v>7763.6518940000005</v>
      </c>
      <c r="R15" s="251">
        <v>15756.124116333332</v>
      </c>
      <c r="S15" s="251">
        <v>20628.133959999999</v>
      </c>
      <c r="T15" s="251">
        <v>31973.890817557669</v>
      </c>
      <c r="U15" s="251">
        <v>41829.03099534761</v>
      </c>
      <c r="V15" s="251">
        <v>45622.836098920983</v>
      </c>
      <c r="W15" s="251">
        <v>47238.056772655531</v>
      </c>
      <c r="X15" s="251">
        <v>47797.534937999997</v>
      </c>
      <c r="Y15" s="251">
        <v>51319.79795399998</v>
      </c>
      <c r="Z15" s="251">
        <v>53561.54720422221</v>
      </c>
      <c r="AA15" s="251">
        <v>52439.422148041667</v>
      </c>
      <c r="AB15" s="251">
        <v>57672.464023000022</v>
      </c>
      <c r="AC15" s="251">
        <v>60828.82365999998</v>
      </c>
      <c r="AD15" s="251">
        <v>63365.454789666677</v>
      </c>
      <c r="AE15" s="251">
        <v>62339.785675000006</v>
      </c>
      <c r="AF15" s="251">
        <v>53420.04619430365</v>
      </c>
      <c r="AG15" s="251">
        <v>70264.629704895182</v>
      </c>
      <c r="AH15" s="251">
        <v>79201.90017683334</v>
      </c>
      <c r="AI15" s="251">
        <v>75880.943271666678</v>
      </c>
      <c r="AJ15" s="251">
        <v>82238.070432227221</v>
      </c>
      <c r="AK15" s="251">
        <v>90757.024867666871</v>
      </c>
      <c r="AL15" s="251">
        <v>93666.043789972522</v>
      </c>
      <c r="AM15" s="251">
        <v>88632.422969316656</v>
      </c>
      <c r="AN15" s="251">
        <v>93751.595944433342</v>
      </c>
      <c r="AO15" s="251">
        <v>101837.93462996249</v>
      </c>
      <c r="AP15" s="251">
        <v>102298.76667288999</v>
      </c>
      <c r="AQ15" s="251">
        <v>104273.64430208752</v>
      </c>
      <c r="AR15" s="251">
        <v>113783.66003547503</v>
      </c>
      <c r="AS15" s="251">
        <v>120852.0488210567</v>
      </c>
      <c r="AT15" s="251">
        <v>125011.0205346</v>
      </c>
    </row>
    <row r="16" spans="2:46" ht="13.5" thickBot="1" x14ac:dyDescent="0.35">
      <c r="B16" s="250" t="s">
        <v>270</v>
      </c>
      <c r="C16" s="251">
        <v>0</v>
      </c>
      <c r="D16" s="251">
        <v>0</v>
      </c>
      <c r="E16" s="251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  <c r="M16" s="251">
        <v>0</v>
      </c>
      <c r="N16" s="251">
        <v>0</v>
      </c>
      <c r="O16" s="251">
        <v>0</v>
      </c>
      <c r="P16" s="251">
        <v>506.47911999999997</v>
      </c>
      <c r="Q16" s="251">
        <v>502.71507999999949</v>
      </c>
      <c r="R16" s="251">
        <v>595.88623999999959</v>
      </c>
      <c r="S16" s="251">
        <v>624.50568499999997</v>
      </c>
      <c r="T16" s="251">
        <v>849.12566799999991</v>
      </c>
      <c r="U16" s="251">
        <v>2523.0283329999993</v>
      </c>
      <c r="V16" s="251">
        <v>1273.1733329999988</v>
      </c>
      <c r="W16" s="251">
        <v>740.61765900000046</v>
      </c>
      <c r="X16" s="251">
        <v>887.83200000000011</v>
      </c>
      <c r="Y16" s="251">
        <v>2563.9749999999995</v>
      </c>
      <c r="Z16" s="251">
        <v>1284.9959999999992</v>
      </c>
      <c r="AA16" s="251">
        <v>731.39200000000017</v>
      </c>
      <c r="AB16" s="251">
        <v>729.63299999999958</v>
      </c>
      <c r="AC16" s="251">
        <v>2565.3280000000009</v>
      </c>
      <c r="AD16" s="251">
        <v>2092.773999999999</v>
      </c>
      <c r="AE16" s="251">
        <v>779.81899999999996</v>
      </c>
      <c r="AF16" s="251">
        <v>814.21000000000049</v>
      </c>
      <c r="AG16" s="251">
        <v>2183.4780000000001</v>
      </c>
      <c r="AH16" s="251">
        <v>2421.657999999999</v>
      </c>
      <c r="AI16" s="251">
        <v>1802.9893339999996</v>
      </c>
      <c r="AJ16" s="251">
        <v>852.26248000000021</v>
      </c>
      <c r="AK16" s="251">
        <v>2813.1089999999995</v>
      </c>
      <c r="AL16" s="251">
        <v>3062.2074390000002</v>
      </c>
      <c r="AM16" s="251">
        <v>2034.118056666666</v>
      </c>
      <c r="AN16" s="251">
        <v>1454.3003009999998</v>
      </c>
      <c r="AO16" s="251">
        <v>3159.731345000002</v>
      </c>
      <c r="AP16" s="251">
        <v>3811.3290737500001</v>
      </c>
      <c r="AQ16" s="251">
        <v>3819.524780350001</v>
      </c>
      <c r="AR16" s="251">
        <v>2174.6653545166673</v>
      </c>
      <c r="AS16" s="251">
        <v>3873.3426638000001</v>
      </c>
      <c r="AT16" s="251">
        <v>5369.3629652250092</v>
      </c>
    </row>
    <row r="17" spans="2:46" ht="13.5" thickBot="1" x14ac:dyDescent="0.35">
      <c r="B17" s="252" t="s">
        <v>409</v>
      </c>
      <c r="C17" s="253">
        <f>SUM(C14:C16)</f>
        <v>16273.93992836657</v>
      </c>
      <c r="D17" s="253">
        <f t="shared" ref="D17:Y17" si="1">SUM(D14:D16)</f>
        <v>16524.579679999999</v>
      </c>
      <c r="E17" s="253">
        <f t="shared" si="1"/>
        <v>27113.965643290656</v>
      </c>
      <c r="F17" s="253">
        <f t="shared" si="1"/>
        <v>30650.574979999998</v>
      </c>
      <c r="G17" s="253">
        <f t="shared" si="1"/>
        <v>29199.698413999999</v>
      </c>
      <c r="H17" s="253">
        <f t="shared" si="1"/>
        <v>27958.35541047607</v>
      </c>
      <c r="I17" s="253">
        <f t="shared" si="1"/>
        <v>31452.234720000004</v>
      </c>
      <c r="J17" s="253">
        <f t="shared" si="1"/>
        <v>32991.567619999987</v>
      </c>
      <c r="K17" s="253">
        <f t="shared" si="1"/>
        <v>30011.048934000002</v>
      </c>
      <c r="L17" s="253">
        <f t="shared" si="1"/>
        <v>28731.718739999997</v>
      </c>
      <c r="M17" s="253">
        <f t="shared" si="1"/>
        <v>28882.229356094045</v>
      </c>
      <c r="N17" s="253">
        <f t="shared" si="1"/>
        <v>29708.031369001761</v>
      </c>
      <c r="O17" s="253">
        <f t="shared" si="1"/>
        <v>27302.633639999993</v>
      </c>
      <c r="P17" s="253">
        <f t="shared" si="1"/>
        <v>29176.506178</v>
      </c>
      <c r="Q17" s="253">
        <f t="shared" si="1"/>
        <v>37245.513674000009</v>
      </c>
      <c r="R17" s="253">
        <f t="shared" si="1"/>
        <v>54141.544299831708</v>
      </c>
      <c r="S17" s="253">
        <f t="shared" si="1"/>
        <v>59284.975625000006</v>
      </c>
      <c r="T17" s="253">
        <f t="shared" si="1"/>
        <v>70716.346932830726</v>
      </c>
      <c r="U17" s="253">
        <f t="shared" si="1"/>
        <v>87371.669343079076</v>
      </c>
      <c r="V17" s="253">
        <f t="shared" si="1"/>
        <v>90737.561242252283</v>
      </c>
      <c r="W17" s="253">
        <f t="shared" si="1"/>
        <v>79915.778836576312</v>
      </c>
      <c r="X17" s="253">
        <f t="shared" si="1"/>
        <v>89935.497271</v>
      </c>
      <c r="Y17" s="253">
        <f t="shared" si="1"/>
        <v>101961.92492551256</v>
      </c>
      <c r="Z17" s="253">
        <f>SUM(Z14:Z16)</f>
        <v>101529.61520422222</v>
      </c>
      <c r="AA17" s="253">
        <f>SUM(AA14:AA16)</f>
        <v>99254.91714804167</v>
      </c>
      <c r="AB17" s="253">
        <f t="shared" ref="AB17:AT17" si="2">SUM(AB14:AB16)</f>
        <v>113973.22336000003</v>
      </c>
      <c r="AC17" s="253">
        <f t="shared" si="2"/>
        <v>129946.66293699997</v>
      </c>
      <c r="AD17" s="253">
        <f t="shared" si="2"/>
        <v>136866.36673666668</v>
      </c>
      <c r="AE17" s="253">
        <f t="shared" si="2"/>
        <v>132403.8541513333</v>
      </c>
      <c r="AF17" s="253">
        <f t="shared" si="2"/>
        <v>126500.33686383699</v>
      </c>
      <c r="AG17" s="253">
        <f t="shared" si="2"/>
        <v>154872.819019571</v>
      </c>
      <c r="AH17" s="253">
        <f t="shared" si="2"/>
        <v>168065.07021066669</v>
      </c>
      <c r="AI17" s="253">
        <f t="shared" si="2"/>
        <v>162837.1894216667</v>
      </c>
      <c r="AJ17" s="253">
        <f t="shared" si="2"/>
        <v>174852.88890202725</v>
      </c>
      <c r="AK17" s="253">
        <f t="shared" si="2"/>
        <v>186761.71227509383</v>
      </c>
      <c r="AL17" s="253">
        <f t="shared" si="2"/>
        <v>193563.69575260582</v>
      </c>
      <c r="AM17" s="253">
        <f t="shared" si="2"/>
        <v>178511.53967518333</v>
      </c>
      <c r="AN17" s="253">
        <f t="shared" si="2"/>
        <v>192688.7760137</v>
      </c>
      <c r="AO17" s="253">
        <f t="shared" si="2"/>
        <v>207107.18261916246</v>
      </c>
      <c r="AP17" s="253">
        <f t="shared" si="2"/>
        <v>211786.35295510001</v>
      </c>
      <c r="AQ17" s="253">
        <f t="shared" si="2"/>
        <v>202950.71204355417</v>
      </c>
      <c r="AR17" s="253">
        <f t="shared" si="2"/>
        <v>219271.61798437501</v>
      </c>
      <c r="AS17" s="253">
        <f t="shared" si="2"/>
        <v>234154.22067754008</v>
      </c>
      <c r="AT17" s="253">
        <f t="shared" si="2"/>
        <v>243547.31864002501</v>
      </c>
    </row>
    <row r="18" spans="2:46" ht="13.5" thickBot="1" x14ac:dyDescent="0.35">
      <c r="B18" s="254" t="s">
        <v>410</v>
      </c>
      <c r="C18" s="255">
        <v>114.05799999999999</v>
      </c>
      <c r="D18" s="255">
        <v>116.54899999999999</v>
      </c>
      <c r="E18" s="255">
        <v>133.244</v>
      </c>
      <c r="F18" s="255">
        <v>131.40199999999999</v>
      </c>
      <c r="G18" s="255">
        <v>111.21970999999999</v>
      </c>
      <c r="H18" s="255">
        <v>120.422</v>
      </c>
      <c r="I18" s="255">
        <v>139.31900000000002</v>
      </c>
      <c r="J18" s="255">
        <v>136.40100000000001</v>
      </c>
      <c r="K18" s="255">
        <v>121.655</v>
      </c>
      <c r="L18" s="255">
        <v>132.41200000000001</v>
      </c>
      <c r="M18" s="255">
        <v>144.20000000000002</v>
      </c>
      <c r="N18" s="255">
        <v>158.22500000000002</v>
      </c>
      <c r="O18" s="255">
        <v>356.48955599999999</v>
      </c>
      <c r="P18" s="255">
        <v>386.45155899999997</v>
      </c>
      <c r="Q18" s="255">
        <v>1838.397666999999</v>
      </c>
      <c r="R18" s="255">
        <v>2691.0476666666677</v>
      </c>
      <c r="S18" s="255">
        <v>2454.0745663333337</v>
      </c>
      <c r="T18" s="255">
        <v>2722.0059999999994</v>
      </c>
      <c r="U18" s="255">
        <v>2343.048086666668</v>
      </c>
      <c r="V18" s="255">
        <v>1607.775408666666</v>
      </c>
      <c r="W18" s="255">
        <v>1715.7239705802467</v>
      </c>
      <c r="X18" s="255">
        <v>1853.4546610660482</v>
      </c>
      <c r="Y18" s="255">
        <v>1264.3880833333335</v>
      </c>
      <c r="Z18" s="255">
        <v>1411.5641190555555</v>
      </c>
      <c r="AA18" s="256">
        <v>1329.1043958333339</v>
      </c>
      <c r="AB18" s="256">
        <v>3154.0878725358425</v>
      </c>
      <c r="AC18" s="256">
        <v>2436.8126108333322</v>
      </c>
      <c r="AD18" s="256">
        <v>1733.6872708333331</v>
      </c>
      <c r="AE18" s="256">
        <v>2475.8066706666668</v>
      </c>
      <c r="AF18" s="256">
        <v>1429.8231666666666</v>
      </c>
      <c r="AG18" s="256">
        <v>1504.3503333333333</v>
      </c>
      <c r="AH18" s="256">
        <v>1188.2680186666666</v>
      </c>
      <c r="AI18" s="256">
        <v>1826.0140833333339</v>
      </c>
      <c r="AJ18" s="256">
        <v>1393.1388333333332</v>
      </c>
      <c r="AK18" s="256">
        <v>1809.472500000001</v>
      </c>
      <c r="AL18" s="256">
        <v>1942.6497733292185</v>
      </c>
      <c r="AM18" s="256">
        <v>2223.7395833333335</v>
      </c>
      <c r="AN18" s="256">
        <v>1483.9377870370372</v>
      </c>
      <c r="AO18" s="256">
        <v>2092.5880000000002</v>
      </c>
      <c r="AP18" s="256">
        <v>1191.0473299999999</v>
      </c>
      <c r="AQ18" s="256">
        <v>2402.6529895833337</v>
      </c>
      <c r="AR18" s="256">
        <v>1999.8315564516126</v>
      </c>
      <c r="AS18" s="256">
        <v>5183.9675460322596</v>
      </c>
      <c r="AT18" s="256">
        <v>2297.2633919322602</v>
      </c>
    </row>
    <row r="19" spans="2:46" ht="13.5" thickBot="1" x14ac:dyDescent="0.35">
      <c r="B19" s="254" t="s">
        <v>411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6">
        <v>1856.0370000000112</v>
      </c>
      <c r="AB19" s="256">
        <v>2708.0230000000447</v>
      </c>
      <c r="AC19" s="256">
        <v>4319.1579999998212</v>
      </c>
      <c r="AD19" s="256">
        <v>7567.0400000000373</v>
      </c>
      <c r="AE19" s="256">
        <v>8922.5840000000317</v>
      </c>
      <c r="AF19" s="256">
        <v>11896.237000000197</v>
      </c>
      <c r="AG19" s="256">
        <v>18966.802000000142</v>
      </c>
      <c r="AH19" s="256">
        <v>24017.540000000037</v>
      </c>
      <c r="AI19" s="256">
        <v>23765.382000000216</v>
      </c>
      <c r="AJ19" s="256">
        <v>29045.375</v>
      </c>
      <c r="AK19" s="256">
        <v>39058.817999999737</v>
      </c>
      <c r="AL19" s="256">
        <v>46944.956000000238</v>
      </c>
      <c r="AM19" s="256">
        <v>44545.87099999981</v>
      </c>
      <c r="AN19" s="256">
        <v>55771.213000000222</v>
      </c>
      <c r="AO19" s="256">
        <v>71437.419000000227</v>
      </c>
      <c r="AP19" s="256">
        <v>83257.29434473766</v>
      </c>
      <c r="AQ19" s="256">
        <v>82169.038000000175</v>
      </c>
      <c r="AR19" s="256">
        <v>99822.43899999978</v>
      </c>
      <c r="AS19" s="256">
        <v>118834.47500000009</v>
      </c>
      <c r="AT19" s="256">
        <v>131189.92099999986</v>
      </c>
    </row>
    <row r="20" spans="2:46" ht="13.5" thickBot="1" x14ac:dyDescent="0.35">
      <c r="B20" s="257" t="s">
        <v>412</v>
      </c>
      <c r="C20" s="258">
        <f t="shared" ref="C20:AS20" si="3">SUM(C13,C17:C19)</f>
        <v>1238110.2959283665</v>
      </c>
      <c r="D20" s="258">
        <f t="shared" si="3"/>
        <v>1252039.3306800001</v>
      </c>
      <c r="E20" s="258">
        <f t="shared" si="3"/>
        <v>1363860.6006432904</v>
      </c>
      <c r="F20" s="258">
        <f t="shared" si="3"/>
        <v>1442976.8029799999</v>
      </c>
      <c r="G20" s="258">
        <f t="shared" si="3"/>
        <v>1335830.9341239999</v>
      </c>
      <c r="H20" s="258">
        <f t="shared" si="3"/>
        <v>1354970.585410476</v>
      </c>
      <c r="I20" s="258">
        <f t="shared" si="3"/>
        <v>1490952.76972</v>
      </c>
      <c r="J20" s="258">
        <f t="shared" si="3"/>
        <v>1531530.13662</v>
      </c>
      <c r="K20" s="258">
        <f t="shared" si="3"/>
        <v>1414072.4529339999</v>
      </c>
      <c r="L20" s="258">
        <f t="shared" si="3"/>
        <v>1425879.2637399998</v>
      </c>
      <c r="M20" s="258">
        <f t="shared" si="3"/>
        <v>1520502.3663560939</v>
      </c>
      <c r="N20" s="258">
        <f t="shared" si="3"/>
        <v>1600308.1363690021</v>
      </c>
      <c r="O20" s="258">
        <f t="shared" si="3"/>
        <v>1462251.116196</v>
      </c>
      <c r="P20" s="258">
        <f t="shared" si="3"/>
        <v>1529498.727737</v>
      </c>
      <c r="Q20" s="258">
        <f t="shared" si="3"/>
        <v>1565034.7553410002</v>
      </c>
      <c r="R20" s="258">
        <f t="shared" si="3"/>
        <v>1618594.624966498</v>
      </c>
      <c r="S20" s="258">
        <f t="shared" si="3"/>
        <v>1402561.9291913332</v>
      </c>
      <c r="T20" s="258">
        <f t="shared" si="3"/>
        <v>1486471.4589328307</v>
      </c>
      <c r="U20" s="258">
        <f t="shared" si="3"/>
        <v>1604501.2184297459</v>
      </c>
      <c r="V20" s="258">
        <f t="shared" si="3"/>
        <v>1709691.4206509192</v>
      </c>
      <c r="W20" s="258">
        <f t="shared" si="3"/>
        <v>1456955.1756921567</v>
      </c>
      <c r="X20" s="258">
        <f t="shared" si="3"/>
        <v>1524885.6789320658</v>
      </c>
      <c r="Y20" s="258">
        <f t="shared" si="3"/>
        <v>1600883.5720088461</v>
      </c>
      <c r="Z20" s="258">
        <f t="shared" si="3"/>
        <v>1643802.5713232779</v>
      </c>
      <c r="AA20" s="253">
        <f t="shared" si="3"/>
        <v>1480746.6595438749</v>
      </c>
      <c r="AB20" s="253">
        <f t="shared" si="3"/>
        <v>1551130.401232536</v>
      </c>
      <c r="AC20" s="253">
        <f t="shared" si="3"/>
        <v>1648471.1285478333</v>
      </c>
      <c r="AD20" s="253">
        <f t="shared" si="3"/>
        <v>1754749.8470075005</v>
      </c>
      <c r="AE20" s="253">
        <f t="shared" si="3"/>
        <v>1554624.3368219999</v>
      </c>
      <c r="AF20" s="253">
        <f t="shared" si="3"/>
        <v>1561072.5060305039</v>
      </c>
      <c r="AG20" s="253">
        <f t="shared" si="3"/>
        <v>1723654.1053529042</v>
      </c>
      <c r="AH20" s="253">
        <f t="shared" si="3"/>
        <v>1814126.0742293335</v>
      </c>
      <c r="AI20" s="253">
        <f t="shared" si="3"/>
        <v>1637831.7855050003</v>
      </c>
      <c r="AJ20" s="253">
        <f t="shared" si="3"/>
        <v>1674008.1887353603</v>
      </c>
      <c r="AK20" s="253">
        <f t="shared" si="3"/>
        <v>1819167.5297750935</v>
      </c>
      <c r="AL20" s="253">
        <f t="shared" si="3"/>
        <v>1884923.2375259355</v>
      </c>
      <c r="AM20" s="253">
        <f t="shared" si="3"/>
        <v>1676624.0762585164</v>
      </c>
      <c r="AN20" s="253">
        <f t="shared" si="3"/>
        <v>1760671.7368007374</v>
      </c>
      <c r="AO20" s="253">
        <f t="shared" si="3"/>
        <v>1922073.8926191623</v>
      </c>
      <c r="AP20" s="253">
        <f t="shared" si="3"/>
        <v>1991525.0036298377</v>
      </c>
      <c r="AQ20" s="253">
        <f t="shared" si="3"/>
        <v>1795945.9470331378</v>
      </c>
      <c r="AR20" s="253">
        <f t="shared" si="3"/>
        <v>1940820.7875408265</v>
      </c>
      <c r="AS20" s="253">
        <f t="shared" si="3"/>
        <v>2106178.8252235726</v>
      </c>
      <c r="AT20" s="253">
        <f t="shared" ref="AT20" si="4">SUM(AT13,AT17:AT19)</f>
        <v>2243024.0864919573</v>
      </c>
    </row>
    <row r="21" spans="2:46" ht="13.5" thickBot="1" x14ac:dyDescent="0.35">
      <c r="B21" s="252" t="s">
        <v>413</v>
      </c>
      <c r="C21" s="258">
        <f t="shared" ref="C21:AS21" si="5">C20-C19</f>
        <v>1238110.2959283665</v>
      </c>
      <c r="D21" s="258">
        <f t="shared" si="5"/>
        <v>1252039.3306800001</v>
      </c>
      <c r="E21" s="258">
        <f t="shared" si="5"/>
        <v>1363860.6006432904</v>
      </c>
      <c r="F21" s="258">
        <f t="shared" si="5"/>
        <v>1442976.8029799999</v>
      </c>
      <c r="G21" s="258">
        <f t="shared" si="5"/>
        <v>1335830.9341239999</v>
      </c>
      <c r="H21" s="258">
        <f t="shared" si="5"/>
        <v>1354970.585410476</v>
      </c>
      <c r="I21" s="258">
        <f t="shared" si="5"/>
        <v>1490952.76972</v>
      </c>
      <c r="J21" s="258">
        <f t="shared" si="5"/>
        <v>1531530.13662</v>
      </c>
      <c r="K21" s="258">
        <f t="shared" si="5"/>
        <v>1414072.4529339999</v>
      </c>
      <c r="L21" s="258">
        <f t="shared" si="5"/>
        <v>1425879.2637399998</v>
      </c>
      <c r="M21" s="258">
        <f t="shared" si="5"/>
        <v>1520502.3663560939</v>
      </c>
      <c r="N21" s="258">
        <f t="shared" si="5"/>
        <v>1600308.1363690021</v>
      </c>
      <c r="O21" s="258">
        <f t="shared" si="5"/>
        <v>1462251.116196</v>
      </c>
      <c r="P21" s="258">
        <f t="shared" si="5"/>
        <v>1529498.727737</v>
      </c>
      <c r="Q21" s="258">
        <f t="shared" si="5"/>
        <v>1565034.7553410002</v>
      </c>
      <c r="R21" s="258">
        <f t="shared" si="5"/>
        <v>1618594.624966498</v>
      </c>
      <c r="S21" s="258">
        <f t="shared" si="5"/>
        <v>1402561.9291913332</v>
      </c>
      <c r="T21" s="258">
        <f t="shared" si="5"/>
        <v>1486471.4589328307</v>
      </c>
      <c r="U21" s="258">
        <f t="shared" si="5"/>
        <v>1604501.2184297459</v>
      </c>
      <c r="V21" s="258">
        <f t="shared" si="5"/>
        <v>1709691.4206509192</v>
      </c>
      <c r="W21" s="258">
        <f t="shared" si="5"/>
        <v>1456955.1756921567</v>
      </c>
      <c r="X21" s="258">
        <f t="shared" si="5"/>
        <v>1524885.6789320658</v>
      </c>
      <c r="Y21" s="258">
        <f t="shared" si="5"/>
        <v>1600883.5720088461</v>
      </c>
      <c r="Z21" s="258">
        <f t="shared" si="5"/>
        <v>1643802.5713232779</v>
      </c>
      <c r="AA21" s="253">
        <f t="shared" si="5"/>
        <v>1478890.6225438749</v>
      </c>
      <c r="AB21" s="253">
        <f t="shared" si="5"/>
        <v>1548422.3782325359</v>
      </c>
      <c r="AC21" s="253">
        <f t="shared" si="5"/>
        <v>1644151.9705478335</v>
      </c>
      <c r="AD21" s="253">
        <f t="shared" si="5"/>
        <v>1747182.8070075004</v>
      </c>
      <c r="AE21" s="253">
        <f t="shared" si="5"/>
        <v>1545701.7528219998</v>
      </c>
      <c r="AF21" s="253">
        <f t="shared" si="5"/>
        <v>1549176.2690305037</v>
      </c>
      <c r="AG21" s="253">
        <f t="shared" si="5"/>
        <v>1704687.303352904</v>
      </c>
      <c r="AH21" s="253">
        <f t="shared" si="5"/>
        <v>1790108.5342293335</v>
      </c>
      <c r="AI21" s="253">
        <f t="shared" si="5"/>
        <v>1614066.4035050001</v>
      </c>
      <c r="AJ21" s="253">
        <f t="shared" si="5"/>
        <v>1644962.8137353603</v>
      </c>
      <c r="AK21" s="253">
        <f t="shared" si="5"/>
        <v>1780108.7117750938</v>
      </c>
      <c r="AL21" s="253">
        <f t="shared" si="5"/>
        <v>1837978.2815259353</v>
      </c>
      <c r="AM21" s="253">
        <f t="shared" si="5"/>
        <v>1632078.2052585166</v>
      </c>
      <c r="AN21" s="253">
        <f t="shared" si="5"/>
        <v>1704900.5238007372</v>
      </c>
      <c r="AO21" s="253">
        <f t="shared" si="5"/>
        <v>1850636.4736191621</v>
      </c>
      <c r="AP21" s="253">
        <f t="shared" si="5"/>
        <v>1908267.7092851</v>
      </c>
      <c r="AQ21" s="253">
        <f t="shared" si="5"/>
        <v>1713776.9090331376</v>
      </c>
      <c r="AR21" s="253">
        <f t="shared" si="5"/>
        <v>1840998.3485408267</v>
      </c>
      <c r="AS21" s="253">
        <f t="shared" si="5"/>
        <v>1987344.3502235725</v>
      </c>
      <c r="AT21" s="253">
        <f t="shared" ref="AT21" si="6">AT20-AT19</f>
        <v>2111834.1654919572</v>
      </c>
    </row>
    <row r="22" spans="2:46" x14ac:dyDescent="0.3">
      <c r="B22" s="259" t="s">
        <v>414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</row>
    <row r="23" spans="2:46" x14ac:dyDescent="0.3"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</row>
    <row r="24" spans="2:46" x14ac:dyDescent="0.3">
      <c r="B24" s="248" t="s">
        <v>2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</row>
    <row r="25" spans="2:46" x14ac:dyDescent="0.3">
      <c r="B25" s="250" t="s">
        <v>405</v>
      </c>
      <c r="C25" s="251">
        <v>629910.30299999996</v>
      </c>
      <c r="D25" s="251">
        <v>669517.91399999999</v>
      </c>
      <c r="E25" s="251">
        <v>700202.06</v>
      </c>
      <c r="F25" s="251">
        <v>758350.17500000005</v>
      </c>
      <c r="G25" s="251">
        <v>767350.70500000007</v>
      </c>
      <c r="H25" s="251">
        <v>811032.60400000005</v>
      </c>
      <c r="I25" s="251">
        <v>867151.83600000001</v>
      </c>
      <c r="J25" s="251">
        <v>871810.58400000003</v>
      </c>
      <c r="K25" s="251">
        <v>803746.79799999995</v>
      </c>
      <c r="L25" s="251">
        <v>755640.326</v>
      </c>
      <c r="M25" s="251">
        <v>912657.87599999993</v>
      </c>
      <c r="N25" s="251">
        <v>1084082.247</v>
      </c>
      <c r="O25" s="251">
        <v>834676.69533900009</v>
      </c>
      <c r="P25" s="251">
        <v>893487.96304299892</v>
      </c>
      <c r="Q25" s="251">
        <v>1008262.6152989989</v>
      </c>
      <c r="R25" s="251">
        <v>1009673.3256159989</v>
      </c>
      <c r="S25" s="251">
        <v>830710.906648</v>
      </c>
      <c r="T25" s="251">
        <v>936310.60573199973</v>
      </c>
      <c r="U25" s="251">
        <v>1004580.7237629998</v>
      </c>
      <c r="V25" s="251">
        <v>1038316.8960739976</v>
      </c>
      <c r="W25" s="251">
        <v>873037.96600000001</v>
      </c>
      <c r="X25" s="260">
        <v>926663.54999999993</v>
      </c>
      <c r="Y25" s="260">
        <v>933719.89699999988</v>
      </c>
      <c r="Z25" s="260">
        <v>938090.75899999985</v>
      </c>
      <c r="AA25" s="260">
        <v>794439.09900000005</v>
      </c>
      <c r="AB25" s="260">
        <v>866402.54899999988</v>
      </c>
      <c r="AC25" s="260">
        <v>957126.12400000007</v>
      </c>
      <c r="AD25" s="260">
        <v>993849.40500000003</v>
      </c>
      <c r="AE25" s="260">
        <v>888167.74</v>
      </c>
      <c r="AF25" s="260">
        <v>946861.53199999989</v>
      </c>
      <c r="AG25" s="260">
        <v>1051296.6429999999</v>
      </c>
      <c r="AH25" s="260">
        <v>1015557.4920000001</v>
      </c>
      <c r="AI25" s="260">
        <v>966914.42600000021</v>
      </c>
      <c r="AJ25" s="260">
        <v>1030577.196</v>
      </c>
      <c r="AK25" s="260">
        <v>1087796.2489999998</v>
      </c>
      <c r="AL25" s="260">
        <v>1103240.8119999999</v>
      </c>
      <c r="AM25" s="260">
        <v>997225.31400000001</v>
      </c>
      <c r="AN25" s="260">
        <v>1048732.4759999998</v>
      </c>
      <c r="AO25" s="260">
        <v>1165540.0049999999</v>
      </c>
      <c r="AP25" s="260">
        <v>1170200.176</v>
      </c>
      <c r="AQ25" s="260">
        <v>1061124.7949999999</v>
      </c>
      <c r="AR25" s="260">
        <v>1125939.4479999999</v>
      </c>
      <c r="AS25" s="260">
        <v>1253055.52</v>
      </c>
      <c r="AT25" s="260">
        <v>1347792.1850000001</v>
      </c>
    </row>
    <row r="26" spans="2:46" x14ac:dyDescent="0.3">
      <c r="B26" s="250" t="s">
        <v>406</v>
      </c>
      <c r="C26" s="251">
        <v>286922.59899999999</v>
      </c>
      <c r="D26" s="251">
        <v>302886.59399999998</v>
      </c>
      <c r="E26" s="251">
        <v>339552.34499999997</v>
      </c>
      <c r="F26" s="251">
        <v>364903.326</v>
      </c>
      <c r="G26" s="251">
        <v>316695.42499999999</v>
      </c>
      <c r="H26" s="251">
        <v>326518.31800000003</v>
      </c>
      <c r="I26" s="251">
        <v>346502.80200000003</v>
      </c>
      <c r="J26" s="251">
        <v>354809.65599999996</v>
      </c>
      <c r="K26" s="251">
        <v>327926.54599999997</v>
      </c>
      <c r="L26" s="251">
        <v>307271.29099999997</v>
      </c>
      <c r="M26" s="251">
        <v>342180.17200000002</v>
      </c>
      <c r="N26" s="251">
        <v>343778.38300000003</v>
      </c>
      <c r="O26" s="251">
        <v>262654.69283299998</v>
      </c>
      <c r="P26" s="251">
        <v>209784.30880900001</v>
      </c>
      <c r="Q26" s="251">
        <v>224289.10134300002</v>
      </c>
      <c r="R26" s="251">
        <v>227876.746675</v>
      </c>
      <c r="S26" s="251">
        <v>158663.891722</v>
      </c>
      <c r="T26" s="251">
        <v>153998.15317400004</v>
      </c>
      <c r="U26" s="251">
        <v>156913.74150900001</v>
      </c>
      <c r="V26" s="251">
        <v>160725.94104899999</v>
      </c>
      <c r="W26" s="251">
        <v>136753.95699999999</v>
      </c>
      <c r="X26" s="260">
        <v>129217.86000000002</v>
      </c>
      <c r="Y26" s="260">
        <v>150321.245</v>
      </c>
      <c r="Z26" s="260">
        <v>163115.37</v>
      </c>
      <c r="AA26" s="260">
        <v>121811.67099999999</v>
      </c>
      <c r="AB26" s="260">
        <v>126939.00200000001</v>
      </c>
      <c r="AC26" s="260">
        <v>135548.38800000001</v>
      </c>
      <c r="AD26" s="260">
        <v>136109.796</v>
      </c>
      <c r="AE26" s="260">
        <v>106191.30799999999</v>
      </c>
      <c r="AF26" s="260">
        <v>98829.087</v>
      </c>
      <c r="AG26" s="260">
        <v>134609.774</v>
      </c>
      <c r="AH26" s="260">
        <v>124096.73699999999</v>
      </c>
      <c r="AI26" s="260">
        <v>108993.064</v>
      </c>
      <c r="AJ26" s="260">
        <v>108916.59099999999</v>
      </c>
      <c r="AK26" s="260">
        <v>125691.27799999999</v>
      </c>
      <c r="AL26" s="260">
        <v>124021.55699999999</v>
      </c>
      <c r="AM26" s="260">
        <v>106408.395</v>
      </c>
      <c r="AN26" s="260">
        <v>108966.802</v>
      </c>
      <c r="AO26" s="260">
        <v>110561.30800000002</v>
      </c>
      <c r="AP26" s="260">
        <v>97437.047000000006</v>
      </c>
      <c r="AQ26" s="260">
        <v>83763.953000000009</v>
      </c>
      <c r="AR26" s="260">
        <v>84600.054999999993</v>
      </c>
      <c r="AS26" s="260">
        <v>93231.56</v>
      </c>
      <c r="AT26" s="260">
        <v>91901.748999999996</v>
      </c>
    </row>
    <row r="27" spans="2:46" x14ac:dyDescent="0.3">
      <c r="B27" s="250" t="s">
        <v>407</v>
      </c>
      <c r="C27" s="251">
        <v>371956.34899999999</v>
      </c>
      <c r="D27" s="251">
        <v>402887.35400000005</v>
      </c>
      <c r="E27" s="251">
        <v>418795.71600000001</v>
      </c>
      <c r="F27" s="251">
        <v>445531.75399999996</v>
      </c>
      <c r="G27" s="251">
        <v>398720.37</v>
      </c>
      <c r="H27" s="251">
        <v>421382.397</v>
      </c>
      <c r="I27" s="251">
        <v>445746.13699999999</v>
      </c>
      <c r="J27" s="251">
        <v>464834.21699999995</v>
      </c>
      <c r="K27" s="251">
        <v>420933.82700000005</v>
      </c>
      <c r="L27" s="251">
        <v>403842.842</v>
      </c>
      <c r="M27" s="251">
        <v>466707.94699999999</v>
      </c>
      <c r="N27" s="251">
        <v>508454.02299999999</v>
      </c>
      <c r="O27" s="251">
        <v>402643.29205799999</v>
      </c>
      <c r="P27" s="251">
        <v>426443.97089799982</v>
      </c>
      <c r="Q27" s="251">
        <v>454677.13917400001</v>
      </c>
      <c r="R27" s="251">
        <v>447581.56938300002</v>
      </c>
      <c r="S27" s="251">
        <v>365667.75012600014</v>
      </c>
      <c r="T27" s="251">
        <v>409860.78417100001</v>
      </c>
      <c r="U27" s="251">
        <v>420490.72016600042</v>
      </c>
      <c r="V27" s="251">
        <v>417747.91548199992</v>
      </c>
      <c r="W27" s="251">
        <v>356256.038</v>
      </c>
      <c r="X27" s="260">
        <v>380886.21299999999</v>
      </c>
      <c r="Y27" s="260">
        <v>394629.80099999998</v>
      </c>
      <c r="Z27" s="260">
        <v>394056.55300000001</v>
      </c>
      <c r="AA27" s="260">
        <v>334021.13199999998</v>
      </c>
      <c r="AB27" s="260">
        <v>362204.27999999997</v>
      </c>
      <c r="AC27" s="260">
        <v>380883.28800000006</v>
      </c>
      <c r="AD27" s="260">
        <v>399654.93500000006</v>
      </c>
      <c r="AE27" s="260">
        <v>341256.96100000001</v>
      </c>
      <c r="AF27" s="260">
        <v>295809.10600000003</v>
      </c>
      <c r="AG27" s="260">
        <v>372425.46400000004</v>
      </c>
      <c r="AH27" s="260">
        <v>370449.91200000001</v>
      </c>
      <c r="AI27" s="260">
        <v>322859.53700000001</v>
      </c>
      <c r="AJ27" s="260">
        <v>338906.87300000002</v>
      </c>
      <c r="AK27" s="260">
        <v>367964.75300000003</v>
      </c>
      <c r="AL27" s="260">
        <v>369618.68400000001</v>
      </c>
      <c r="AM27" s="260">
        <v>330360.25300000003</v>
      </c>
      <c r="AN27" s="260">
        <v>344141.70600000001</v>
      </c>
      <c r="AO27" s="260">
        <v>367444.853</v>
      </c>
      <c r="AP27" s="260">
        <v>362445.783</v>
      </c>
      <c r="AQ27" s="260">
        <v>316430.33400000003</v>
      </c>
      <c r="AR27" s="260">
        <v>333802.65100000001</v>
      </c>
      <c r="AS27" s="260">
        <v>357137.87400000001</v>
      </c>
      <c r="AT27" s="260">
        <v>365421.91800000001</v>
      </c>
    </row>
    <row r="28" spans="2:46" ht="13.5" thickBot="1" x14ac:dyDescent="0.35">
      <c r="B28" s="250" t="s">
        <v>270</v>
      </c>
      <c r="C28" s="251">
        <v>283423.11199999996</v>
      </c>
      <c r="D28" s="251">
        <v>307160</v>
      </c>
      <c r="E28" s="251">
        <v>316921.44000000006</v>
      </c>
      <c r="F28" s="251">
        <v>341811.35399999999</v>
      </c>
      <c r="G28" s="251">
        <v>314892.50699999998</v>
      </c>
      <c r="H28" s="251">
        <v>335775.74700000003</v>
      </c>
      <c r="I28" s="251">
        <v>340896.02899999998</v>
      </c>
      <c r="J28" s="251">
        <v>370815.53</v>
      </c>
      <c r="K28" s="251">
        <v>335087.10099999997</v>
      </c>
      <c r="L28" s="251">
        <v>333858.65100000007</v>
      </c>
      <c r="M28" s="251">
        <v>374660.16500000004</v>
      </c>
      <c r="N28" s="251">
        <v>417604.19200000004</v>
      </c>
      <c r="O28" s="251">
        <v>351592.729268</v>
      </c>
      <c r="P28" s="251">
        <v>399773.21829999995</v>
      </c>
      <c r="Q28" s="251">
        <v>417984.87170900009</v>
      </c>
      <c r="R28" s="251">
        <v>425123.09895000001</v>
      </c>
      <c r="S28" s="251">
        <v>348898.050453</v>
      </c>
      <c r="T28" s="251">
        <v>383556.48254899995</v>
      </c>
      <c r="U28" s="251">
        <v>390966.73903399997</v>
      </c>
      <c r="V28" s="251">
        <v>427329.49064899987</v>
      </c>
      <c r="W28" s="251">
        <v>366423.05299999996</v>
      </c>
      <c r="X28" s="260">
        <v>392242.79100000003</v>
      </c>
      <c r="Y28" s="260">
        <v>403028.92800000001</v>
      </c>
      <c r="Z28" s="260">
        <v>422126.01599999995</v>
      </c>
      <c r="AA28" s="260">
        <v>368767.65100000001</v>
      </c>
      <c r="AB28" s="260">
        <v>387866.27600000001</v>
      </c>
      <c r="AC28" s="260">
        <v>406188.23000000004</v>
      </c>
      <c r="AD28" s="260">
        <v>435155.75</v>
      </c>
      <c r="AE28" s="260">
        <v>376117.39399999997</v>
      </c>
      <c r="AF28" s="260">
        <v>353008.79700000002</v>
      </c>
      <c r="AG28" s="260">
        <v>428134.96300000005</v>
      </c>
      <c r="AH28" s="260">
        <v>384249.06600000005</v>
      </c>
      <c r="AI28" s="260">
        <v>338176.01199999999</v>
      </c>
      <c r="AJ28" s="260">
        <v>356591.44799999997</v>
      </c>
      <c r="AK28" s="260">
        <v>380939.58300000004</v>
      </c>
      <c r="AL28" s="260">
        <v>386325.99700000003</v>
      </c>
      <c r="AM28" s="260">
        <v>358545.55600000004</v>
      </c>
      <c r="AN28" s="260">
        <v>379601.18599999999</v>
      </c>
      <c r="AO28" s="260">
        <v>397877.01599999995</v>
      </c>
      <c r="AP28" s="260">
        <v>391434.78700000001</v>
      </c>
      <c r="AQ28" s="260">
        <v>355657.46400000015</v>
      </c>
      <c r="AR28" s="260">
        <v>383132.21100000001</v>
      </c>
      <c r="AS28" s="260">
        <v>400658.58299999998</v>
      </c>
      <c r="AT28" s="260">
        <v>442574.51199999987</v>
      </c>
    </row>
    <row r="29" spans="2:46" ht="13.5" thickBot="1" x14ac:dyDescent="0.35">
      <c r="B29" s="257" t="s">
        <v>408</v>
      </c>
      <c r="C29" s="261">
        <f>SUM(C25:C28)</f>
        <v>1572212.3629999999</v>
      </c>
      <c r="D29" s="261">
        <f t="shared" ref="D29:AT29" si="7">SUM(D25:D28)</f>
        <v>1682451.862</v>
      </c>
      <c r="E29" s="261">
        <f t="shared" si="7"/>
        <v>1775471.5610000002</v>
      </c>
      <c r="F29" s="261">
        <f t="shared" si="7"/>
        <v>1910596.6090000002</v>
      </c>
      <c r="G29" s="261">
        <f t="shared" si="7"/>
        <v>1797659.007</v>
      </c>
      <c r="H29" s="261">
        <f t="shared" si="7"/>
        <v>1894709.0660000001</v>
      </c>
      <c r="I29" s="261">
        <f t="shared" si="7"/>
        <v>2000296.804</v>
      </c>
      <c r="J29" s="261">
        <f t="shared" si="7"/>
        <v>2062269.987</v>
      </c>
      <c r="K29" s="261">
        <f t="shared" si="7"/>
        <v>1887694.2720000001</v>
      </c>
      <c r="L29" s="261">
        <f t="shared" si="7"/>
        <v>1800613.11</v>
      </c>
      <c r="M29" s="261">
        <f t="shared" si="7"/>
        <v>2096206.16</v>
      </c>
      <c r="N29" s="261">
        <f t="shared" si="7"/>
        <v>2353918.8449999997</v>
      </c>
      <c r="O29" s="261">
        <f t="shared" si="7"/>
        <v>1851567.4094980001</v>
      </c>
      <c r="P29" s="261">
        <f t="shared" si="7"/>
        <v>1929489.4610499986</v>
      </c>
      <c r="Q29" s="261">
        <f t="shared" si="7"/>
        <v>2105213.7275249986</v>
      </c>
      <c r="R29" s="261">
        <f t="shared" si="7"/>
        <v>2110254.7406239989</v>
      </c>
      <c r="S29" s="261">
        <f t="shared" si="7"/>
        <v>1703940.598949</v>
      </c>
      <c r="T29" s="261">
        <f t="shared" si="7"/>
        <v>1883726.025626</v>
      </c>
      <c r="U29" s="261">
        <f t="shared" si="7"/>
        <v>1972951.924472</v>
      </c>
      <c r="V29" s="261">
        <f t="shared" si="7"/>
        <v>2044120.2432539973</v>
      </c>
      <c r="W29" s="261">
        <f t="shared" si="7"/>
        <v>1732471.014</v>
      </c>
      <c r="X29" s="261">
        <f t="shared" si="7"/>
        <v>1829010.4139999999</v>
      </c>
      <c r="Y29" s="261">
        <f t="shared" si="7"/>
        <v>1881699.871</v>
      </c>
      <c r="Z29" s="261">
        <f t="shared" si="7"/>
        <v>1917388.6979999999</v>
      </c>
      <c r="AA29" s="261">
        <f t="shared" si="7"/>
        <v>1619039.5530000001</v>
      </c>
      <c r="AB29" s="261">
        <f t="shared" si="7"/>
        <v>1743412.1069999998</v>
      </c>
      <c r="AC29" s="261">
        <f t="shared" si="7"/>
        <v>1879746.0300000003</v>
      </c>
      <c r="AD29" s="261">
        <f t="shared" si="7"/>
        <v>1964769.8860000002</v>
      </c>
      <c r="AE29" s="261">
        <f t="shared" si="7"/>
        <v>1711733.4029999999</v>
      </c>
      <c r="AF29" s="261">
        <f t="shared" si="7"/>
        <v>1694508.5220000001</v>
      </c>
      <c r="AG29" s="261">
        <f t="shared" si="7"/>
        <v>1986466.844</v>
      </c>
      <c r="AH29" s="261">
        <f t="shared" si="7"/>
        <v>1894353.2070000002</v>
      </c>
      <c r="AI29" s="261">
        <f t="shared" si="7"/>
        <v>1736943.0390000003</v>
      </c>
      <c r="AJ29" s="261">
        <f t="shared" si="7"/>
        <v>1834992.108</v>
      </c>
      <c r="AK29" s="261">
        <f t="shared" si="7"/>
        <v>1962391.8629999999</v>
      </c>
      <c r="AL29" s="261">
        <f t="shared" si="7"/>
        <v>1983207.0499999998</v>
      </c>
      <c r="AM29" s="261">
        <f t="shared" si="7"/>
        <v>1792539.5180000002</v>
      </c>
      <c r="AN29" s="261">
        <f t="shared" si="7"/>
        <v>1881442.1699999997</v>
      </c>
      <c r="AO29" s="261">
        <f t="shared" si="7"/>
        <v>2041423.1819999996</v>
      </c>
      <c r="AP29" s="261">
        <f t="shared" si="7"/>
        <v>2021517.7930000001</v>
      </c>
      <c r="AQ29" s="261">
        <f t="shared" si="7"/>
        <v>1816976.5460000001</v>
      </c>
      <c r="AR29" s="261">
        <f t="shared" si="7"/>
        <v>1927474.3649999998</v>
      </c>
      <c r="AS29" s="261">
        <f t="shared" si="7"/>
        <v>2104083.537</v>
      </c>
      <c r="AT29" s="261">
        <f t="shared" si="7"/>
        <v>2247690.3640000001</v>
      </c>
    </row>
    <row r="30" spans="2:46" x14ac:dyDescent="0.3">
      <c r="B30" s="250" t="s">
        <v>406</v>
      </c>
      <c r="C30" s="251">
        <v>83856.604999999996</v>
      </c>
      <c r="D30" s="251">
        <v>83002.091</v>
      </c>
      <c r="E30" s="251">
        <v>87715.525999999983</v>
      </c>
      <c r="F30" s="251">
        <v>87476.16399999999</v>
      </c>
      <c r="G30" s="251">
        <v>89687.778000000006</v>
      </c>
      <c r="H30" s="251">
        <v>92355.997000000003</v>
      </c>
      <c r="I30" s="251">
        <v>95062.608000000007</v>
      </c>
      <c r="J30" s="251">
        <v>97020.766000000003</v>
      </c>
      <c r="K30" s="251">
        <v>87433.11099999999</v>
      </c>
      <c r="L30" s="251">
        <v>81529.506999999998</v>
      </c>
      <c r="M30" s="251">
        <v>77609.570000000007</v>
      </c>
      <c r="N30" s="251">
        <v>67637.077999999994</v>
      </c>
      <c r="O30" s="251">
        <v>135805.82883000001</v>
      </c>
      <c r="P30" s="251">
        <v>133458.54425099998</v>
      </c>
      <c r="Q30" s="251">
        <v>175333.75607100001</v>
      </c>
      <c r="R30" s="251">
        <v>179255.18752200005</v>
      </c>
      <c r="S30" s="251">
        <v>202396.025876</v>
      </c>
      <c r="T30" s="251">
        <v>223399.074073</v>
      </c>
      <c r="U30" s="251">
        <v>236920.90829599998</v>
      </c>
      <c r="V30" s="251">
        <v>233226.32778999995</v>
      </c>
      <c r="W30" s="251">
        <v>230635.30268900003</v>
      </c>
      <c r="X30" s="260">
        <v>230249.06394600001</v>
      </c>
      <c r="Y30" s="260">
        <v>243810.16829900007</v>
      </c>
      <c r="Z30" s="260">
        <v>243579.33466796973</v>
      </c>
      <c r="AA30" s="260">
        <v>248091.81083003004</v>
      </c>
      <c r="AB30" s="260">
        <v>241631.54623336002</v>
      </c>
      <c r="AC30" s="260">
        <v>253598.64119621995</v>
      </c>
      <c r="AD30" s="260">
        <v>248080.25047959998</v>
      </c>
      <c r="AE30" s="260">
        <v>262293.99076691066</v>
      </c>
      <c r="AF30" s="260">
        <v>233192.34412749589</v>
      </c>
      <c r="AG30" s="260">
        <v>273976.29447784577</v>
      </c>
      <c r="AH30" s="260">
        <v>265602.84256442793</v>
      </c>
      <c r="AI30" s="260">
        <v>262219.92085601686</v>
      </c>
      <c r="AJ30" s="260">
        <v>270207.34013102972</v>
      </c>
      <c r="AK30" s="260">
        <v>294223.38636338571</v>
      </c>
      <c r="AL30" s="260">
        <v>297765.49909676192</v>
      </c>
      <c r="AM30" s="260">
        <v>288515.4536937353</v>
      </c>
      <c r="AN30" s="260">
        <v>302666.0598218363</v>
      </c>
      <c r="AO30" s="260">
        <v>314262.72324178659</v>
      </c>
      <c r="AP30" s="260">
        <v>314567.88085573365</v>
      </c>
      <c r="AQ30" s="260">
        <v>297938.49736323475</v>
      </c>
      <c r="AR30" s="260">
        <v>309973.27120663435</v>
      </c>
      <c r="AS30" s="260">
        <v>339059.26997638796</v>
      </c>
      <c r="AT30" s="260">
        <v>337043.78716203902</v>
      </c>
    </row>
    <row r="31" spans="2:46" x14ac:dyDescent="0.3">
      <c r="B31" s="250" t="s">
        <v>407</v>
      </c>
      <c r="C31" s="251">
        <v>0</v>
      </c>
      <c r="D31" s="251">
        <v>0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  <c r="O31" s="251">
        <v>14100.674206</v>
      </c>
      <c r="P31" s="251">
        <v>25117.589971999994</v>
      </c>
      <c r="Q31" s="251">
        <v>34759.028987000005</v>
      </c>
      <c r="R31" s="251">
        <v>41679.218944</v>
      </c>
      <c r="S31" s="251">
        <v>50899.209078999993</v>
      </c>
      <c r="T31" s="251">
        <v>61302.345976000011</v>
      </c>
      <c r="U31" s="251">
        <v>69083.038691000023</v>
      </c>
      <c r="V31" s="251">
        <v>77259.666064000019</v>
      </c>
      <c r="W31" s="251">
        <v>74513.978993000012</v>
      </c>
      <c r="X31" s="260">
        <v>79125.115340999997</v>
      </c>
      <c r="Y31" s="260">
        <v>83429.284555000006</v>
      </c>
      <c r="Z31" s="260">
        <v>86415.440137919912</v>
      </c>
      <c r="AA31" s="260">
        <v>85368.871650849993</v>
      </c>
      <c r="AB31" s="260">
        <v>101497.90057842998</v>
      </c>
      <c r="AC31" s="260">
        <v>112454.14780838994</v>
      </c>
      <c r="AD31" s="260">
        <v>111003.88382587</v>
      </c>
      <c r="AE31" s="260">
        <v>105181.17208924788</v>
      </c>
      <c r="AF31" s="260">
        <v>94768.821679123474</v>
      </c>
      <c r="AG31" s="260">
        <v>119478.96816302478</v>
      </c>
      <c r="AH31" s="260">
        <v>125920.83199204598</v>
      </c>
      <c r="AI31" s="260">
        <v>123510.81453704076</v>
      </c>
      <c r="AJ31" s="260">
        <v>143848.41724077048</v>
      </c>
      <c r="AK31" s="260">
        <v>149689.40311951627</v>
      </c>
      <c r="AL31" s="260">
        <v>149132.75936506581</v>
      </c>
      <c r="AM31" s="260">
        <v>149905.71957614645</v>
      </c>
      <c r="AN31" s="260">
        <v>167595.03640333697</v>
      </c>
      <c r="AO31" s="260">
        <v>178717.12539072672</v>
      </c>
      <c r="AP31" s="260">
        <v>175555.78017542762</v>
      </c>
      <c r="AQ31" s="260">
        <v>188354.13036414655</v>
      </c>
      <c r="AR31" s="260">
        <v>197792.62546905823</v>
      </c>
      <c r="AS31" s="260">
        <v>205900.11966938118</v>
      </c>
      <c r="AT31" s="260">
        <v>217361.13641800001</v>
      </c>
    </row>
    <row r="32" spans="2:46" ht="13.5" thickBot="1" x14ac:dyDescent="0.35">
      <c r="B32" s="250" t="s">
        <v>270</v>
      </c>
      <c r="C32" s="251">
        <v>0</v>
      </c>
      <c r="D32" s="251">
        <v>0</v>
      </c>
      <c r="E32" s="251">
        <v>0</v>
      </c>
      <c r="F32" s="251">
        <v>0</v>
      </c>
      <c r="G32" s="251">
        <v>373.74</v>
      </c>
      <c r="H32" s="251">
        <v>559.46399999999994</v>
      </c>
      <c r="I32" s="251">
        <v>637.30500000000006</v>
      </c>
      <c r="J32" s="251">
        <v>615.31500000000005</v>
      </c>
      <c r="K32" s="251">
        <v>603.18000000000006</v>
      </c>
      <c r="L32" s="251">
        <v>720.86099999999999</v>
      </c>
      <c r="M32" s="251">
        <v>732.75099999999998</v>
      </c>
      <c r="N32" s="251">
        <v>770.47</v>
      </c>
      <c r="O32" s="251">
        <v>627.68428999999992</v>
      </c>
      <c r="P32" s="251">
        <v>790.75903000000005</v>
      </c>
      <c r="Q32" s="251">
        <v>893.83641899999998</v>
      </c>
      <c r="R32" s="251">
        <v>1123.7219329999998</v>
      </c>
      <c r="S32" s="251">
        <v>1938.5231979999999</v>
      </c>
      <c r="T32" s="251">
        <v>1750.8373029999998</v>
      </c>
      <c r="U32" s="251">
        <v>2093.0527189999998</v>
      </c>
      <c r="V32" s="251">
        <v>2024.4654530000003</v>
      </c>
      <c r="W32" s="251">
        <v>1987.4067369999998</v>
      </c>
      <c r="X32" s="260">
        <v>2053.02673</v>
      </c>
      <c r="Y32" s="260">
        <v>2073.9169999999999</v>
      </c>
      <c r="Z32" s="260">
        <v>2168.5149008599992</v>
      </c>
      <c r="AA32" s="260">
        <v>1885.9444011800001</v>
      </c>
      <c r="AB32" s="260">
        <v>2113.0972577399998</v>
      </c>
      <c r="AC32" s="260">
        <v>2023.3537014599999</v>
      </c>
      <c r="AD32" s="260">
        <v>2240.3021952999998</v>
      </c>
      <c r="AE32" s="260">
        <v>2089.9453250000001</v>
      </c>
      <c r="AF32" s="260">
        <v>2149.0562399999999</v>
      </c>
      <c r="AG32" s="260">
        <v>2179.6512199999984</v>
      </c>
      <c r="AH32" s="260">
        <v>18063.956779342108</v>
      </c>
      <c r="AI32" s="260">
        <v>22396.754330666656</v>
      </c>
      <c r="AJ32" s="260">
        <v>23923.136806333328</v>
      </c>
      <c r="AK32" s="260">
        <v>25289.640396666658</v>
      </c>
      <c r="AL32" s="260">
        <v>29543.413627266651</v>
      </c>
      <c r="AM32" s="260">
        <v>29716.534459199989</v>
      </c>
      <c r="AN32" s="260">
        <v>29423.32712146666</v>
      </c>
      <c r="AO32" s="260">
        <v>32345.102846133344</v>
      </c>
      <c r="AP32" s="260">
        <v>33343.689487677511</v>
      </c>
      <c r="AQ32" s="260">
        <v>29186.536555000006</v>
      </c>
      <c r="AR32" s="260">
        <v>30948.232594584995</v>
      </c>
      <c r="AS32" s="260">
        <v>31876.680685680847</v>
      </c>
      <c r="AT32" s="260">
        <v>32163.21270699997</v>
      </c>
    </row>
    <row r="33" spans="2:46" ht="13.5" thickBot="1" x14ac:dyDescent="0.35">
      <c r="B33" s="252" t="s">
        <v>409</v>
      </c>
      <c r="C33" s="261">
        <f>SUM(C30:C32)</f>
        <v>83856.604999999996</v>
      </c>
      <c r="D33" s="261">
        <f t="shared" ref="D33:Y33" si="8">SUM(D30:D32)</f>
        <v>83002.091</v>
      </c>
      <c r="E33" s="261">
        <f t="shared" si="8"/>
        <v>87715.525999999983</v>
      </c>
      <c r="F33" s="261">
        <f t="shared" si="8"/>
        <v>87476.16399999999</v>
      </c>
      <c r="G33" s="261">
        <f t="shared" si="8"/>
        <v>90061.518000000011</v>
      </c>
      <c r="H33" s="261">
        <f t="shared" si="8"/>
        <v>92915.46100000001</v>
      </c>
      <c r="I33" s="261">
        <f t="shared" si="8"/>
        <v>95699.913</v>
      </c>
      <c r="J33" s="261">
        <f t="shared" si="8"/>
        <v>97636.081000000006</v>
      </c>
      <c r="K33" s="261">
        <f t="shared" si="8"/>
        <v>88036.290999999983</v>
      </c>
      <c r="L33" s="261">
        <f t="shared" si="8"/>
        <v>82250.368000000002</v>
      </c>
      <c r="M33" s="261">
        <f t="shared" si="8"/>
        <v>78342.321000000011</v>
      </c>
      <c r="N33" s="261">
        <f t="shared" si="8"/>
        <v>68407.547999999995</v>
      </c>
      <c r="O33" s="261">
        <f t="shared" si="8"/>
        <v>150534.18732600001</v>
      </c>
      <c r="P33" s="261">
        <f t="shared" si="8"/>
        <v>159366.89325299996</v>
      </c>
      <c r="Q33" s="261">
        <f t="shared" si="8"/>
        <v>210986.62147700001</v>
      </c>
      <c r="R33" s="261">
        <f t="shared" si="8"/>
        <v>222058.12839900004</v>
      </c>
      <c r="S33" s="261">
        <f t="shared" si="8"/>
        <v>255233.758153</v>
      </c>
      <c r="T33" s="261">
        <f t="shared" si="8"/>
        <v>286452.25735199999</v>
      </c>
      <c r="U33" s="261">
        <f t="shared" si="8"/>
        <v>308096.99970600003</v>
      </c>
      <c r="V33" s="261">
        <f t="shared" si="8"/>
        <v>312510.45930699998</v>
      </c>
      <c r="W33" s="261">
        <f t="shared" si="8"/>
        <v>307136.68841900001</v>
      </c>
      <c r="X33" s="261">
        <f t="shared" si="8"/>
        <v>311427.20601699996</v>
      </c>
      <c r="Y33" s="261">
        <f t="shared" si="8"/>
        <v>329313.36985400011</v>
      </c>
      <c r="Z33" s="261">
        <f>SUM(Z30:Z32)</f>
        <v>332163.28970674967</v>
      </c>
      <c r="AA33" s="261">
        <f>SUM(AA30:AA32)</f>
        <v>335346.62688206008</v>
      </c>
      <c r="AB33" s="261">
        <f t="shared" ref="AB33:AT33" si="9">SUM(AB30:AB32)</f>
        <v>345242.54406952998</v>
      </c>
      <c r="AC33" s="261">
        <f t="shared" si="9"/>
        <v>368076.14270606992</v>
      </c>
      <c r="AD33" s="261">
        <f t="shared" si="9"/>
        <v>361324.43650076998</v>
      </c>
      <c r="AE33" s="261">
        <f t="shared" si="9"/>
        <v>369565.10818115855</v>
      </c>
      <c r="AF33" s="261">
        <f t="shared" si="9"/>
        <v>330110.22204661934</v>
      </c>
      <c r="AG33" s="261">
        <f t="shared" si="9"/>
        <v>395634.91386087053</v>
      </c>
      <c r="AH33" s="261">
        <f t="shared" si="9"/>
        <v>409587.631335816</v>
      </c>
      <c r="AI33" s="261">
        <f t="shared" si="9"/>
        <v>408127.48972372431</v>
      </c>
      <c r="AJ33" s="261">
        <f t="shared" si="9"/>
        <v>437978.89417813352</v>
      </c>
      <c r="AK33" s="261">
        <f t="shared" si="9"/>
        <v>469202.42987956863</v>
      </c>
      <c r="AL33" s="261">
        <f t="shared" si="9"/>
        <v>476441.67208909441</v>
      </c>
      <c r="AM33" s="261">
        <f t="shared" si="9"/>
        <v>468137.70772908174</v>
      </c>
      <c r="AN33" s="261">
        <f t="shared" si="9"/>
        <v>499684.42334663996</v>
      </c>
      <c r="AO33" s="261">
        <f t="shared" si="9"/>
        <v>525324.9514786466</v>
      </c>
      <c r="AP33" s="261">
        <f t="shared" si="9"/>
        <v>523467.35051883879</v>
      </c>
      <c r="AQ33" s="261">
        <f t="shared" si="9"/>
        <v>515479.1642823813</v>
      </c>
      <c r="AR33" s="261">
        <f t="shared" si="9"/>
        <v>538714.12927027757</v>
      </c>
      <c r="AS33" s="261">
        <f t="shared" si="9"/>
        <v>576836.07033144997</v>
      </c>
      <c r="AT33" s="261">
        <f t="shared" si="9"/>
        <v>586568.13628703903</v>
      </c>
    </row>
    <row r="34" spans="2:46" ht="13.5" thickBot="1" x14ac:dyDescent="0.35">
      <c r="B34" s="254" t="s">
        <v>410</v>
      </c>
      <c r="C34" s="255">
        <v>114.05799999999999</v>
      </c>
      <c r="D34" s="255">
        <v>116.54899999999999</v>
      </c>
      <c r="E34" s="255">
        <v>133.244</v>
      </c>
      <c r="F34" s="255">
        <v>131.40199999999999</v>
      </c>
      <c r="G34" s="255">
        <v>111.21970999999999</v>
      </c>
      <c r="H34" s="255">
        <v>120.422</v>
      </c>
      <c r="I34" s="255">
        <v>139.31900000000002</v>
      </c>
      <c r="J34" s="255">
        <v>136.40100000000001</v>
      </c>
      <c r="K34" s="255">
        <v>121.655</v>
      </c>
      <c r="L34" s="255">
        <v>132.41200000000001</v>
      </c>
      <c r="M34" s="255">
        <v>144.20000000000002</v>
      </c>
      <c r="N34" s="255">
        <v>158.22500000000002</v>
      </c>
      <c r="O34" s="255">
        <v>356.48955599999999</v>
      </c>
      <c r="P34" s="255">
        <v>386.45155899999997</v>
      </c>
      <c r="Q34" s="255">
        <v>1838.397666999999</v>
      </c>
      <c r="R34" s="255">
        <v>2691.0476666666677</v>
      </c>
      <c r="S34" s="255">
        <v>2454.0745663333337</v>
      </c>
      <c r="T34" s="255">
        <v>2722.0059999999994</v>
      </c>
      <c r="U34" s="255">
        <v>2343.048086666668</v>
      </c>
      <c r="V34" s="255">
        <v>1607.775408666666</v>
      </c>
      <c r="W34" s="255">
        <v>1715.7239705802467</v>
      </c>
      <c r="X34" s="255">
        <v>1853.4546610660482</v>
      </c>
      <c r="Y34" s="255">
        <v>1264.3880833333335</v>
      </c>
      <c r="Z34" s="255">
        <v>1411.5641190555555</v>
      </c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>
        <v>10559.42288</v>
      </c>
      <c r="AT34" s="256">
        <v>4061.3919799999999</v>
      </c>
    </row>
    <row r="35" spans="2:46" ht="13.5" thickBot="1" x14ac:dyDescent="0.35">
      <c r="B35" s="254" t="s">
        <v>411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62">
        <v>8011.8649999997588</v>
      </c>
      <c r="AF35" s="262">
        <v>11657.595999999903</v>
      </c>
      <c r="AG35" s="262">
        <v>17040.972999999765</v>
      </c>
      <c r="AH35" s="262">
        <v>21522.361999999732</v>
      </c>
      <c r="AI35" s="262">
        <v>22074.429000000004</v>
      </c>
      <c r="AJ35" s="262">
        <v>32228.103000000119</v>
      </c>
      <c r="AK35" s="262">
        <v>40414.914000000106</v>
      </c>
      <c r="AL35" s="262">
        <v>47085.925000000279</v>
      </c>
      <c r="AM35" s="262">
        <v>46769.683999999659</v>
      </c>
      <c r="AN35" s="262">
        <v>59564.584000000264</v>
      </c>
      <c r="AO35" s="262">
        <v>80030.0159999998</v>
      </c>
      <c r="AP35" s="262">
        <v>92662.696000000316</v>
      </c>
      <c r="AQ35" s="262">
        <v>95386.623000000371</v>
      </c>
      <c r="AR35" s="262">
        <v>118296.41400000011</v>
      </c>
      <c r="AS35" s="262">
        <v>153317.50200000033</v>
      </c>
      <c r="AT35" s="262">
        <v>178074.48999999976</v>
      </c>
    </row>
    <row r="36" spans="2:46" ht="13.5" thickBot="1" x14ac:dyDescent="0.35">
      <c r="B36" s="257" t="s">
        <v>415</v>
      </c>
      <c r="C36" s="258">
        <f t="shared" ref="C36:AS36" si="10">SUM(C29,C33:C35)</f>
        <v>1656183.0259999998</v>
      </c>
      <c r="D36" s="258">
        <f t="shared" si="10"/>
        <v>1765570.5020000001</v>
      </c>
      <c r="E36" s="258">
        <f t="shared" si="10"/>
        <v>1863320.3310000002</v>
      </c>
      <c r="F36" s="258">
        <f t="shared" si="10"/>
        <v>1998204.175</v>
      </c>
      <c r="G36" s="258">
        <f t="shared" si="10"/>
        <v>1887831.74471</v>
      </c>
      <c r="H36" s="258">
        <f t="shared" si="10"/>
        <v>1987744.9490000003</v>
      </c>
      <c r="I36" s="258">
        <f t="shared" si="10"/>
        <v>2096136.0359999998</v>
      </c>
      <c r="J36" s="258">
        <f t="shared" si="10"/>
        <v>2160042.469</v>
      </c>
      <c r="K36" s="258">
        <f t="shared" si="10"/>
        <v>1975852.2180000001</v>
      </c>
      <c r="L36" s="258">
        <f t="shared" si="10"/>
        <v>1882995.8900000001</v>
      </c>
      <c r="M36" s="258">
        <f t="shared" si="10"/>
        <v>2174692.6810000003</v>
      </c>
      <c r="N36" s="258">
        <f t="shared" si="10"/>
        <v>2422484.6179999998</v>
      </c>
      <c r="O36" s="258">
        <f t="shared" si="10"/>
        <v>2002458.0863800002</v>
      </c>
      <c r="P36" s="258">
        <f t="shared" si="10"/>
        <v>2089242.8058619986</v>
      </c>
      <c r="Q36" s="258">
        <f t="shared" si="10"/>
        <v>2318038.7466689986</v>
      </c>
      <c r="R36" s="258">
        <f t="shared" si="10"/>
        <v>2335003.9166896655</v>
      </c>
      <c r="S36" s="258">
        <f t="shared" si="10"/>
        <v>1961628.4316683332</v>
      </c>
      <c r="T36" s="258">
        <f t="shared" si="10"/>
        <v>2172900.2889780002</v>
      </c>
      <c r="U36" s="258">
        <f t="shared" si="10"/>
        <v>2283391.9722646666</v>
      </c>
      <c r="V36" s="258">
        <f t="shared" si="10"/>
        <v>2358238.4779696637</v>
      </c>
      <c r="W36" s="258">
        <f t="shared" si="10"/>
        <v>2041323.4263895801</v>
      </c>
      <c r="X36" s="258">
        <f t="shared" si="10"/>
        <v>2142291.0746780662</v>
      </c>
      <c r="Y36" s="258">
        <f t="shared" si="10"/>
        <v>2212277.6289373334</v>
      </c>
      <c r="Z36" s="258">
        <f t="shared" si="10"/>
        <v>2250963.5518258051</v>
      </c>
      <c r="AA36" s="253">
        <f t="shared" si="10"/>
        <v>1954386.1798820603</v>
      </c>
      <c r="AB36" s="253">
        <f t="shared" si="10"/>
        <v>2088654.6510695298</v>
      </c>
      <c r="AC36" s="253">
        <f t="shared" si="10"/>
        <v>2247822.1727060704</v>
      </c>
      <c r="AD36" s="253">
        <f t="shared" si="10"/>
        <v>2326094.32250077</v>
      </c>
      <c r="AE36" s="253">
        <f t="shared" si="10"/>
        <v>2089310.3761811582</v>
      </c>
      <c r="AF36" s="253">
        <f t="shared" si="10"/>
        <v>2036276.3400466193</v>
      </c>
      <c r="AG36" s="253">
        <f t="shared" si="10"/>
        <v>2399142.7308608703</v>
      </c>
      <c r="AH36" s="253">
        <f t="shared" si="10"/>
        <v>2325463.200335816</v>
      </c>
      <c r="AI36" s="253">
        <f t="shared" si="10"/>
        <v>2167144.9577237247</v>
      </c>
      <c r="AJ36" s="253">
        <f t="shared" si="10"/>
        <v>2305199.1051781336</v>
      </c>
      <c r="AK36" s="253">
        <f t="shared" si="10"/>
        <v>2472009.2068795683</v>
      </c>
      <c r="AL36" s="253">
        <f t="shared" si="10"/>
        <v>2506734.6470890944</v>
      </c>
      <c r="AM36" s="253">
        <f t="shared" si="10"/>
        <v>2307446.9097290812</v>
      </c>
      <c r="AN36" s="253">
        <f t="shared" si="10"/>
        <v>2440691.1773466398</v>
      </c>
      <c r="AO36" s="253">
        <f t="shared" si="10"/>
        <v>2646778.149478646</v>
      </c>
      <c r="AP36" s="253">
        <f t="shared" si="10"/>
        <v>2637647.8395188395</v>
      </c>
      <c r="AQ36" s="253">
        <f t="shared" si="10"/>
        <v>2427842.3332823822</v>
      </c>
      <c r="AR36" s="253">
        <f t="shared" si="10"/>
        <v>2584484.9082702771</v>
      </c>
      <c r="AS36" s="253">
        <f t="shared" si="10"/>
        <v>2844796.5322114504</v>
      </c>
      <c r="AT36" s="253">
        <f t="shared" ref="AT36" si="11">SUM(AT29,AT33:AT35)</f>
        <v>3016394.3822670388</v>
      </c>
    </row>
    <row r="37" spans="2:46" ht="13.5" thickBot="1" x14ac:dyDescent="0.35">
      <c r="B37" s="252" t="s">
        <v>413</v>
      </c>
      <c r="C37" s="258">
        <f t="shared" ref="C37:AS37" si="12">C36-C35</f>
        <v>1656183.0259999998</v>
      </c>
      <c r="D37" s="258">
        <f t="shared" si="12"/>
        <v>1765570.5020000001</v>
      </c>
      <c r="E37" s="258">
        <f t="shared" si="12"/>
        <v>1863320.3310000002</v>
      </c>
      <c r="F37" s="258">
        <f t="shared" si="12"/>
        <v>1998204.175</v>
      </c>
      <c r="G37" s="258">
        <f t="shared" si="12"/>
        <v>1887831.74471</v>
      </c>
      <c r="H37" s="258">
        <f t="shared" si="12"/>
        <v>1987744.9490000003</v>
      </c>
      <c r="I37" s="258">
        <f t="shared" si="12"/>
        <v>2096136.0359999998</v>
      </c>
      <c r="J37" s="258">
        <f t="shared" si="12"/>
        <v>2160042.469</v>
      </c>
      <c r="K37" s="258">
        <f t="shared" si="12"/>
        <v>1975852.2180000001</v>
      </c>
      <c r="L37" s="258">
        <f t="shared" si="12"/>
        <v>1882995.8900000001</v>
      </c>
      <c r="M37" s="258">
        <f t="shared" si="12"/>
        <v>2174692.6810000003</v>
      </c>
      <c r="N37" s="258">
        <f t="shared" si="12"/>
        <v>2422484.6179999998</v>
      </c>
      <c r="O37" s="258">
        <f t="shared" si="12"/>
        <v>2002458.0863800002</v>
      </c>
      <c r="P37" s="258">
        <f t="shared" si="12"/>
        <v>2089242.8058619986</v>
      </c>
      <c r="Q37" s="258">
        <f t="shared" si="12"/>
        <v>2318038.7466689986</v>
      </c>
      <c r="R37" s="258">
        <f t="shared" si="12"/>
        <v>2335003.9166896655</v>
      </c>
      <c r="S37" s="258">
        <f t="shared" si="12"/>
        <v>1961628.4316683332</v>
      </c>
      <c r="T37" s="258">
        <f t="shared" si="12"/>
        <v>2172900.2889780002</v>
      </c>
      <c r="U37" s="258">
        <f t="shared" si="12"/>
        <v>2283391.9722646666</v>
      </c>
      <c r="V37" s="258">
        <f t="shared" si="12"/>
        <v>2358238.4779696637</v>
      </c>
      <c r="W37" s="258">
        <f t="shared" si="12"/>
        <v>2041323.4263895801</v>
      </c>
      <c r="X37" s="258">
        <f t="shared" si="12"/>
        <v>2142291.0746780662</v>
      </c>
      <c r="Y37" s="258">
        <f t="shared" si="12"/>
        <v>2212277.6289373334</v>
      </c>
      <c r="Z37" s="258">
        <f t="shared" si="12"/>
        <v>2250963.5518258051</v>
      </c>
      <c r="AA37" s="253">
        <f t="shared" si="12"/>
        <v>1954386.1798820603</v>
      </c>
      <c r="AB37" s="253">
        <f t="shared" si="12"/>
        <v>2088654.6510695298</v>
      </c>
      <c r="AC37" s="253">
        <f t="shared" si="12"/>
        <v>2247822.1727060704</v>
      </c>
      <c r="AD37" s="253">
        <f t="shared" si="12"/>
        <v>2326094.32250077</v>
      </c>
      <c r="AE37" s="253">
        <f t="shared" si="12"/>
        <v>2081298.5111811585</v>
      </c>
      <c r="AF37" s="253">
        <f t="shared" si="12"/>
        <v>2024618.7440466194</v>
      </c>
      <c r="AG37" s="253">
        <f t="shared" si="12"/>
        <v>2382101.7578608706</v>
      </c>
      <c r="AH37" s="253">
        <f t="shared" si="12"/>
        <v>2303940.8383358163</v>
      </c>
      <c r="AI37" s="253">
        <f t="shared" si="12"/>
        <v>2145070.5287237247</v>
      </c>
      <c r="AJ37" s="253">
        <f t="shared" si="12"/>
        <v>2272971.0021781335</v>
      </c>
      <c r="AK37" s="253">
        <f t="shared" si="12"/>
        <v>2431594.2928795684</v>
      </c>
      <c r="AL37" s="253">
        <f t="shared" si="12"/>
        <v>2459648.7220890941</v>
      </c>
      <c r="AM37" s="253">
        <f t="shared" si="12"/>
        <v>2260677.2257290818</v>
      </c>
      <c r="AN37" s="253">
        <f t="shared" si="12"/>
        <v>2381126.5933466395</v>
      </c>
      <c r="AO37" s="253">
        <f t="shared" si="12"/>
        <v>2566748.1334786462</v>
      </c>
      <c r="AP37" s="253">
        <f t="shared" si="12"/>
        <v>2544985.143518839</v>
      </c>
      <c r="AQ37" s="253">
        <f t="shared" si="12"/>
        <v>2332455.7102823816</v>
      </c>
      <c r="AR37" s="253">
        <f t="shared" si="12"/>
        <v>2466188.4942702772</v>
      </c>
      <c r="AS37" s="253">
        <f t="shared" si="12"/>
        <v>2691479.0302114501</v>
      </c>
      <c r="AT37" s="253">
        <f t="shared" ref="AT37" si="13">AT36-AT35</f>
        <v>2838319.892267039</v>
      </c>
    </row>
    <row r="38" spans="2:46" x14ac:dyDescent="0.3">
      <c r="B38" s="263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</row>
    <row r="39" spans="2:46" x14ac:dyDescent="0.3">
      <c r="B39" s="248" t="s">
        <v>3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</row>
    <row r="40" spans="2:46" x14ac:dyDescent="0.3">
      <c r="B40" s="250" t="s">
        <v>405</v>
      </c>
      <c r="C40" s="251">
        <v>311181.47499999998</v>
      </c>
      <c r="D40" s="251">
        <v>311671.15700000001</v>
      </c>
      <c r="E40" s="251">
        <v>340416.16100000002</v>
      </c>
      <c r="F40" s="251">
        <v>364667.19199999998</v>
      </c>
      <c r="G40" s="251">
        <v>338015.50599999999</v>
      </c>
      <c r="H40" s="251">
        <v>335684.80800000002</v>
      </c>
      <c r="I40" s="251">
        <v>368008.90399999998</v>
      </c>
      <c r="J40" s="251">
        <v>389883.50800000003</v>
      </c>
      <c r="K40" s="251">
        <v>362040.70799999998</v>
      </c>
      <c r="L40" s="251">
        <v>358460.62599999999</v>
      </c>
      <c r="M40" s="251">
        <v>382765.054</v>
      </c>
      <c r="N40" s="251">
        <v>423172.87399999995</v>
      </c>
      <c r="O40" s="251">
        <v>375238.158</v>
      </c>
      <c r="P40" s="251">
        <v>392927.16800000001</v>
      </c>
      <c r="Q40" s="251">
        <v>412872.603</v>
      </c>
      <c r="R40" s="251">
        <v>447975.56700000004</v>
      </c>
      <c r="S40" s="251">
        <v>390959.59100000001</v>
      </c>
      <c r="T40" s="251">
        <v>396291.43600000005</v>
      </c>
      <c r="U40" s="251">
        <v>423717.10800000001</v>
      </c>
      <c r="V40" s="251">
        <v>468665.12100000004</v>
      </c>
      <c r="W40" s="251">
        <v>406678.68700000003</v>
      </c>
      <c r="X40" s="260">
        <v>406089.897</v>
      </c>
      <c r="Y40" s="260">
        <v>439477.55700000003</v>
      </c>
      <c r="Z40" s="260">
        <v>403542.12400000001</v>
      </c>
      <c r="AA40" s="260">
        <v>410050.42200000002</v>
      </c>
      <c r="AB40" s="260">
        <v>417577.26299999992</v>
      </c>
      <c r="AC40" s="260">
        <v>439517.12399999995</v>
      </c>
      <c r="AD40" s="260">
        <v>502329.67100000003</v>
      </c>
      <c r="AE40" s="260">
        <v>434714.66599999997</v>
      </c>
      <c r="AF40" s="260">
        <v>441066.86199999996</v>
      </c>
      <c r="AG40" s="260">
        <v>462994.56800000003</v>
      </c>
      <c r="AH40" s="260">
        <v>521830.5670000001</v>
      </c>
      <c r="AI40" s="260">
        <v>462654.73200000008</v>
      </c>
      <c r="AJ40" s="260">
        <v>470051.45200000005</v>
      </c>
      <c r="AK40" s="260">
        <v>489025.228</v>
      </c>
      <c r="AL40" s="260">
        <v>504587.52399999998</v>
      </c>
      <c r="AM40" s="260">
        <v>439699.79300000001</v>
      </c>
      <c r="AN40" s="260">
        <v>442844.13199999998</v>
      </c>
      <c r="AO40" s="260">
        <v>478758.66899999999</v>
      </c>
      <c r="AP40" s="260">
        <v>513815.6</v>
      </c>
      <c r="AQ40" s="260">
        <v>447895.86200000002</v>
      </c>
      <c r="AR40" s="260">
        <v>468318.17499999993</v>
      </c>
      <c r="AS40" s="260">
        <v>526575.37399999995</v>
      </c>
      <c r="AT40" s="260">
        <v>574280.67599999998</v>
      </c>
    </row>
    <row r="41" spans="2:46" x14ac:dyDescent="0.3">
      <c r="B41" s="250" t="s">
        <v>406</v>
      </c>
      <c r="C41" s="251">
        <v>44755.554999999993</v>
      </c>
      <c r="D41" s="251">
        <v>49690.878000000004</v>
      </c>
      <c r="E41" s="251">
        <v>50138.5</v>
      </c>
      <c r="F41" s="251">
        <v>48456.739000000001</v>
      </c>
      <c r="G41" s="251">
        <v>48940.141000000003</v>
      </c>
      <c r="H41" s="251">
        <v>52411.932000000001</v>
      </c>
      <c r="I41" s="251">
        <v>59347.781999999999</v>
      </c>
      <c r="J41" s="251">
        <v>55088.282999999996</v>
      </c>
      <c r="K41" s="251">
        <v>51211.596999999994</v>
      </c>
      <c r="L41" s="251">
        <v>53036.418999999994</v>
      </c>
      <c r="M41" s="251">
        <v>58119.260999999999</v>
      </c>
      <c r="N41" s="251">
        <v>55722.393000000004</v>
      </c>
      <c r="O41" s="251">
        <v>49694.498</v>
      </c>
      <c r="P41" s="251">
        <v>49587.904000000002</v>
      </c>
      <c r="Q41" s="251">
        <v>53668.311000000002</v>
      </c>
      <c r="R41" s="251">
        <v>54401.635000000002</v>
      </c>
      <c r="S41" s="251">
        <v>49030.054000000004</v>
      </c>
      <c r="T41" s="251">
        <v>48845.597999999998</v>
      </c>
      <c r="U41" s="251">
        <v>45915.095999999998</v>
      </c>
      <c r="V41" s="251">
        <v>47741.725999999995</v>
      </c>
      <c r="W41" s="251">
        <v>41580.031999999999</v>
      </c>
      <c r="X41" s="260">
        <v>43049.392999999996</v>
      </c>
      <c r="Y41" s="260">
        <v>42570.153999999995</v>
      </c>
      <c r="Z41" s="260">
        <v>35066.025999999998</v>
      </c>
      <c r="AA41" s="260">
        <v>34122.760999999999</v>
      </c>
      <c r="AB41" s="260">
        <v>38438.981</v>
      </c>
      <c r="AC41" s="260">
        <v>43582.209000000003</v>
      </c>
      <c r="AD41" s="260">
        <v>42410.37</v>
      </c>
      <c r="AE41" s="260">
        <v>33223.865000000005</v>
      </c>
      <c r="AF41" s="260">
        <v>29675.740999999995</v>
      </c>
      <c r="AG41" s="260">
        <v>34462.312999999995</v>
      </c>
      <c r="AH41" s="260">
        <v>36132.673000000003</v>
      </c>
      <c r="AI41" s="260">
        <v>31161.227999999999</v>
      </c>
      <c r="AJ41" s="260">
        <v>30795.642999999996</v>
      </c>
      <c r="AK41" s="260">
        <v>31632.699000000001</v>
      </c>
      <c r="AL41" s="260">
        <v>28113.246000000006</v>
      </c>
      <c r="AM41" s="260">
        <v>24272.928</v>
      </c>
      <c r="AN41" s="260">
        <v>27280.264000000003</v>
      </c>
      <c r="AO41" s="260">
        <v>28951.716</v>
      </c>
      <c r="AP41" s="260">
        <v>24953.305</v>
      </c>
      <c r="AQ41" s="260">
        <v>21238.004000000001</v>
      </c>
      <c r="AR41" s="260">
        <v>22956.447</v>
      </c>
      <c r="AS41" s="260">
        <v>23510.231</v>
      </c>
      <c r="AT41" s="260">
        <v>20973.728999999999</v>
      </c>
    </row>
    <row r="42" spans="2:46" x14ac:dyDescent="0.3">
      <c r="B42" s="250" t="s">
        <v>407</v>
      </c>
      <c r="C42" s="251">
        <v>140953.152</v>
      </c>
      <c r="D42" s="251">
        <v>145082.96400000001</v>
      </c>
      <c r="E42" s="251">
        <v>158237.905</v>
      </c>
      <c r="F42" s="251">
        <v>165342.40299999999</v>
      </c>
      <c r="G42" s="251">
        <v>153186.802</v>
      </c>
      <c r="H42" s="251">
        <v>157111.98200000002</v>
      </c>
      <c r="I42" s="251">
        <v>170644.753</v>
      </c>
      <c r="J42" s="251">
        <v>178521.85800000001</v>
      </c>
      <c r="K42" s="251">
        <v>163165.125</v>
      </c>
      <c r="L42" s="251">
        <v>167387.37700000001</v>
      </c>
      <c r="M42" s="251">
        <v>177943.56</v>
      </c>
      <c r="N42" s="251">
        <v>193533.31300000002</v>
      </c>
      <c r="O42" s="251">
        <v>172200.77399999998</v>
      </c>
      <c r="P42" s="251">
        <v>183808.723</v>
      </c>
      <c r="Q42" s="251">
        <v>190413.71000000002</v>
      </c>
      <c r="R42" s="251">
        <v>194330.53799999997</v>
      </c>
      <c r="S42" s="251">
        <v>171127.73499999999</v>
      </c>
      <c r="T42" s="251">
        <v>175714.19099999999</v>
      </c>
      <c r="U42" s="251">
        <v>184028.299</v>
      </c>
      <c r="V42" s="251">
        <v>198132.17799999999</v>
      </c>
      <c r="W42" s="251">
        <v>176482.07</v>
      </c>
      <c r="X42" s="260">
        <v>179923.92300000001</v>
      </c>
      <c r="Y42" s="260">
        <v>191061.579</v>
      </c>
      <c r="Z42" s="260">
        <v>174528.772</v>
      </c>
      <c r="AA42" s="260">
        <v>176000.64199999999</v>
      </c>
      <c r="AB42" s="260">
        <v>181456.09599999999</v>
      </c>
      <c r="AC42" s="260">
        <v>190456.739</v>
      </c>
      <c r="AD42" s="260">
        <v>207299.94800000003</v>
      </c>
      <c r="AE42" s="260">
        <v>171911.073</v>
      </c>
      <c r="AF42" s="260">
        <v>126058.25900000001</v>
      </c>
      <c r="AG42" s="260">
        <v>141459.71899999998</v>
      </c>
      <c r="AH42" s="260">
        <v>166763.58600000001</v>
      </c>
      <c r="AI42" s="260">
        <v>146115.81099999999</v>
      </c>
      <c r="AJ42" s="260">
        <v>146920.07400000002</v>
      </c>
      <c r="AK42" s="260">
        <v>161342.36800000002</v>
      </c>
      <c r="AL42" s="260">
        <v>163455.14000000001</v>
      </c>
      <c r="AM42" s="260">
        <v>142450.698</v>
      </c>
      <c r="AN42" s="260">
        <v>146832.27900000001</v>
      </c>
      <c r="AO42" s="260">
        <v>151248.685</v>
      </c>
      <c r="AP42" s="260">
        <v>152099.67800000001</v>
      </c>
      <c r="AQ42" s="260">
        <v>132028.83799999999</v>
      </c>
      <c r="AR42" s="260">
        <v>135465.83600000001</v>
      </c>
      <c r="AS42" s="260">
        <v>142137.17800000001</v>
      </c>
      <c r="AT42" s="260">
        <v>144964.23300000001</v>
      </c>
    </row>
    <row r="43" spans="2:46" ht="13.5" thickBot="1" x14ac:dyDescent="0.35">
      <c r="B43" s="250" t="s">
        <v>270</v>
      </c>
      <c r="C43" s="251">
        <v>150190.516</v>
      </c>
      <c r="D43" s="251">
        <v>162775.304</v>
      </c>
      <c r="E43" s="251">
        <v>175688.69899999999</v>
      </c>
      <c r="F43" s="251">
        <v>181574.88699999999</v>
      </c>
      <c r="G43" s="251">
        <v>163616.348</v>
      </c>
      <c r="H43" s="251">
        <v>163874.10999999999</v>
      </c>
      <c r="I43" s="251">
        <v>187510.851</v>
      </c>
      <c r="J43" s="251">
        <v>194623.90099999998</v>
      </c>
      <c r="K43" s="251">
        <v>168014.929</v>
      </c>
      <c r="L43" s="251">
        <v>170110.34099999999</v>
      </c>
      <c r="M43" s="251">
        <v>186182.035</v>
      </c>
      <c r="N43" s="251">
        <v>198261.465</v>
      </c>
      <c r="O43" s="251">
        <v>168048.34099999999</v>
      </c>
      <c r="P43" s="251">
        <v>184867.77299999999</v>
      </c>
      <c r="Q43" s="251">
        <v>197697.71000000002</v>
      </c>
      <c r="R43" s="251">
        <v>204335.37100000001</v>
      </c>
      <c r="S43" s="251">
        <v>174884.508</v>
      </c>
      <c r="T43" s="251">
        <v>201440.5</v>
      </c>
      <c r="U43" s="251">
        <v>213725.45900000003</v>
      </c>
      <c r="V43" s="251">
        <v>220355.23499999999</v>
      </c>
      <c r="W43" s="251">
        <v>178524.27300000002</v>
      </c>
      <c r="X43" s="260">
        <v>190541.886</v>
      </c>
      <c r="Y43" s="260">
        <v>216466.03999999998</v>
      </c>
      <c r="Z43" s="260">
        <v>190535.52799999999</v>
      </c>
      <c r="AA43" s="260">
        <v>181370.21399999998</v>
      </c>
      <c r="AB43" s="260">
        <v>195523.84099999996</v>
      </c>
      <c r="AC43" s="260">
        <v>217149.33399999997</v>
      </c>
      <c r="AD43" s="260">
        <v>253925.81200000001</v>
      </c>
      <c r="AE43" s="260">
        <v>192450.64</v>
      </c>
      <c r="AF43" s="260">
        <v>192063.99099999998</v>
      </c>
      <c r="AG43" s="260">
        <v>211633.10800000001</v>
      </c>
      <c r="AH43" s="260">
        <v>252734.14600000001</v>
      </c>
      <c r="AI43" s="260">
        <v>192796.92299999998</v>
      </c>
      <c r="AJ43" s="260">
        <v>208657.55999999997</v>
      </c>
      <c r="AK43" s="260">
        <v>232730.59599999999</v>
      </c>
      <c r="AL43" s="260">
        <v>219625.53400000001</v>
      </c>
      <c r="AM43" s="260">
        <v>187162.69999999995</v>
      </c>
      <c r="AN43" s="260">
        <v>201794.52599999998</v>
      </c>
      <c r="AO43" s="260">
        <v>228802.587</v>
      </c>
      <c r="AP43" s="260">
        <v>221180.52999999994</v>
      </c>
      <c r="AQ43" s="260">
        <v>189343.98300000001</v>
      </c>
      <c r="AR43" s="260">
        <v>210317.79399999999</v>
      </c>
      <c r="AS43" s="260">
        <v>233235.53400000001</v>
      </c>
      <c r="AT43" s="260">
        <v>243992.84699999995</v>
      </c>
    </row>
    <row r="44" spans="2:46" ht="13.5" thickBot="1" x14ac:dyDescent="0.35">
      <c r="B44" s="257" t="s">
        <v>408</v>
      </c>
      <c r="C44" s="261">
        <f>SUM(C40:C43)</f>
        <v>647080.69799999997</v>
      </c>
      <c r="D44" s="261">
        <f t="shared" ref="D44:AT44" si="14">SUM(D40:D43)</f>
        <v>669220.30300000007</v>
      </c>
      <c r="E44" s="261">
        <f t="shared" si="14"/>
        <v>724481.26500000001</v>
      </c>
      <c r="F44" s="261">
        <f t="shared" si="14"/>
        <v>760041.22100000002</v>
      </c>
      <c r="G44" s="261">
        <f t="shared" si="14"/>
        <v>703758.79700000002</v>
      </c>
      <c r="H44" s="261">
        <f t="shared" si="14"/>
        <v>709082.83200000005</v>
      </c>
      <c r="I44" s="261">
        <f t="shared" si="14"/>
        <v>785512.29</v>
      </c>
      <c r="J44" s="261">
        <f t="shared" si="14"/>
        <v>818117.54999999993</v>
      </c>
      <c r="K44" s="261">
        <f t="shared" si="14"/>
        <v>744432.35899999994</v>
      </c>
      <c r="L44" s="261">
        <f t="shared" si="14"/>
        <v>748994.76300000004</v>
      </c>
      <c r="M44" s="261">
        <f t="shared" si="14"/>
        <v>805009.91</v>
      </c>
      <c r="N44" s="261">
        <f t="shared" si="14"/>
        <v>870690.04499999993</v>
      </c>
      <c r="O44" s="261">
        <f t="shared" si="14"/>
        <v>765181.77099999995</v>
      </c>
      <c r="P44" s="261">
        <f t="shared" si="14"/>
        <v>811191.56799999997</v>
      </c>
      <c r="Q44" s="261">
        <f t="shared" si="14"/>
        <v>854652.33400000003</v>
      </c>
      <c r="R44" s="261">
        <f t="shared" si="14"/>
        <v>901043.11100000003</v>
      </c>
      <c r="S44" s="261">
        <f t="shared" si="14"/>
        <v>786001.88800000004</v>
      </c>
      <c r="T44" s="261">
        <f t="shared" si="14"/>
        <v>822291.72500000009</v>
      </c>
      <c r="U44" s="261">
        <f t="shared" si="14"/>
        <v>867385.96200000006</v>
      </c>
      <c r="V44" s="261">
        <f t="shared" si="14"/>
        <v>934894.26</v>
      </c>
      <c r="W44" s="261">
        <f t="shared" si="14"/>
        <v>803265.06200000015</v>
      </c>
      <c r="X44" s="261">
        <f t="shared" si="14"/>
        <v>819605.09899999993</v>
      </c>
      <c r="Y44" s="261">
        <f t="shared" si="14"/>
        <v>889575.33000000007</v>
      </c>
      <c r="Z44" s="261">
        <f t="shared" si="14"/>
        <v>803672.45</v>
      </c>
      <c r="AA44" s="261">
        <f t="shared" si="14"/>
        <v>801544.03899999987</v>
      </c>
      <c r="AB44" s="261">
        <f t="shared" si="14"/>
        <v>832996.18099999987</v>
      </c>
      <c r="AC44" s="261">
        <f t="shared" si="14"/>
        <v>890705.40599999996</v>
      </c>
      <c r="AD44" s="261">
        <f t="shared" si="14"/>
        <v>1005965.8010000001</v>
      </c>
      <c r="AE44" s="261">
        <f t="shared" si="14"/>
        <v>832300.24399999995</v>
      </c>
      <c r="AF44" s="261">
        <f t="shared" si="14"/>
        <v>788864.85299999989</v>
      </c>
      <c r="AG44" s="261">
        <f t="shared" si="14"/>
        <v>850549.7080000001</v>
      </c>
      <c r="AH44" s="261">
        <f t="shared" si="14"/>
        <v>977460.97200000007</v>
      </c>
      <c r="AI44" s="261">
        <f t="shared" si="14"/>
        <v>832728.69400000002</v>
      </c>
      <c r="AJ44" s="261">
        <f t="shared" si="14"/>
        <v>856424.72899999993</v>
      </c>
      <c r="AK44" s="261">
        <f t="shared" si="14"/>
        <v>914730.89100000006</v>
      </c>
      <c r="AL44" s="261">
        <f t="shared" si="14"/>
        <v>915781.44400000002</v>
      </c>
      <c r="AM44" s="261">
        <f t="shared" si="14"/>
        <v>793586.11899999995</v>
      </c>
      <c r="AN44" s="261">
        <f t="shared" si="14"/>
        <v>818751.201</v>
      </c>
      <c r="AO44" s="261">
        <f t="shared" si="14"/>
        <v>887761.65700000012</v>
      </c>
      <c r="AP44" s="261">
        <f t="shared" si="14"/>
        <v>912049.11300000001</v>
      </c>
      <c r="AQ44" s="261">
        <f t="shared" si="14"/>
        <v>790506.68700000003</v>
      </c>
      <c r="AR44" s="261">
        <f t="shared" si="14"/>
        <v>837058.25199999986</v>
      </c>
      <c r="AS44" s="261">
        <f t="shared" si="14"/>
        <v>925458.31700000004</v>
      </c>
      <c r="AT44" s="261">
        <f t="shared" si="14"/>
        <v>984211.48499999999</v>
      </c>
    </row>
    <row r="45" spans="2:46" x14ac:dyDescent="0.3">
      <c r="B45" s="250" t="s">
        <v>406</v>
      </c>
      <c r="C45" s="251">
        <v>14335.07</v>
      </c>
      <c r="D45" s="251">
        <v>19652.032999999999</v>
      </c>
      <c r="E45" s="251">
        <v>21195.517</v>
      </c>
      <c r="F45" s="251">
        <v>20376.45</v>
      </c>
      <c r="G45" s="251">
        <v>17905.474000000002</v>
      </c>
      <c r="H45" s="251">
        <v>16701.005000000001</v>
      </c>
      <c r="I45" s="251">
        <v>20224.319</v>
      </c>
      <c r="J45" s="251">
        <v>18309.628000000001</v>
      </c>
      <c r="K45" s="251">
        <v>15518.485000000001</v>
      </c>
      <c r="L45" s="251">
        <v>14164.028999999999</v>
      </c>
      <c r="M45" s="251">
        <v>11927.738000000001</v>
      </c>
      <c r="N45" s="251">
        <v>11097.391</v>
      </c>
      <c r="O45" s="251">
        <v>8052.0239999999994</v>
      </c>
      <c r="P45" s="251">
        <v>9116.8220000000001</v>
      </c>
      <c r="Q45" s="251">
        <v>8279.1470000000008</v>
      </c>
      <c r="R45" s="251">
        <v>7665.277</v>
      </c>
      <c r="S45" s="251">
        <v>2969.415</v>
      </c>
      <c r="T45" s="251">
        <v>103.726</v>
      </c>
      <c r="U45" s="251">
        <v>7384.6949999999997</v>
      </c>
      <c r="V45" s="251">
        <v>7218.9699999999993</v>
      </c>
      <c r="W45" s="251">
        <v>5549.7070000000003</v>
      </c>
      <c r="X45" s="260">
        <v>7401.1550000000007</v>
      </c>
      <c r="Y45" s="260">
        <v>12391.826000000001</v>
      </c>
      <c r="Z45" s="260">
        <v>12529.681</v>
      </c>
      <c r="AA45" s="260">
        <v>10580.031999999999</v>
      </c>
      <c r="AB45" s="260">
        <v>13018.559000000001</v>
      </c>
      <c r="AC45" s="260">
        <v>12732.789999999999</v>
      </c>
      <c r="AD45" s="260">
        <v>12184.84</v>
      </c>
      <c r="AE45" s="260">
        <v>10266.181</v>
      </c>
      <c r="AF45" s="260">
        <v>9911.2240000000002</v>
      </c>
      <c r="AG45" s="260">
        <v>15662.225003832904</v>
      </c>
      <c r="AH45" s="260">
        <v>18887.969387495283</v>
      </c>
      <c r="AI45" s="260">
        <v>16602.382802825312</v>
      </c>
      <c r="AJ45" s="260">
        <v>22014.507768252661</v>
      </c>
      <c r="AK45" s="260">
        <v>27645.826308361909</v>
      </c>
      <c r="AL45" s="260">
        <v>27846.049073146627</v>
      </c>
      <c r="AM45" s="260">
        <v>21066.577907285115</v>
      </c>
      <c r="AN45" s="260">
        <v>27799.60609907435</v>
      </c>
      <c r="AO45" s="260">
        <v>29867.836911399725</v>
      </c>
      <c r="AP45" s="260">
        <v>35090.345127510009</v>
      </c>
      <c r="AQ45" s="260">
        <v>26417.957189440003</v>
      </c>
      <c r="AR45" s="260">
        <v>30945.967599645606</v>
      </c>
      <c r="AS45" s="260">
        <v>33440.294190716602</v>
      </c>
      <c r="AT45" s="260">
        <v>33970.313291761297</v>
      </c>
    </row>
    <row r="46" spans="2:46" x14ac:dyDescent="0.3">
      <c r="B46" s="250" t="s">
        <v>407</v>
      </c>
      <c r="C46" s="251">
        <v>1907.1370000000002</v>
      </c>
      <c r="D46" s="251">
        <v>1960.7620000000002</v>
      </c>
      <c r="E46" s="251">
        <v>2038.2860000000001</v>
      </c>
      <c r="F46" s="251">
        <v>2128.944</v>
      </c>
      <c r="G46" s="251">
        <v>2645.8539999999998</v>
      </c>
      <c r="H46" s="251">
        <v>1951.5160000000001</v>
      </c>
      <c r="I46" s="251">
        <v>2052.1549999999997</v>
      </c>
      <c r="J46" s="251">
        <v>2107.1149999999998</v>
      </c>
      <c r="K46" s="251">
        <v>1909.373</v>
      </c>
      <c r="L46" s="251">
        <v>1894.73</v>
      </c>
      <c r="M46" s="251">
        <v>1835.8630000000001</v>
      </c>
      <c r="N46" s="251">
        <v>1871.7429999999999</v>
      </c>
      <c r="O46" s="251">
        <v>1516.6669999999999</v>
      </c>
      <c r="P46" s="251">
        <v>1578.0889999999999</v>
      </c>
      <c r="Q46" s="251">
        <v>3236.1330000000003</v>
      </c>
      <c r="R46" s="251">
        <v>5822.4130000000005</v>
      </c>
      <c r="S46" s="251">
        <v>9309.6320000000014</v>
      </c>
      <c r="T46" s="251">
        <v>12132.901</v>
      </c>
      <c r="U46" s="251">
        <v>11997.869000000001</v>
      </c>
      <c r="V46" s="251">
        <v>12828.368000000002</v>
      </c>
      <c r="W46" s="251">
        <v>11439.735000000001</v>
      </c>
      <c r="X46" s="260">
        <v>11600.46</v>
      </c>
      <c r="Y46" s="260">
        <v>11718.829</v>
      </c>
      <c r="Z46" s="260">
        <v>13182.446</v>
      </c>
      <c r="AA46" s="260">
        <v>11434.508</v>
      </c>
      <c r="AB46" s="260">
        <v>11763.513000000001</v>
      </c>
      <c r="AC46" s="260">
        <v>11092.413</v>
      </c>
      <c r="AD46" s="260">
        <v>13100.295000000002</v>
      </c>
      <c r="AE46" s="260">
        <v>19671.434000000001</v>
      </c>
      <c r="AF46" s="260">
        <v>20408.563000000002</v>
      </c>
      <c r="AG46" s="260">
        <v>25627.296047307471</v>
      </c>
      <c r="AH46" s="260">
        <v>30908.931535830809</v>
      </c>
      <c r="AI46" s="260">
        <v>29824.940197174692</v>
      </c>
      <c r="AJ46" s="260">
        <v>36095.042315578874</v>
      </c>
      <c r="AK46" s="260">
        <v>38481.017491638086</v>
      </c>
      <c r="AL46" s="260">
        <v>40754.225908214314</v>
      </c>
      <c r="AM46" s="260">
        <v>38074.162673249804</v>
      </c>
      <c r="AN46" s="260">
        <v>39569.935675851972</v>
      </c>
      <c r="AO46" s="260">
        <v>42256.041508514609</v>
      </c>
      <c r="AP46" s="260">
        <v>39041.152859540001</v>
      </c>
      <c r="AQ46" s="260">
        <v>43381.147026149993</v>
      </c>
      <c r="AR46" s="260">
        <v>49169.586097715168</v>
      </c>
      <c r="AS46" s="260">
        <v>54981.573919527189</v>
      </c>
      <c r="AT46" s="260">
        <v>62323.479530597397</v>
      </c>
    </row>
    <row r="47" spans="2:46" ht="13.5" thickBot="1" x14ac:dyDescent="0.35">
      <c r="B47" s="250" t="s">
        <v>270</v>
      </c>
      <c r="C47" s="251">
        <v>0</v>
      </c>
      <c r="D47" s="251">
        <v>0</v>
      </c>
      <c r="E47" s="251">
        <v>0</v>
      </c>
      <c r="F47" s="251">
        <v>0</v>
      </c>
      <c r="G47" s="251">
        <v>0</v>
      </c>
      <c r="H47" s="251">
        <v>0</v>
      </c>
      <c r="I47" s="251">
        <v>0</v>
      </c>
      <c r="J47" s="251">
        <v>0</v>
      </c>
      <c r="K47" s="251">
        <v>0</v>
      </c>
      <c r="L47" s="251">
        <v>0</v>
      </c>
      <c r="M47" s="251">
        <v>0</v>
      </c>
      <c r="N47" s="251">
        <v>0</v>
      </c>
      <c r="O47" s="251">
        <v>0</v>
      </c>
      <c r="P47" s="251">
        <v>0</v>
      </c>
      <c r="Q47" s="251">
        <v>0</v>
      </c>
      <c r="R47" s="251">
        <v>0</v>
      </c>
      <c r="S47" s="251">
        <v>0</v>
      </c>
      <c r="T47" s="251">
        <v>0</v>
      </c>
      <c r="U47" s="251">
        <v>0</v>
      </c>
      <c r="V47" s="251">
        <v>0</v>
      </c>
      <c r="W47" s="251">
        <v>0</v>
      </c>
      <c r="X47" s="260">
        <v>0</v>
      </c>
      <c r="Y47" s="260">
        <v>0</v>
      </c>
      <c r="Z47" s="260">
        <v>0</v>
      </c>
      <c r="AA47" s="260">
        <v>0</v>
      </c>
      <c r="AB47" s="260">
        <v>0</v>
      </c>
      <c r="AC47" s="260">
        <v>0</v>
      </c>
      <c r="AD47" s="260">
        <v>0</v>
      </c>
      <c r="AE47" s="260">
        <v>0</v>
      </c>
      <c r="AF47" s="260">
        <v>3261.5219999999999</v>
      </c>
      <c r="AG47" s="260">
        <v>11014.642948859626</v>
      </c>
      <c r="AH47" s="260">
        <v>12822.485076673911</v>
      </c>
      <c r="AI47" s="260">
        <v>12741.829999999998</v>
      </c>
      <c r="AJ47" s="260">
        <v>15261.132916168457</v>
      </c>
      <c r="AK47" s="260">
        <v>17110.282200000001</v>
      </c>
      <c r="AL47" s="260">
        <v>16362.140018639064</v>
      </c>
      <c r="AM47" s="260">
        <v>15656.025419465082</v>
      </c>
      <c r="AN47" s="260">
        <v>16336.660479945996</v>
      </c>
      <c r="AO47" s="260">
        <v>16875.11155820567</v>
      </c>
      <c r="AP47" s="260">
        <v>16610.22857313</v>
      </c>
      <c r="AQ47" s="260">
        <v>15593.249251090001</v>
      </c>
      <c r="AR47" s="260">
        <v>16718.226832400003</v>
      </c>
      <c r="AS47" s="260">
        <v>18111.122486349999</v>
      </c>
      <c r="AT47" s="260">
        <v>18383.551431400309</v>
      </c>
    </row>
    <row r="48" spans="2:46" ht="13.5" thickBot="1" x14ac:dyDescent="0.35">
      <c r="B48" s="252" t="s">
        <v>409</v>
      </c>
      <c r="C48" s="261">
        <f>SUM(C45:C47)</f>
        <v>16242.207</v>
      </c>
      <c r="D48" s="261">
        <f t="shared" ref="D48:AT48" si="15">SUM(D45:D47)</f>
        <v>21612.794999999998</v>
      </c>
      <c r="E48" s="261">
        <f t="shared" si="15"/>
        <v>23233.803</v>
      </c>
      <c r="F48" s="261">
        <f t="shared" si="15"/>
        <v>22505.394</v>
      </c>
      <c r="G48" s="261">
        <f t="shared" si="15"/>
        <v>20551.328000000001</v>
      </c>
      <c r="H48" s="261">
        <f t="shared" si="15"/>
        <v>18652.521000000001</v>
      </c>
      <c r="I48" s="261">
        <f t="shared" si="15"/>
        <v>22276.473999999998</v>
      </c>
      <c r="J48" s="261">
        <f t="shared" si="15"/>
        <v>20416.743000000002</v>
      </c>
      <c r="K48" s="261">
        <f t="shared" si="15"/>
        <v>17427.858</v>
      </c>
      <c r="L48" s="261">
        <f t="shared" si="15"/>
        <v>16058.758999999998</v>
      </c>
      <c r="M48" s="261">
        <f t="shared" si="15"/>
        <v>13763.601000000001</v>
      </c>
      <c r="N48" s="261">
        <f t="shared" si="15"/>
        <v>12969.134</v>
      </c>
      <c r="O48" s="261">
        <f t="shared" si="15"/>
        <v>9568.6909999999989</v>
      </c>
      <c r="P48" s="261">
        <f t="shared" si="15"/>
        <v>10694.911</v>
      </c>
      <c r="Q48" s="261">
        <f t="shared" si="15"/>
        <v>11515.28</v>
      </c>
      <c r="R48" s="261">
        <f t="shared" si="15"/>
        <v>13487.69</v>
      </c>
      <c r="S48" s="261">
        <f t="shared" si="15"/>
        <v>12279.047000000002</v>
      </c>
      <c r="T48" s="261">
        <f t="shared" si="15"/>
        <v>12236.627</v>
      </c>
      <c r="U48" s="261">
        <f t="shared" si="15"/>
        <v>19382.563999999998</v>
      </c>
      <c r="V48" s="261">
        <f t="shared" si="15"/>
        <v>20047.338000000003</v>
      </c>
      <c r="W48" s="261">
        <f t="shared" si="15"/>
        <v>16989.442000000003</v>
      </c>
      <c r="X48" s="261">
        <f t="shared" si="15"/>
        <v>19001.614999999998</v>
      </c>
      <c r="Y48" s="261">
        <f t="shared" si="15"/>
        <v>24110.654999999999</v>
      </c>
      <c r="Z48" s="261">
        <f t="shared" si="15"/>
        <v>25712.127</v>
      </c>
      <c r="AA48" s="261">
        <f t="shared" si="15"/>
        <v>22014.54</v>
      </c>
      <c r="AB48" s="261">
        <f t="shared" si="15"/>
        <v>24782.072</v>
      </c>
      <c r="AC48" s="261">
        <f t="shared" si="15"/>
        <v>23825.203000000001</v>
      </c>
      <c r="AD48" s="261">
        <f t="shared" si="15"/>
        <v>25285.135000000002</v>
      </c>
      <c r="AE48" s="261">
        <f t="shared" si="15"/>
        <v>29937.615000000002</v>
      </c>
      <c r="AF48" s="261">
        <f t="shared" si="15"/>
        <v>33581.309000000001</v>
      </c>
      <c r="AG48" s="261">
        <f t="shared" si="15"/>
        <v>52304.163999999997</v>
      </c>
      <c r="AH48" s="261">
        <f t="shared" si="15"/>
        <v>62619.385999999999</v>
      </c>
      <c r="AI48" s="261">
        <f t="shared" si="15"/>
        <v>59169.153000000006</v>
      </c>
      <c r="AJ48" s="261">
        <f t="shared" si="15"/>
        <v>73370.68299999999</v>
      </c>
      <c r="AK48" s="261">
        <f t="shared" si="15"/>
        <v>83237.126000000004</v>
      </c>
      <c r="AL48" s="261">
        <f t="shared" si="15"/>
        <v>84962.415000000008</v>
      </c>
      <c r="AM48" s="261">
        <f t="shared" si="15"/>
        <v>74796.766000000003</v>
      </c>
      <c r="AN48" s="261">
        <f t="shared" si="15"/>
        <v>83706.202254872333</v>
      </c>
      <c r="AO48" s="261">
        <f t="shared" si="15"/>
        <v>88998.989978120007</v>
      </c>
      <c r="AP48" s="261">
        <f t="shared" si="15"/>
        <v>90741.726560180017</v>
      </c>
      <c r="AQ48" s="261">
        <f t="shared" si="15"/>
        <v>85392.353466679997</v>
      </c>
      <c r="AR48" s="261">
        <f t="shared" si="15"/>
        <v>96833.78052976077</v>
      </c>
      <c r="AS48" s="261">
        <f t="shared" si="15"/>
        <v>106532.99059659378</v>
      </c>
      <c r="AT48" s="261">
        <f t="shared" si="15"/>
        <v>114677.344253759</v>
      </c>
    </row>
    <row r="49" spans="2:46" ht="13.5" thickBot="1" x14ac:dyDescent="0.35">
      <c r="B49" s="254" t="s">
        <v>410</v>
      </c>
      <c r="C49" s="265">
        <v>24720.379468000003</v>
      </c>
      <c r="D49" s="265">
        <v>25974.084292000003</v>
      </c>
      <c r="E49" s="265">
        <v>27535.693444800003</v>
      </c>
      <c r="F49" s="265">
        <v>29171.060312000001</v>
      </c>
      <c r="G49" s="265">
        <v>26864.347999999998</v>
      </c>
      <c r="H49" s="265">
        <v>28895.479936752505</v>
      </c>
      <c r="I49" s="265">
        <v>33391.927444305198</v>
      </c>
      <c r="J49" s="265">
        <v>33285.366000000002</v>
      </c>
      <c r="K49" s="265">
        <v>30467.275674991673</v>
      </c>
      <c r="L49" s="265">
        <v>31011.724761845093</v>
      </c>
      <c r="M49" s="265">
        <v>33290.018714002501</v>
      </c>
      <c r="N49" s="265">
        <v>35386.541806379697</v>
      </c>
      <c r="O49" s="265">
        <v>32248.860633357999</v>
      </c>
      <c r="P49" s="265">
        <v>34403.665551092701</v>
      </c>
      <c r="Q49" s="265">
        <v>36263.119139998402</v>
      </c>
      <c r="R49" s="265">
        <v>36213.923887879595</v>
      </c>
      <c r="S49" s="265">
        <v>31998.781319561731</v>
      </c>
      <c r="T49" s="265">
        <v>32825.451204738398</v>
      </c>
      <c r="U49" s="265">
        <v>35462.7305745802</v>
      </c>
      <c r="V49" s="265">
        <v>34864.7050446918</v>
      </c>
      <c r="W49" s="265">
        <v>29862.91472567321</v>
      </c>
      <c r="X49" s="265">
        <v>31004.696208293906</v>
      </c>
      <c r="Y49" s="265">
        <v>33312.177684063499</v>
      </c>
      <c r="Z49" s="265">
        <v>34095.757067614599</v>
      </c>
      <c r="AA49" s="262">
        <v>30452.26299212774</v>
      </c>
      <c r="AB49" s="262">
        <v>32018.805685827298</v>
      </c>
      <c r="AC49" s="262">
        <v>35481</v>
      </c>
      <c r="AD49" s="262">
        <v>34983.775999999998</v>
      </c>
      <c r="AE49" s="262">
        <v>32416.33</v>
      </c>
      <c r="AF49" s="262">
        <v>34414.71</v>
      </c>
      <c r="AG49" s="262">
        <v>39505.686999999998</v>
      </c>
      <c r="AH49" s="262">
        <v>38860.991000000002</v>
      </c>
      <c r="AI49" s="262">
        <v>36424.182000000001</v>
      </c>
      <c r="AJ49" s="262">
        <v>37824.080000000002</v>
      </c>
      <c r="AK49" s="262">
        <v>41043.202000000005</v>
      </c>
      <c r="AL49" s="262">
        <v>40353.236000000004</v>
      </c>
      <c r="AM49" s="262">
        <v>37382.29</v>
      </c>
      <c r="AN49" s="262">
        <v>36591.605000000003</v>
      </c>
      <c r="AO49" s="262">
        <v>38024.331000000006</v>
      </c>
      <c r="AP49" s="262">
        <v>31638.651885780004</v>
      </c>
      <c r="AQ49" s="262">
        <v>47063.362139050012</v>
      </c>
      <c r="AR49" s="262">
        <v>38386.433417526699</v>
      </c>
      <c r="AS49" s="262">
        <v>43027.037722453802</v>
      </c>
      <c r="AT49" s="262">
        <v>45632.668140361697</v>
      </c>
    </row>
    <row r="50" spans="2:46" ht="13.5" thickBot="1" x14ac:dyDescent="0.35">
      <c r="B50" s="254" t="s">
        <v>411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62">
        <v>5280.1900000000605</v>
      </c>
      <c r="AB50" s="262">
        <v>6526.2960000000894</v>
      </c>
      <c r="AC50" s="262">
        <v>8084.8080000000773</v>
      </c>
      <c r="AD50" s="262">
        <v>10790.787999999942</v>
      </c>
      <c r="AE50" s="262">
        <v>10093.698000000091</v>
      </c>
      <c r="AF50" s="262">
        <v>12251.595000000088</v>
      </c>
      <c r="AG50" s="262">
        <v>18398.371999999974</v>
      </c>
      <c r="AH50" s="262">
        <v>25055.689000000013</v>
      </c>
      <c r="AI50" s="262">
        <v>25126.626000000047</v>
      </c>
      <c r="AJ50" s="262">
        <v>29028.685999999987</v>
      </c>
      <c r="AK50" s="262">
        <v>36829.887000000104</v>
      </c>
      <c r="AL50" s="262">
        <v>44230.668000000063</v>
      </c>
      <c r="AM50" s="262">
        <v>43138.319000000018</v>
      </c>
      <c r="AN50" s="266">
        <v>51859.6599999998</v>
      </c>
      <c r="AO50" s="266">
        <v>66848.037000000244</v>
      </c>
      <c r="AP50" s="266">
        <v>77827.670999999973</v>
      </c>
      <c r="AQ50" s="266">
        <v>73429.679999999906</v>
      </c>
      <c r="AR50" s="266">
        <v>90670.601999999999</v>
      </c>
      <c r="AS50" s="266">
        <v>118629.57799999999</v>
      </c>
      <c r="AT50" s="266">
        <v>135087.86200000008</v>
      </c>
    </row>
    <row r="51" spans="2:46" ht="13.5" thickBot="1" x14ac:dyDescent="0.35">
      <c r="B51" s="257" t="s">
        <v>416</v>
      </c>
      <c r="C51" s="258">
        <f t="shared" ref="C51:AS51" si="16">SUM(C44,C48:C50)</f>
        <v>688043.28446800006</v>
      </c>
      <c r="D51" s="258">
        <f t="shared" si="16"/>
        <v>716807.18229200016</v>
      </c>
      <c r="E51" s="258">
        <f t="shared" si="16"/>
        <v>775250.76144479995</v>
      </c>
      <c r="F51" s="258">
        <f t="shared" si="16"/>
        <v>811717.67531199998</v>
      </c>
      <c r="G51" s="258">
        <f t="shared" si="16"/>
        <v>751174.473</v>
      </c>
      <c r="H51" s="258">
        <f t="shared" si="16"/>
        <v>756630.83293675247</v>
      </c>
      <c r="I51" s="258">
        <f t="shared" si="16"/>
        <v>841180.69144430524</v>
      </c>
      <c r="J51" s="258">
        <f t="shared" si="16"/>
        <v>871819.65899999999</v>
      </c>
      <c r="K51" s="258">
        <f t="shared" si="16"/>
        <v>792327.4926749916</v>
      </c>
      <c r="L51" s="258">
        <f t="shared" si="16"/>
        <v>796065.24676184508</v>
      </c>
      <c r="M51" s="258">
        <f t="shared" si="16"/>
        <v>852063.52971400251</v>
      </c>
      <c r="N51" s="258">
        <f t="shared" si="16"/>
        <v>919045.72080637957</v>
      </c>
      <c r="O51" s="258">
        <f t="shared" si="16"/>
        <v>806999.32263335795</v>
      </c>
      <c r="P51" s="258">
        <f t="shared" si="16"/>
        <v>856290.14455109264</v>
      </c>
      <c r="Q51" s="258">
        <f t="shared" si="16"/>
        <v>902430.73313999851</v>
      </c>
      <c r="R51" s="258">
        <f t="shared" si="16"/>
        <v>950744.72488787957</v>
      </c>
      <c r="S51" s="258">
        <f t="shared" si="16"/>
        <v>830279.71631956182</v>
      </c>
      <c r="T51" s="258">
        <f t="shared" si="16"/>
        <v>867353.80320473842</v>
      </c>
      <c r="U51" s="258">
        <f t="shared" si="16"/>
        <v>922231.25657458021</v>
      </c>
      <c r="V51" s="258">
        <f t="shared" si="16"/>
        <v>989806.3030446918</v>
      </c>
      <c r="W51" s="258">
        <f t="shared" si="16"/>
        <v>850117.41872567334</v>
      </c>
      <c r="X51" s="258">
        <f t="shared" si="16"/>
        <v>869611.41020829382</v>
      </c>
      <c r="Y51" s="258">
        <f t="shared" si="16"/>
        <v>946998.16268406366</v>
      </c>
      <c r="Z51" s="258">
        <f t="shared" si="16"/>
        <v>863480.33406761452</v>
      </c>
      <c r="AA51" s="253">
        <f t="shared" si="16"/>
        <v>859291.03199212777</v>
      </c>
      <c r="AB51" s="253">
        <f t="shared" si="16"/>
        <v>896323.35468582727</v>
      </c>
      <c r="AC51" s="253">
        <f t="shared" si="16"/>
        <v>958096.41700000002</v>
      </c>
      <c r="AD51" s="253">
        <f t="shared" si="16"/>
        <v>1077025.5</v>
      </c>
      <c r="AE51" s="253">
        <f t="shared" si="16"/>
        <v>904747.88699999999</v>
      </c>
      <c r="AF51" s="253">
        <f t="shared" si="16"/>
        <v>869112.46699999995</v>
      </c>
      <c r="AG51" s="253">
        <f t="shared" si="16"/>
        <v>960757.9310000001</v>
      </c>
      <c r="AH51" s="253">
        <f t="shared" si="16"/>
        <v>1103997.0379999999</v>
      </c>
      <c r="AI51" s="253">
        <f t="shared" si="16"/>
        <v>953448.65500000014</v>
      </c>
      <c r="AJ51" s="253">
        <f t="shared" si="16"/>
        <v>996648.17799999984</v>
      </c>
      <c r="AK51" s="253">
        <f t="shared" si="16"/>
        <v>1075841.1060000001</v>
      </c>
      <c r="AL51" s="253">
        <f t="shared" si="16"/>
        <v>1085327.7630000003</v>
      </c>
      <c r="AM51" s="253">
        <f t="shared" si="16"/>
        <v>948903.49400000006</v>
      </c>
      <c r="AN51" s="253">
        <f t="shared" si="16"/>
        <v>990908.66825487209</v>
      </c>
      <c r="AO51" s="253">
        <f t="shared" si="16"/>
        <v>1081633.0149781203</v>
      </c>
      <c r="AP51" s="253">
        <f t="shared" si="16"/>
        <v>1112257.1624459601</v>
      </c>
      <c r="AQ51" s="253">
        <f t="shared" si="16"/>
        <v>996392.08260573004</v>
      </c>
      <c r="AR51" s="253">
        <f t="shared" si="16"/>
        <v>1062949.0679472873</v>
      </c>
      <c r="AS51" s="253">
        <f t="shared" si="16"/>
        <v>1193647.9233190475</v>
      </c>
      <c r="AT51" s="253">
        <f t="shared" ref="AT51" si="17">SUM(AT44,AT48:AT50)</f>
        <v>1279609.359394121</v>
      </c>
    </row>
    <row r="52" spans="2:46" ht="13.5" thickBot="1" x14ac:dyDescent="0.35">
      <c r="B52" s="252" t="s">
        <v>413</v>
      </c>
      <c r="C52" s="258">
        <f t="shared" ref="C52:AS52" si="18">C51-C50</f>
        <v>688043.28446800006</v>
      </c>
      <c r="D52" s="258">
        <f t="shared" si="18"/>
        <v>716807.18229200016</v>
      </c>
      <c r="E52" s="258">
        <f t="shared" si="18"/>
        <v>775250.76144479995</v>
      </c>
      <c r="F52" s="258">
        <f t="shared" si="18"/>
        <v>811717.67531199998</v>
      </c>
      <c r="G52" s="258">
        <f t="shared" si="18"/>
        <v>751174.473</v>
      </c>
      <c r="H52" s="258">
        <f t="shared" si="18"/>
        <v>756630.83293675247</v>
      </c>
      <c r="I52" s="258">
        <f t="shared" si="18"/>
        <v>841180.69144430524</v>
      </c>
      <c r="J52" s="258">
        <f t="shared" si="18"/>
        <v>871819.65899999999</v>
      </c>
      <c r="K52" s="258">
        <f t="shared" si="18"/>
        <v>792327.4926749916</v>
      </c>
      <c r="L52" s="258">
        <f t="shared" si="18"/>
        <v>796065.24676184508</v>
      </c>
      <c r="M52" s="258">
        <f t="shared" si="18"/>
        <v>852063.52971400251</v>
      </c>
      <c r="N52" s="258">
        <f t="shared" si="18"/>
        <v>919045.72080637957</v>
      </c>
      <c r="O52" s="258">
        <f t="shared" si="18"/>
        <v>806999.32263335795</v>
      </c>
      <c r="P52" s="258">
        <f t="shared" si="18"/>
        <v>856290.14455109264</v>
      </c>
      <c r="Q52" s="258">
        <f t="shared" si="18"/>
        <v>902430.73313999851</v>
      </c>
      <c r="R52" s="258">
        <f t="shared" si="18"/>
        <v>950744.72488787957</v>
      </c>
      <c r="S52" s="258">
        <f t="shared" si="18"/>
        <v>830279.71631956182</v>
      </c>
      <c r="T52" s="258">
        <f t="shared" si="18"/>
        <v>867353.80320473842</v>
      </c>
      <c r="U52" s="258">
        <f t="shared" si="18"/>
        <v>922231.25657458021</v>
      </c>
      <c r="V52" s="258">
        <f t="shared" si="18"/>
        <v>989806.3030446918</v>
      </c>
      <c r="W52" s="258">
        <f t="shared" si="18"/>
        <v>850117.41872567334</v>
      </c>
      <c r="X52" s="258">
        <f t="shared" si="18"/>
        <v>869611.41020829382</v>
      </c>
      <c r="Y52" s="258">
        <f t="shared" si="18"/>
        <v>946998.16268406366</v>
      </c>
      <c r="Z52" s="258">
        <f t="shared" si="18"/>
        <v>863480.33406761452</v>
      </c>
      <c r="AA52" s="253">
        <f t="shared" si="18"/>
        <v>854010.84199212771</v>
      </c>
      <c r="AB52" s="253">
        <f t="shared" si="18"/>
        <v>889797.05868582719</v>
      </c>
      <c r="AC52" s="253">
        <f t="shared" si="18"/>
        <v>950011.60899999994</v>
      </c>
      <c r="AD52" s="253">
        <f t="shared" si="18"/>
        <v>1066234.7120000001</v>
      </c>
      <c r="AE52" s="253">
        <f t="shared" si="18"/>
        <v>894654.1889999999</v>
      </c>
      <c r="AF52" s="253">
        <f t="shared" si="18"/>
        <v>856860.87199999986</v>
      </c>
      <c r="AG52" s="253">
        <f t="shared" si="18"/>
        <v>942359.55900000012</v>
      </c>
      <c r="AH52" s="253">
        <f t="shared" si="18"/>
        <v>1078941.3489999999</v>
      </c>
      <c r="AI52" s="253">
        <f t="shared" si="18"/>
        <v>928322.0290000001</v>
      </c>
      <c r="AJ52" s="253">
        <f t="shared" si="18"/>
        <v>967619.49199999985</v>
      </c>
      <c r="AK52" s="253">
        <f t="shared" si="18"/>
        <v>1039011.219</v>
      </c>
      <c r="AL52" s="253">
        <f t="shared" si="18"/>
        <v>1041097.0950000002</v>
      </c>
      <c r="AM52" s="253">
        <f t="shared" si="18"/>
        <v>905765.17500000005</v>
      </c>
      <c r="AN52" s="253">
        <f t="shared" si="18"/>
        <v>939049.00825487229</v>
      </c>
      <c r="AO52" s="253">
        <f t="shared" si="18"/>
        <v>1014784.9779781201</v>
      </c>
      <c r="AP52" s="253">
        <f t="shared" si="18"/>
        <v>1034429.4914459601</v>
      </c>
      <c r="AQ52" s="253">
        <f t="shared" si="18"/>
        <v>922962.40260573011</v>
      </c>
      <c r="AR52" s="253">
        <f t="shared" si="18"/>
        <v>972278.46594728739</v>
      </c>
      <c r="AS52" s="253">
        <f t="shared" si="18"/>
        <v>1075018.3453190476</v>
      </c>
      <c r="AT52" s="253">
        <f t="shared" ref="AT52" si="19">AT51-AT50</f>
        <v>1144521.4973941208</v>
      </c>
    </row>
    <row r="53" spans="2:46" x14ac:dyDescent="0.3">
      <c r="B53" s="263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</row>
    <row r="54" spans="2:46" x14ac:dyDescent="0.3">
      <c r="B54" s="248" t="s">
        <v>4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</row>
    <row r="55" spans="2:46" x14ac:dyDescent="0.3">
      <c r="B55" s="250" t="s">
        <v>405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>
        <v>353113</v>
      </c>
      <c r="T55" s="251">
        <v>361697</v>
      </c>
      <c r="U55" s="251">
        <v>321031</v>
      </c>
      <c r="V55" s="251">
        <v>356332</v>
      </c>
      <c r="W55" s="251">
        <v>372330.20500000002</v>
      </c>
      <c r="X55" s="260">
        <v>359735.98800000001</v>
      </c>
      <c r="Y55" s="260">
        <v>340106.68299999996</v>
      </c>
      <c r="Z55" s="260">
        <v>361533.65099999995</v>
      </c>
      <c r="AA55" s="260">
        <v>377659.95799999998</v>
      </c>
      <c r="AB55" s="260">
        <v>177485.14130454609</v>
      </c>
      <c r="AC55" s="260">
        <v>329476.266</v>
      </c>
      <c r="AD55" s="260">
        <v>377288.39</v>
      </c>
      <c r="AE55" s="260">
        <v>400832.58100000001</v>
      </c>
      <c r="AF55" s="260">
        <v>395654.11499999999</v>
      </c>
      <c r="AG55" s="260">
        <v>347084.42299999995</v>
      </c>
      <c r="AH55" s="260">
        <v>402759.76699999993</v>
      </c>
      <c r="AI55" s="260">
        <v>418106.26899999997</v>
      </c>
      <c r="AJ55" s="260">
        <v>400848.22899999999</v>
      </c>
      <c r="AK55" s="260">
        <v>355435.78399999999</v>
      </c>
      <c r="AL55" s="260">
        <v>411797.40700000001</v>
      </c>
      <c r="AM55" s="260">
        <v>428387.50199999998</v>
      </c>
      <c r="AN55" s="260">
        <v>401096.23199999996</v>
      </c>
      <c r="AO55" s="260">
        <v>375250.02600000001</v>
      </c>
      <c r="AP55" s="260">
        <v>426792.65900000004</v>
      </c>
      <c r="AQ55" s="260">
        <v>458459.39</v>
      </c>
      <c r="AR55" s="260">
        <v>450782.984</v>
      </c>
      <c r="AS55" s="260">
        <v>393975.04399999999</v>
      </c>
      <c r="AT55" s="260">
        <v>454893.44799999997</v>
      </c>
    </row>
    <row r="56" spans="2:46" x14ac:dyDescent="0.3">
      <c r="B56" s="250" t="s">
        <v>406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>
        <v>133113</v>
      </c>
      <c r="T56" s="251">
        <v>126738</v>
      </c>
      <c r="U56" s="251">
        <v>72020</v>
      </c>
      <c r="V56" s="251">
        <v>70539</v>
      </c>
      <c r="W56" s="251">
        <v>63255.251000000004</v>
      </c>
      <c r="X56" s="260">
        <v>61603.025999999998</v>
      </c>
      <c r="Y56" s="260">
        <v>62393.619999999995</v>
      </c>
      <c r="Z56" s="260">
        <v>59119.837999999996</v>
      </c>
      <c r="AA56" s="260">
        <v>56185.718999999997</v>
      </c>
      <c r="AB56" s="260">
        <v>46906.13543702945</v>
      </c>
      <c r="AC56" s="260">
        <v>48416.821000000004</v>
      </c>
      <c r="AD56" s="260">
        <v>43407.75</v>
      </c>
      <c r="AE56" s="260">
        <v>37605.023000000001</v>
      </c>
      <c r="AF56" s="260">
        <v>33384.647000000004</v>
      </c>
      <c r="AG56" s="260">
        <v>37087.857000000004</v>
      </c>
      <c r="AH56" s="260">
        <v>34321.345000000001</v>
      </c>
      <c r="AI56" s="260">
        <v>34446.781000000003</v>
      </c>
      <c r="AJ56" s="260">
        <v>32528.164999999994</v>
      </c>
      <c r="AK56" s="260">
        <v>34155.512999999999</v>
      </c>
      <c r="AL56" s="260">
        <v>31411.432999999997</v>
      </c>
      <c r="AM56" s="260">
        <v>31183.008000000002</v>
      </c>
      <c r="AN56" s="260">
        <v>31050.876</v>
      </c>
      <c r="AO56" s="260">
        <v>31526.845000000001</v>
      </c>
      <c r="AP56" s="260">
        <v>29387.778999999999</v>
      </c>
      <c r="AQ56" s="260">
        <v>27923.787</v>
      </c>
      <c r="AR56" s="260">
        <v>27767.824999999997</v>
      </c>
      <c r="AS56" s="260">
        <v>28370.948</v>
      </c>
      <c r="AT56" s="260">
        <v>24364.782999999999</v>
      </c>
    </row>
    <row r="57" spans="2:46" x14ac:dyDescent="0.3">
      <c r="B57" s="250" t="s">
        <v>407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>
        <v>185917</v>
      </c>
      <c r="T57" s="251">
        <v>175795</v>
      </c>
      <c r="U57" s="251">
        <v>157953</v>
      </c>
      <c r="V57" s="251">
        <v>178770</v>
      </c>
      <c r="W57" s="251">
        <v>180274.86900000001</v>
      </c>
      <c r="X57" s="260">
        <v>167835.52499999999</v>
      </c>
      <c r="Y57" s="260">
        <v>162491.48699999999</v>
      </c>
      <c r="Z57" s="260">
        <v>179566.42300000001</v>
      </c>
      <c r="AA57" s="260">
        <v>176589.99600000001</v>
      </c>
      <c r="AB57" s="260">
        <v>139761.25800918782</v>
      </c>
      <c r="AC57" s="260">
        <v>158770.549</v>
      </c>
      <c r="AD57" s="260">
        <v>182615.48499999999</v>
      </c>
      <c r="AE57" s="260">
        <v>176460.82699999999</v>
      </c>
      <c r="AF57" s="260">
        <v>126680.963</v>
      </c>
      <c r="AG57" s="260">
        <v>132568.14199999999</v>
      </c>
      <c r="AH57" s="260">
        <v>165835.94</v>
      </c>
      <c r="AI57" s="260">
        <v>164769.07</v>
      </c>
      <c r="AJ57" s="260">
        <v>151962.39221830532</v>
      </c>
      <c r="AK57" s="260">
        <v>149269.23800000001</v>
      </c>
      <c r="AL57" s="260">
        <v>172921.90400000001</v>
      </c>
      <c r="AM57" s="260">
        <v>166683.853</v>
      </c>
      <c r="AN57" s="260">
        <v>153497.91100000002</v>
      </c>
      <c r="AO57" s="260">
        <v>147258.22899999999</v>
      </c>
      <c r="AP57" s="260">
        <v>160163.927</v>
      </c>
      <c r="AQ57" s="260">
        <v>160654.72500000001</v>
      </c>
      <c r="AR57" s="260">
        <v>148612.28200000001</v>
      </c>
      <c r="AS57" s="260">
        <v>127908.50399999999</v>
      </c>
      <c r="AT57" s="260">
        <v>134706.34599999999</v>
      </c>
    </row>
    <row r="58" spans="2:46" ht="13.5" thickBot="1" x14ac:dyDescent="0.35">
      <c r="B58" s="250" t="s">
        <v>270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>
        <v>223851</v>
      </c>
      <c r="T58" s="251">
        <v>216600</v>
      </c>
      <c r="U58" s="251">
        <v>178068</v>
      </c>
      <c r="V58" s="251">
        <v>195601</v>
      </c>
      <c r="W58" s="251">
        <v>220514.75599999999</v>
      </c>
      <c r="X58" s="260">
        <v>176694.10099999997</v>
      </c>
      <c r="Y58" s="260">
        <v>182999.88199999998</v>
      </c>
      <c r="Z58" s="260">
        <v>239486.655</v>
      </c>
      <c r="AA58" s="260">
        <v>211543.54499999998</v>
      </c>
      <c r="AB58" s="260">
        <v>141605.34624923655</v>
      </c>
      <c r="AC58" s="260">
        <v>178061.73699999999</v>
      </c>
      <c r="AD58" s="260">
        <v>268107.45699999999</v>
      </c>
      <c r="AE58" s="260">
        <v>241277.02400000003</v>
      </c>
      <c r="AF58" s="260">
        <v>178221.89300000001</v>
      </c>
      <c r="AG58" s="260">
        <v>175199.32399999999</v>
      </c>
      <c r="AH58" s="260">
        <v>241029.18999999997</v>
      </c>
      <c r="AI58" s="260">
        <v>238274.592</v>
      </c>
      <c r="AJ58" s="260">
        <v>182606.14399999997</v>
      </c>
      <c r="AK58" s="260">
        <v>184497.64499999999</v>
      </c>
      <c r="AL58" s="260">
        <v>265034.35100000002</v>
      </c>
      <c r="AM58" s="260">
        <v>229312.72899999999</v>
      </c>
      <c r="AN58" s="260">
        <v>181745.571</v>
      </c>
      <c r="AO58" s="260">
        <v>179057.68700000001</v>
      </c>
      <c r="AP58" s="260">
        <v>229230.37100000004</v>
      </c>
      <c r="AQ58" s="260">
        <v>228310.67200000002</v>
      </c>
      <c r="AR58" s="260">
        <v>205825.39199999999</v>
      </c>
      <c r="AS58" s="260">
        <v>185861.22799999997</v>
      </c>
      <c r="AT58" s="260">
        <v>244610.41700000002</v>
      </c>
    </row>
    <row r="59" spans="2:46" ht="13.5" thickBot="1" x14ac:dyDescent="0.35">
      <c r="B59" s="257" t="s">
        <v>408</v>
      </c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>
        <f>SUM(S55:S58)</f>
        <v>895994</v>
      </c>
      <c r="T59" s="261">
        <f t="shared" ref="T59:AT59" si="20">SUM(T55:T58)</f>
        <v>880830</v>
      </c>
      <c r="U59" s="261">
        <f t="shared" si="20"/>
        <v>729072</v>
      </c>
      <c r="V59" s="261">
        <f t="shared" si="20"/>
        <v>801242</v>
      </c>
      <c r="W59" s="261">
        <f t="shared" si="20"/>
        <v>836375.08100000001</v>
      </c>
      <c r="X59" s="261">
        <f t="shared" si="20"/>
        <v>765868.6399999999</v>
      </c>
      <c r="Y59" s="261">
        <f t="shared" si="20"/>
        <v>747991.6719999999</v>
      </c>
      <c r="Z59" s="261">
        <f t="shared" si="20"/>
        <v>839706.56700000004</v>
      </c>
      <c r="AA59" s="261">
        <f t="shared" si="20"/>
        <v>821979.21799999988</v>
      </c>
      <c r="AB59" s="261">
        <f t="shared" si="20"/>
        <v>505757.88099999988</v>
      </c>
      <c r="AC59" s="261">
        <f t="shared" si="20"/>
        <v>714725.37299999991</v>
      </c>
      <c r="AD59" s="261">
        <f t="shared" si="20"/>
        <v>871419.08199999994</v>
      </c>
      <c r="AE59" s="261">
        <f t="shared" si="20"/>
        <v>856175.45500000007</v>
      </c>
      <c r="AF59" s="261">
        <f t="shared" si="20"/>
        <v>733941.61800000002</v>
      </c>
      <c r="AG59" s="261">
        <f t="shared" si="20"/>
        <v>691939.74599999993</v>
      </c>
      <c r="AH59" s="261">
        <f t="shared" si="20"/>
        <v>843946.24199999985</v>
      </c>
      <c r="AI59" s="261">
        <f t="shared" si="20"/>
        <v>855596.71200000006</v>
      </c>
      <c r="AJ59" s="261">
        <f t="shared" si="20"/>
        <v>767944.93021830532</v>
      </c>
      <c r="AK59" s="261">
        <f t="shared" si="20"/>
        <v>723358.17999999993</v>
      </c>
      <c r="AL59" s="261">
        <f t="shared" si="20"/>
        <v>881165.09500000009</v>
      </c>
      <c r="AM59" s="261">
        <f t="shared" si="20"/>
        <v>855567.09199999995</v>
      </c>
      <c r="AN59" s="261">
        <f t="shared" si="20"/>
        <v>767390.59</v>
      </c>
      <c r="AO59" s="261">
        <f t="shared" si="20"/>
        <v>733092.78700000013</v>
      </c>
      <c r="AP59" s="261">
        <f t="shared" si="20"/>
        <v>845574.73600000003</v>
      </c>
      <c r="AQ59" s="261">
        <f t="shared" si="20"/>
        <v>875348.57400000002</v>
      </c>
      <c r="AR59" s="261">
        <f t="shared" si="20"/>
        <v>832988.48300000001</v>
      </c>
      <c r="AS59" s="261">
        <f t="shared" si="20"/>
        <v>736115.72399999993</v>
      </c>
      <c r="AT59" s="261">
        <f t="shared" si="20"/>
        <v>858574.99399999995</v>
      </c>
    </row>
    <row r="60" spans="2:46" x14ac:dyDescent="0.3">
      <c r="B60" s="250" t="s">
        <v>406</v>
      </c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>
        <v>33468</v>
      </c>
      <c r="T60" s="251">
        <v>33597</v>
      </c>
      <c r="U60" s="251">
        <v>90303</v>
      </c>
      <c r="V60" s="251">
        <v>86152</v>
      </c>
      <c r="W60" s="251">
        <v>85541.035999999993</v>
      </c>
      <c r="X60" s="260">
        <v>97170.813999999998</v>
      </c>
      <c r="Y60" s="260">
        <v>101918.588</v>
      </c>
      <c r="Z60" s="260">
        <v>111713.955</v>
      </c>
      <c r="AA60" s="260">
        <v>112466.72200000001</v>
      </c>
      <c r="AB60" s="260">
        <v>109290</v>
      </c>
      <c r="AC60" s="260">
        <v>118811.17692717674</v>
      </c>
      <c r="AD60" s="260">
        <v>133031.84165963216</v>
      </c>
      <c r="AE60" s="260">
        <v>134795.85798265255</v>
      </c>
      <c r="AF60" s="260">
        <v>119324.13643382784</v>
      </c>
      <c r="AG60" s="260">
        <v>148253.82217082707</v>
      </c>
      <c r="AH60" s="260">
        <v>138931.09323171285</v>
      </c>
      <c r="AI60" s="260">
        <v>138206.66971238056</v>
      </c>
      <c r="AJ60" s="260">
        <v>132132.77970716092</v>
      </c>
      <c r="AK60" s="260">
        <v>132806.32382597166</v>
      </c>
      <c r="AL60" s="260">
        <v>136690.89440622952</v>
      </c>
      <c r="AM60" s="260">
        <v>142394.11087981422</v>
      </c>
      <c r="AN60" s="260">
        <v>142529.71801253065</v>
      </c>
      <c r="AO60" s="260">
        <v>141129.06419459108</v>
      </c>
      <c r="AP60" s="260">
        <v>141120.31397948964</v>
      </c>
      <c r="AQ60" s="260">
        <v>151846.82530078752</v>
      </c>
      <c r="AR60" s="260">
        <v>149976.68301715783</v>
      </c>
      <c r="AS60" s="260">
        <v>164012.16741637449</v>
      </c>
      <c r="AT60" s="260">
        <v>160696.22799104199</v>
      </c>
    </row>
    <row r="61" spans="2:46" x14ac:dyDescent="0.3">
      <c r="B61" s="250" t="s">
        <v>407</v>
      </c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>
        <v>11387</v>
      </c>
      <c r="T61" s="251">
        <v>13235</v>
      </c>
      <c r="U61" s="251">
        <v>13642</v>
      </c>
      <c r="V61" s="251">
        <v>17990</v>
      </c>
      <c r="W61" s="251">
        <v>18610.748</v>
      </c>
      <c r="X61" s="260">
        <v>17345.903999999999</v>
      </c>
      <c r="Y61" s="260">
        <v>16853.350000000002</v>
      </c>
      <c r="Z61" s="260">
        <v>18670.434999999998</v>
      </c>
      <c r="AA61" s="260">
        <v>22121.733999999997</v>
      </c>
      <c r="AB61" s="260">
        <v>23195</v>
      </c>
      <c r="AC61" s="260">
        <v>24230.521845780888</v>
      </c>
      <c r="AD61" s="260">
        <v>30044.647821348459</v>
      </c>
      <c r="AE61" s="260">
        <v>32017.488231701969</v>
      </c>
      <c r="AF61" s="260">
        <v>20772.763762990282</v>
      </c>
      <c r="AG61" s="260">
        <v>28561.138579106824</v>
      </c>
      <c r="AH61" s="260">
        <v>36229.536179364157</v>
      </c>
      <c r="AI61" s="260">
        <v>37201.029718775382</v>
      </c>
      <c r="AJ61" s="260">
        <v>33269.909404786449</v>
      </c>
      <c r="AK61" s="260">
        <v>35716.087326242661</v>
      </c>
      <c r="AL61" s="260">
        <v>42482.181893433779</v>
      </c>
      <c r="AM61" s="260">
        <v>41479.73732560833</v>
      </c>
      <c r="AN61" s="260">
        <v>40645.555824675015</v>
      </c>
      <c r="AO61" s="260">
        <v>41796.51616332501</v>
      </c>
      <c r="AP61" s="260">
        <v>50525.354824133334</v>
      </c>
      <c r="AQ61" s="260">
        <v>52829.616650290955</v>
      </c>
      <c r="AR61" s="260">
        <v>52511.930152300018</v>
      </c>
      <c r="AS61" s="260">
        <v>55790.756875746702</v>
      </c>
      <c r="AT61" s="260">
        <v>71801.507768428695</v>
      </c>
    </row>
    <row r="62" spans="2:46" ht="13.5" thickBot="1" x14ac:dyDescent="0.35">
      <c r="B62" s="250" t="s">
        <v>270</v>
      </c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60">
        <v>0</v>
      </c>
      <c r="Y62" s="260"/>
      <c r="Z62" s="260"/>
      <c r="AA62" s="260">
        <v>0</v>
      </c>
      <c r="AB62" s="260">
        <v>0</v>
      </c>
      <c r="AC62" s="260">
        <v>0</v>
      </c>
      <c r="AD62" s="260">
        <v>0</v>
      </c>
      <c r="AE62" s="260">
        <v>0</v>
      </c>
      <c r="AF62" s="260">
        <v>0</v>
      </c>
      <c r="AG62" s="260">
        <v>0</v>
      </c>
      <c r="AH62" s="260">
        <v>0</v>
      </c>
      <c r="AI62" s="260">
        <v>0</v>
      </c>
      <c r="AJ62" s="260">
        <v>0</v>
      </c>
      <c r="AK62" s="260">
        <v>0</v>
      </c>
      <c r="AL62" s="260">
        <v>0</v>
      </c>
      <c r="AM62" s="260">
        <v>0</v>
      </c>
      <c r="AN62" s="260">
        <v>0</v>
      </c>
      <c r="AO62" s="260">
        <v>0</v>
      </c>
      <c r="AP62" s="260">
        <v>0</v>
      </c>
      <c r="AQ62" s="260">
        <v>0</v>
      </c>
      <c r="AR62" s="260">
        <v>0</v>
      </c>
      <c r="AS62" s="260">
        <v>898.88731258333405</v>
      </c>
      <c r="AT62" s="260">
        <v>1932.3718153753434</v>
      </c>
    </row>
    <row r="63" spans="2:46" ht="13.5" thickBot="1" x14ac:dyDescent="0.35">
      <c r="B63" s="252" t="s">
        <v>409</v>
      </c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>
        <f>SUM(S60:S62)</f>
        <v>44855</v>
      </c>
      <c r="T63" s="261">
        <f t="shared" ref="T63:AT63" si="21">SUM(T60:T62)</f>
        <v>46832</v>
      </c>
      <c r="U63" s="261">
        <f t="shared" si="21"/>
        <v>103945</v>
      </c>
      <c r="V63" s="261">
        <f t="shared" si="21"/>
        <v>104142</v>
      </c>
      <c r="W63" s="261">
        <f t="shared" si="21"/>
        <v>104151.78399999999</v>
      </c>
      <c r="X63" s="261">
        <f t="shared" si="21"/>
        <v>114516.71799999999</v>
      </c>
      <c r="Y63" s="261">
        <f t="shared" si="21"/>
        <v>118771.93800000001</v>
      </c>
      <c r="Z63" s="261">
        <f t="shared" si="21"/>
        <v>130384.39</v>
      </c>
      <c r="AA63" s="261">
        <f t="shared" si="21"/>
        <v>134588.45600000001</v>
      </c>
      <c r="AB63" s="261">
        <f t="shared" si="21"/>
        <v>132485</v>
      </c>
      <c r="AC63" s="261">
        <f t="shared" si="21"/>
        <v>143041.69877295764</v>
      </c>
      <c r="AD63" s="261">
        <f t="shared" si="21"/>
        <v>163076.48948098061</v>
      </c>
      <c r="AE63" s="261">
        <f t="shared" si="21"/>
        <v>166813.34621435453</v>
      </c>
      <c r="AF63" s="261">
        <f t="shared" si="21"/>
        <v>140096.90019681811</v>
      </c>
      <c r="AG63" s="261">
        <f t="shared" si="21"/>
        <v>176814.9607499339</v>
      </c>
      <c r="AH63" s="261">
        <f t="shared" si="21"/>
        <v>175160.62941107701</v>
      </c>
      <c r="AI63" s="261">
        <f t="shared" si="21"/>
        <v>175407.69943115595</v>
      </c>
      <c r="AJ63" s="261">
        <f t="shared" si="21"/>
        <v>165402.68911194737</v>
      </c>
      <c r="AK63" s="261">
        <f t="shared" si="21"/>
        <v>168522.41115221434</v>
      </c>
      <c r="AL63" s="261">
        <f t="shared" si="21"/>
        <v>179173.07629966328</v>
      </c>
      <c r="AM63" s="261">
        <f t="shared" si="21"/>
        <v>183873.84820542255</v>
      </c>
      <c r="AN63" s="261">
        <f t="shared" si="21"/>
        <v>183175.27383720566</v>
      </c>
      <c r="AO63" s="261">
        <f t="shared" si="21"/>
        <v>182925.58035791607</v>
      </c>
      <c r="AP63" s="261">
        <f t="shared" si="21"/>
        <v>191645.66880362298</v>
      </c>
      <c r="AQ63" s="261">
        <f t="shared" si="21"/>
        <v>204676.44195107848</v>
      </c>
      <c r="AR63" s="261">
        <f t="shared" si="21"/>
        <v>202488.61316945785</v>
      </c>
      <c r="AS63" s="261">
        <f t="shared" si="21"/>
        <v>220701.81160470453</v>
      </c>
      <c r="AT63" s="261">
        <f t="shared" si="21"/>
        <v>234430.10757484601</v>
      </c>
    </row>
    <row r="64" spans="2:46" ht="13.5" thickBot="1" x14ac:dyDescent="0.35">
      <c r="B64" s="254" t="s">
        <v>410</v>
      </c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>
        <v>5175</v>
      </c>
      <c r="T64" s="265">
        <v>4882</v>
      </c>
      <c r="U64" s="265">
        <v>4713</v>
      </c>
      <c r="V64" s="265">
        <v>5409</v>
      </c>
      <c r="W64" s="265">
        <v>5474</v>
      </c>
      <c r="X64" s="265">
        <v>4831</v>
      </c>
      <c r="Y64" s="265">
        <v>4230</v>
      </c>
      <c r="Z64" s="265">
        <v>4422</v>
      </c>
      <c r="AA64" s="262">
        <v>4008</v>
      </c>
      <c r="AB64" s="262">
        <v>4123.0590000000002</v>
      </c>
      <c r="AC64" s="262">
        <v>3952.0550000000003</v>
      </c>
      <c r="AD64" s="262">
        <v>4699.951</v>
      </c>
      <c r="AE64" s="262">
        <v>4618.2070000000003</v>
      </c>
      <c r="AF64" s="262">
        <v>4252.6400000000003</v>
      </c>
      <c r="AG64" s="262">
        <v>4188.42</v>
      </c>
      <c r="AH64" s="262">
        <v>4821.4679999999998</v>
      </c>
      <c r="AI64" s="262">
        <v>4591.29</v>
      </c>
      <c r="AJ64" s="262">
        <v>4219.7640000000001</v>
      </c>
      <c r="AK64" s="262">
        <v>4111.5019999999995</v>
      </c>
      <c r="AL64" s="262">
        <v>4791.6580000000004</v>
      </c>
      <c r="AM64" s="262">
        <v>4525.6329999999998</v>
      </c>
      <c r="AN64" s="262">
        <v>4384.375</v>
      </c>
      <c r="AO64" s="262">
        <v>4320.366</v>
      </c>
      <c r="AP64" s="262">
        <v>4856.5889999999999</v>
      </c>
      <c r="AQ64" s="262">
        <v>4802.6409999999996</v>
      </c>
      <c r="AR64" s="262">
        <v>4473.2950000000001</v>
      </c>
      <c r="AS64" s="262">
        <v>4161.357</v>
      </c>
      <c r="AT64" s="262">
        <v>4799.2849999999999</v>
      </c>
    </row>
    <row r="65" spans="2:46" ht="13.5" thickBot="1" x14ac:dyDescent="0.35">
      <c r="B65" s="254" t="s">
        <v>411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62">
        <v>1189.4610000001267</v>
      </c>
      <c r="AB65" s="262">
        <v>1495.743000000075</v>
      </c>
      <c r="AC65" s="262">
        <v>1821.7960000000894</v>
      </c>
      <c r="AD65" s="262">
        <v>2687.1800000000512</v>
      </c>
      <c r="AE65" s="262">
        <v>4304</v>
      </c>
      <c r="AF65" s="262">
        <v>3883.6739999999991</v>
      </c>
      <c r="AG65" s="262">
        <v>4904.8229999999749</v>
      </c>
      <c r="AH65" s="262">
        <v>39410.716000000364</v>
      </c>
      <c r="AI65" s="262">
        <v>10141.310000000056</v>
      </c>
      <c r="AJ65" s="266">
        <v>8073.7467816945864</v>
      </c>
      <c r="AK65" s="262">
        <v>11672.576000000001</v>
      </c>
      <c r="AL65" s="262">
        <v>20858.946999999811</v>
      </c>
      <c r="AM65" s="262">
        <v>26558.124999999767</v>
      </c>
      <c r="AN65" s="266">
        <v>26512.687999999733</v>
      </c>
      <c r="AO65" s="266">
        <v>26766.719999999972</v>
      </c>
      <c r="AP65" s="266">
        <v>40834.783999999985</v>
      </c>
      <c r="AQ65" s="266">
        <v>51509.20000000007</v>
      </c>
      <c r="AR65" s="266">
        <v>55037.837999999989</v>
      </c>
      <c r="AS65" s="266">
        <v>55120.550000000047</v>
      </c>
      <c r="AT65" s="266">
        <v>76549.852000000072</v>
      </c>
    </row>
    <row r="66" spans="2:46" ht="13.5" thickBot="1" x14ac:dyDescent="0.35">
      <c r="B66" s="257" t="s">
        <v>417</v>
      </c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58">
        <f t="shared" ref="S66:AS66" si="22">SUM(S59,S63:S65)</f>
        <v>946024</v>
      </c>
      <c r="T66" s="258">
        <f t="shared" si="22"/>
        <v>932544</v>
      </c>
      <c r="U66" s="258">
        <f t="shared" si="22"/>
        <v>837730</v>
      </c>
      <c r="V66" s="258">
        <f t="shared" si="22"/>
        <v>910793</v>
      </c>
      <c r="W66" s="258">
        <f t="shared" si="22"/>
        <v>946000.86499999999</v>
      </c>
      <c r="X66" s="258">
        <f t="shared" si="22"/>
        <v>885216.35799999989</v>
      </c>
      <c r="Y66" s="258">
        <f t="shared" si="22"/>
        <v>870993.60999999987</v>
      </c>
      <c r="Z66" s="258">
        <f t="shared" si="22"/>
        <v>974512.95700000005</v>
      </c>
      <c r="AA66" s="253">
        <f t="shared" si="22"/>
        <v>961765.13500000001</v>
      </c>
      <c r="AB66" s="253">
        <f t="shared" si="22"/>
        <v>643861.68299999996</v>
      </c>
      <c r="AC66" s="253">
        <f t="shared" si="22"/>
        <v>863540.92277295771</v>
      </c>
      <c r="AD66" s="253">
        <f t="shared" si="22"/>
        <v>1041882.7024809807</v>
      </c>
      <c r="AE66" s="253">
        <f t="shared" si="22"/>
        <v>1031911.0082143546</v>
      </c>
      <c r="AF66" s="253">
        <f t="shared" si="22"/>
        <v>882174.8321968182</v>
      </c>
      <c r="AG66" s="253">
        <f t="shared" si="22"/>
        <v>877847.94974993379</v>
      </c>
      <c r="AH66" s="253">
        <f t="shared" si="22"/>
        <v>1063339.0554110771</v>
      </c>
      <c r="AI66" s="253">
        <f t="shared" si="22"/>
        <v>1045737.0114311561</v>
      </c>
      <c r="AJ66" s="253">
        <f t="shared" si="22"/>
        <v>945641.13011194731</v>
      </c>
      <c r="AK66" s="253">
        <f t="shared" si="22"/>
        <v>907664.66915221419</v>
      </c>
      <c r="AL66" s="253">
        <f t="shared" si="22"/>
        <v>1085988.7762996634</v>
      </c>
      <c r="AM66" s="253">
        <f t="shared" si="22"/>
        <v>1070524.6982054221</v>
      </c>
      <c r="AN66" s="253">
        <f t="shared" si="22"/>
        <v>981462.9268372053</v>
      </c>
      <c r="AO66" s="253">
        <f t="shared" si="22"/>
        <v>947105.45335791621</v>
      </c>
      <c r="AP66" s="253">
        <f t="shared" si="22"/>
        <v>1082911.7778036231</v>
      </c>
      <c r="AQ66" s="253">
        <f t="shared" si="22"/>
        <v>1136336.8569510784</v>
      </c>
      <c r="AR66" s="253">
        <f t="shared" si="22"/>
        <v>1094988.2291694579</v>
      </c>
      <c r="AS66" s="253">
        <f t="shared" si="22"/>
        <v>1016099.4426047044</v>
      </c>
      <c r="AT66" s="253">
        <f t="shared" ref="AT66" si="23">SUM(AT59,AT63:AT65)</f>
        <v>1174354.2385748462</v>
      </c>
    </row>
    <row r="67" spans="2:46" ht="13.5" thickBot="1" x14ac:dyDescent="0.35">
      <c r="B67" s="252" t="s">
        <v>413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8">
        <f t="shared" ref="S67:AS67" si="24">S66-S65</f>
        <v>946024</v>
      </c>
      <c r="T67" s="258">
        <f t="shared" si="24"/>
        <v>932544</v>
      </c>
      <c r="U67" s="258">
        <f t="shared" si="24"/>
        <v>837730</v>
      </c>
      <c r="V67" s="258">
        <f t="shared" si="24"/>
        <v>910793</v>
      </c>
      <c r="W67" s="258">
        <f t="shared" si="24"/>
        <v>946000.86499999999</v>
      </c>
      <c r="X67" s="258">
        <f t="shared" si="24"/>
        <v>885216.35799999989</v>
      </c>
      <c r="Y67" s="258">
        <f t="shared" si="24"/>
        <v>870993.60999999987</v>
      </c>
      <c r="Z67" s="258">
        <f t="shared" si="24"/>
        <v>974512.95700000005</v>
      </c>
      <c r="AA67" s="253">
        <f t="shared" si="24"/>
        <v>960575.67399999988</v>
      </c>
      <c r="AB67" s="253">
        <f t="shared" si="24"/>
        <v>642365.93999999994</v>
      </c>
      <c r="AC67" s="253">
        <f t="shared" si="24"/>
        <v>861719.12677295762</v>
      </c>
      <c r="AD67" s="253">
        <f t="shared" si="24"/>
        <v>1039195.5224809806</v>
      </c>
      <c r="AE67" s="253">
        <f t="shared" si="24"/>
        <v>1027607.0082143546</v>
      </c>
      <c r="AF67" s="253">
        <f t="shared" si="24"/>
        <v>878291.1581968182</v>
      </c>
      <c r="AG67" s="253">
        <f t="shared" si="24"/>
        <v>872943.12674993381</v>
      </c>
      <c r="AH67" s="253">
        <f t="shared" si="24"/>
        <v>1023928.3394110767</v>
      </c>
      <c r="AI67" s="253">
        <f t="shared" si="24"/>
        <v>1035595.701431156</v>
      </c>
      <c r="AJ67" s="253">
        <f t="shared" si="24"/>
        <v>937567.38333025272</v>
      </c>
      <c r="AK67" s="253">
        <f t="shared" si="24"/>
        <v>895992.09315221419</v>
      </c>
      <c r="AL67" s="253">
        <f t="shared" si="24"/>
        <v>1065129.8292996637</v>
      </c>
      <c r="AM67" s="253">
        <f t="shared" si="24"/>
        <v>1043966.5732054224</v>
      </c>
      <c r="AN67" s="253">
        <f t="shared" si="24"/>
        <v>954950.23883720557</v>
      </c>
      <c r="AO67" s="253">
        <f t="shared" si="24"/>
        <v>920338.73335791624</v>
      </c>
      <c r="AP67" s="253">
        <f t="shared" si="24"/>
        <v>1042076.9938036231</v>
      </c>
      <c r="AQ67" s="253">
        <f t="shared" si="24"/>
        <v>1084827.6569510782</v>
      </c>
      <c r="AR67" s="253">
        <f t="shared" si="24"/>
        <v>1039950.3911694579</v>
      </c>
      <c r="AS67" s="253">
        <f t="shared" si="24"/>
        <v>960978.89260470436</v>
      </c>
      <c r="AT67" s="253">
        <f t="shared" ref="AT67" si="25">AT66-AT65</f>
        <v>1097804.3865748462</v>
      </c>
    </row>
    <row r="68" spans="2:46" x14ac:dyDescent="0.3">
      <c r="B68" s="263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</row>
    <row r="69" spans="2:46" x14ac:dyDescent="0.3">
      <c r="B69" s="248" t="s">
        <v>5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</row>
    <row r="70" spans="2:46" x14ac:dyDescent="0.3">
      <c r="B70" s="250" t="s">
        <v>405</v>
      </c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60"/>
      <c r="Y70" s="260"/>
      <c r="Z70" s="260"/>
      <c r="AA70" s="260"/>
      <c r="AB70" s="260"/>
      <c r="AC70" s="260"/>
      <c r="AD70" s="260"/>
      <c r="AE70" s="260"/>
      <c r="AF70" s="260"/>
      <c r="AG70" s="260">
        <v>791266.68700000003</v>
      </c>
      <c r="AH70" s="260">
        <v>735382.34299999999</v>
      </c>
      <c r="AI70" s="260">
        <v>882953.85000000009</v>
      </c>
      <c r="AJ70" s="260">
        <v>772368.01199999999</v>
      </c>
      <c r="AK70" s="260">
        <v>692809.84</v>
      </c>
      <c r="AL70" s="260">
        <v>704101.08400000003</v>
      </c>
      <c r="AM70" s="260">
        <v>893471.65899999999</v>
      </c>
      <c r="AN70" s="260">
        <v>708683.77399999998</v>
      </c>
      <c r="AO70" s="260">
        <v>762165.49100000004</v>
      </c>
      <c r="AP70" s="260">
        <v>776725.21099999989</v>
      </c>
      <c r="AQ70" s="260">
        <v>1009499.9350000001</v>
      </c>
      <c r="AR70" s="260">
        <v>794411.32900000003</v>
      </c>
      <c r="AS70" s="260">
        <v>797373.84500000009</v>
      </c>
      <c r="AT70" s="260">
        <v>806435.98</v>
      </c>
    </row>
    <row r="71" spans="2:46" x14ac:dyDescent="0.3">
      <c r="B71" s="250" t="s">
        <v>406</v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60"/>
      <c r="Y71" s="260"/>
      <c r="Z71" s="260"/>
      <c r="AA71" s="260"/>
      <c r="AB71" s="260"/>
      <c r="AC71" s="260"/>
      <c r="AD71" s="260"/>
      <c r="AE71" s="260"/>
      <c r="AF71" s="260"/>
      <c r="AG71" s="260">
        <v>81462.850999999995</v>
      </c>
      <c r="AH71" s="260">
        <v>70180.275999999998</v>
      </c>
      <c r="AI71" s="260">
        <v>74180.951000000001</v>
      </c>
      <c r="AJ71" s="260">
        <v>83127.759000000005</v>
      </c>
      <c r="AK71" s="260">
        <v>71569.86</v>
      </c>
      <c r="AL71" s="260">
        <v>71043.411999999997</v>
      </c>
      <c r="AM71" s="260">
        <v>68517.292000000001</v>
      </c>
      <c r="AN71" s="260">
        <v>76192.837</v>
      </c>
      <c r="AO71" s="260">
        <v>66057.933999999994</v>
      </c>
      <c r="AP71" s="260">
        <v>60673.021000000001</v>
      </c>
      <c r="AQ71" s="260">
        <v>58999.346999999994</v>
      </c>
      <c r="AR71" s="260">
        <v>63670.599000000002</v>
      </c>
      <c r="AS71" s="260">
        <v>56386.465000000004</v>
      </c>
      <c r="AT71" s="260">
        <v>53207.491000000002</v>
      </c>
    </row>
    <row r="72" spans="2:46" x14ac:dyDescent="0.3">
      <c r="B72" s="250" t="s">
        <v>407</v>
      </c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60"/>
      <c r="Y72" s="260"/>
      <c r="Z72" s="260"/>
      <c r="AA72" s="260"/>
      <c r="AB72" s="260"/>
      <c r="AC72" s="260"/>
      <c r="AD72" s="260"/>
      <c r="AE72" s="260"/>
      <c r="AF72" s="260"/>
      <c r="AG72" s="260">
        <v>322158.96899999998</v>
      </c>
      <c r="AH72" s="260">
        <v>336435.44700000004</v>
      </c>
      <c r="AI72" s="260">
        <v>421778.57800000004</v>
      </c>
      <c r="AJ72" s="260">
        <v>357969.46299999999</v>
      </c>
      <c r="AK72" s="260">
        <v>301519.288</v>
      </c>
      <c r="AL72" s="260">
        <v>347614.174</v>
      </c>
      <c r="AM72" s="260">
        <v>446085.41099999996</v>
      </c>
      <c r="AN72" s="260">
        <v>346491.65299999999</v>
      </c>
      <c r="AO72" s="260">
        <v>334607.89600000001</v>
      </c>
      <c r="AP72" s="260">
        <v>358849.97200000001</v>
      </c>
      <c r="AQ72" s="260">
        <v>445472.47000000003</v>
      </c>
      <c r="AR72" s="260">
        <v>356428.62200000003</v>
      </c>
      <c r="AS72" s="260">
        <v>323569.70499999996</v>
      </c>
      <c r="AT72" s="260">
        <v>340229.05699999997</v>
      </c>
    </row>
    <row r="73" spans="2:46" ht="13.5" thickBot="1" x14ac:dyDescent="0.35">
      <c r="B73" s="250" t="s">
        <v>270</v>
      </c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60"/>
      <c r="Y73" s="260"/>
      <c r="Z73" s="260"/>
      <c r="AA73" s="260"/>
      <c r="AB73" s="260"/>
      <c r="AC73" s="260"/>
      <c r="AD73" s="260"/>
      <c r="AE73" s="260"/>
      <c r="AF73" s="260"/>
      <c r="AG73" s="260">
        <v>253649.70999999996</v>
      </c>
      <c r="AH73" s="260">
        <v>262193.21799999999</v>
      </c>
      <c r="AI73" s="260">
        <v>428548.25599999999</v>
      </c>
      <c r="AJ73" s="260">
        <v>298594.32800000004</v>
      </c>
      <c r="AK73" s="260">
        <v>247649.1</v>
      </c>
      <c r="AL73" s="260">
        <v>274386.06900000002</v>
      </c>
      <c r="AM73" s="260">
        <v>473612.076</v>
      </c>
      <c r="AN73" s="260">
        <v>293384.11599999998</v>
      </c>
      <c r="AO73" s="260">
        <v>259071.30799999999</v>
      </c>
      <c r="AP73" s="260">
        <v>273801.12800000008</v>
      </c>
      <c r="AQ73" s="260">
        <v>428295.95799999998</v>
      </c>
      <c r="AR73" s="260">
        <v>289771.15299999999</v>
      </c>
      <c r="AS73" s="260">
        <v>228287.054</v>
      </c>
      <c r="AT73" s="260">
        <v>234084.20700000017</v>
      </c>
    </row>
    <row r="74" spans="2:46" ht="13.5" thickBot="1" x14ac:dyDescent="0.35">
      <c r="B74" s="257" t="s">
        <v>408</v>
      </c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>
        <f>SUM(AG70:AG73)</f>
        <v>1448538.2169999999</v>
      </c>
      <c r="AH74" s="261">
        <f t="shared" ref="AH74:AT74" si="26">SUM(AH70:AH73)</f>
        <v>1404191.284</v>
      </c>
      <c r="AI74" s="261">
        <f t="shared" si="26"/>
        <v>1807461.6350000002</v>
      </c>
      <c r="AJ74" s="261">
        <f t="shared" si="26"/>
        <v>1512059.5619999999</v>
      </c>
      <c r="AK74" s="261">
        <f t="shared" si="26"/>
        <v>1313548.088</v>
      </c>
      <c r="AL74" s="261">
        <f t="shared" si="26"/>
        <v>1397144.7390000001</v>
      </c>
      <c r="AM74" s="261">
        <f t="shared" si="26"/>
        <v>1881686.4380000001</v>
      </c>
      <c r="AN74" s="261">
        <f t="shared" si="26"/>
        <v>1424752.38</v>
      </c>
      <c r="AO74" s="261">
        <f t="shared" si="26"/>
        <v>1421902.629</v>
      </c>
      <c r="AP74" s="261">
        <f t="shared" si="26"/>
        <v>1470049.3319999999</v>
      </c>
      <c r="AQ74" s="261">
        <f t="shared" si="26"/>
        <v>1942267.71</v>
      </c>
      <c r="AR74" s="261">
        <f t="shared" si="26"/>
        <v>1504281.703</v>
      </c>
      <c r="AS74" s="261">
        <f t="shared" si="26"/>
        <v>1405617.0690000001</v>
      </c>
      <c r="AT74" s="261">
        <f t="shared" si="26"/>
        <v>1433956.7350000001</v>
      </c>
    </row>
    <row r="75" spans="2:46" x14ac:dyDescent="0.3">
      <c r="B75" s="250" t="s">
        <v>406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60"/>
      <c r="Y75" s="260"/>
      <c r="Z75" s="260"/>
      <c r="AA75" s="260"/>
      <c r="AB75" s="260"/>
      <c r="AC75" s="260"/>
      <c r="AD75" s="260"/>
      <c r="AE75" s="260"/>
      <c r="AF75" s="260"/>
      <c r="AG75" s="260">
        <v>253451.57379202993</v>
      </c>
      <c r="AH75" s="260">
        <v>242040.12885091879</v>
      </c>
      <c r="AI75" s="260">
        <v>250531.48427951551</v>
      </c>
      <c r="AJ75" s="260">
        <v>271673.58942458121</v>
      </c>
      <c r="AK75" s="260">
        <v>266110.67031566764</v>
      </c>
      <c r="AL75" s="260">
        <v>255505.1945474844</v>
      </c>
      <c r="AM75" s="260">
        <v>266128.41167766531</v>
      </c>
      <c r="AN75" s="260">
        <v>276185.98539018072</v>
      </c>
      <c r="AO75" s="260">
        <v>274493.89640389627</v>
      </c>
      <c r="AP75" s="260">
        <v>262670.23385123163</v>
      </c>
      <c r="AQ75" s="260">
        <v>267109.64898222813</v>
      </c>
      <c r="AR75" s="260">
        <v>289601.10509141616</v>
      </c>
      <c r="AS75" s="260">
        <v>281504.93718686595</v>
      </c>
      <c r="AT75" s="260">
        <v>270543.444169664</v>
      </c>
    </row>
    <row r="76" spans="2:46" x14ac:dyDescent="0.3">
      <c r="B76" s="250" t="s">
        <v>407</v>
      </c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60"/>
      <c r="Y76" s="260"/>
      <c r="Z76" s="260"/>
      <c r="AA76" s="260"/>
      <c r="AB76" s="260"/>
      <c r="AC76" s="260"/>
      <c r="AD76" s="260"/>
      <c r="AE76" s="260"/>
      <c r="AF76" s="260"/>
      <c r="AG76" s="260">
        <v>103709.17317617621</v>
      </c>
      <c r="AH76" s="260">
        <v>140686.71476041814</v>
      </c>
      <c r="AI76" s="260">
        <v>156446.44112168986</v>
      </c>
      <c r="AJ76" s="260">
        <v>137364.38158485599</v>
      </c>
      <c r="AK76" s="260">
        <v>138294.97881289048</v>
      </c>
      <c r="AL76" s="260">
        <v>168674.37922114367</v>
      </c>
      <c r="AM76" s="260">
        <v>188979.92744228788</v>
      </c>
      <c r="AN76" s="260">
        <v>151966.61171204594</v>
      </c>
      <c r="AO76" s="260">
        <v>150209.30011316552</v>
      </c>
      <c r="AP76" s="260">
        <v>180405.38802707751</v>
      </c>
      <c r="AQ76" s="260">
        <v>211375.57251299283</v>
      </c>
      <c r="AR76" s="260">
        <v>172072.78666374186</v>
      </c>
      <c r="AS76" s="260">
        <v>171515.02128093268</v>
      </c>
      <c r="AT76" s="260">
        <v>212643.585524511</v>
      </c>
    </row>
    <row r="77" spans="2:46" ht="13.5" thickBot="1" x14ac:dyDescent="0.35">
      <c r="B77" s="250" t="s">
        <v>270</v>
      </c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60"/>
      <c r="Y77" s="260"/>
      <c r="Z77" s="260"/>
      <c r="AA77" s="260"/>
      <c r="AB77" s="260"/>
      <c r="AC77" s="260"/>
      <c r="AD77" s="260"/>
      <c r="AE77" s="260"/>
      <c r="AF77" s="260"/>
      <c r="AG77" s="260">
        <v>3037.3798254999997</v>
      </c>
      <c r="AH77" s="260">
        <v>12187.837056</v>
      </c>
      <c r="AI77" s="260">
        <v>12814.445483999998</v>
      </c>
      <c r="AJ77" s="260">
        <v>12816.411422000001</v>
      </c>
      <c r="AK77" s="260">
        <v>11458.618776000003</v>
      </c>
      <c r="AL77" s="260">
        <v>11942.012711166668</v>
      </c>
      <c r="AM77" s="260">
        <v>13201.590348000002</v>
      </c>
      <c r="AN77" s="260">
        <v>12438.574263000002</v>
      </c>
      <c r="AO77" s="260">
        <v>12120.669532104001</v>
      </c>
      <c r="AP77" s="260">
        <v>13686.180555000004</v>
      </c>
      <c r="AQ77" s="260">
        <v>16011.349685103309</v>
      </c>
      <c r="AR77" s="260">
        <v>18669.813490756958</v>
      </c>
      <c r="AS77" s="260">
        <v>22092.226427933179</v>
      </c>
      <c r="AT77" s="260">
        <v>25636.231541985006</v>
      </c>
    </row>
    <row r="78" spans="2:46" ht="13.5" thickBot="1" x14ac:dyDescent="0.35">
      <c r="B78" s="252" t="s">
        <v>409</v>
      </c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>
        <f>SUM(AG75:AG77)</f>
        <v>360198.12679370615</v>
      </c>
      <c r="AH78" s="261">
        <f t="shared" ref="AH78:AT78" si="27">SUM(AH75:AH77)</f>
        <v>394914.68066733691</v>
      </c>
      <c r="AI78" s="261">
        <f t="shared" si="27"/>
        <v>419792.3708852054</v>
      </c>
      <c r="AJ78" s="261">
        <f t="shared" si="27"/>
        <v>421854.3824314372</v>
      </c>
      <c r="AK78" s="261">
        <f t="shared" si="27"/>
        <v>415864.2679045581</v>
      </c>
      <c r="AL78" s="261">
        <f t="shared" si="27"/>
        <v>436121.58647979476</v>
      </c>
      <c r="AM78" s="261">
        <f t="shared" si="27"/>
        <v>468309.92946795322</v>
      </c>
      <c r="AN78" s="261">
        <f t="shared" si="27"/>
        <v>440591.17136522668</v>
      </c>
      <c r="AO78" s="261">
        <f t="shared" si="27"/>
        <v>436823.86604916578</v>
      </c>
      <c r="AP78" s="261">
        <f t="shared" si="27"/>
        <v>456761.8024333092</v>
      </c>
      <c r="AQ78" s="261">
        <f t="shared" si="27"/>
        <v>494496.57118032424</v>
      </c>
      <c r="AR78" s="261">
        <f t="shared" si="27"/>
        <v>480343.70524591499</v>
      </c>
      <c r="AS78" s="261">
        <f t="shared" si="27"/>
        <v>475112.18489573186</v>
      </c>
      <c r="AT78" s="261">
        <f t="shared" si="27"/>
        <v>508823.26123616</v>
      </c>
    </row>
    <row r="79" spans="2:46" ht="13.5" thickBot="1" x14ac:dyDescent="0.35">
      <c r="B79" s="254" t="s">
        <v>410</v>
      </c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>
        <v>11439.867</v>
      </c>
      <c r="AH79" s="265">
        <v>12420.375</v>
      </c>
      <c r="AI79" s="262">
        <v>15151.186764256006</v>
      </c>
      <c r="AJ79" s="262">
        <v>14632.198761490028</v>
      </c>
      <c r="AK79" s="262">
        <v>12600.839453161738</v>
      </c>
      <c r="AL79" s="262">
        <v>12959.749186542269</v>
      </c>
      <c r="AM79" s="262">
        <v>16404.885351480421</v>
      </c>
      <c r="AN79" s="262">
        <v>13604.669417033212</v>
      </c>
      <c r="AO79" s="262">
        <v>13238.516325097564</v>
      </c>
      <c r="AP79" s="262">
        <v>14056.917965504097</v>
      </c>
      <c r="AQ79" s="262">
        <v>19552.020650945477</v>
      </c>
      <c r="AR79" s="262">
        <v>15750.640402166944</v>
      </c>
      <c r="AS79" s="262">
        <v>13309.000136122293</v>
      </c>
      <c r="AT79" s="262">
        <v>12394.38499049705</v>
      </c>
    </row>
    <row r="80" spans="2:46" ht="13.5" thickBot="1" x14ac:dyDescent="0.35">
      <c r="B80" s="254" t="s">
        <v>411</v>
      </c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62">
        <v>18785.152999999933</v>
      </c>
      <c r="AJ80" s="266">
        <v>19558.602999999886</v>
      </c>
      <c r="AK80" s="262">
        <v>18892.500999999931</v>
      </c>
      <c r="AL80" s="262">
        <v>22971.689999999944</v>
      </c>
      <c r="AM80" s="262">
        <v>28506.363999999827</v>
      </c>
      <c r="AN80" s="266">
        <v>35571.135000000242</v>
      </c>
      <c r="AO80" s="266">
        <v>28319.992999999784</v>
      </c>
      <c r="AP80" s="266">
        <v>40821.452000000048</v>
      </c>
      <c r="AQ80" s="266">
        <v>76644.091000000015</v>
      </c>
      <c r="AR80" s="266">
        <v>70479.936999999918</v>
      </c>
      <c r="AS80" s="266">
        <v>66410.485999999801</v>
      </c>
      <c r="AT80" s="266">
        <v>75659.810999999987</v>
      </c>
    </row>
    <row r="81" spans="2:46" ht="13.5" thickBot="1" x14ac:dyDescent="0.35">
      <c r="B81" s="257" t="s">
        <v>418</v>
      </c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58">
        <f t="shared" ref="AG81:AS81" si="28">SUM(AG74,AG78:AG80)</f>
        <v>1820176.2107937061</v>
      </c>
      <c r="AH81" s="258">
        <f t="shared" si="28"/>
        <v>1811526.339667337</v>
      </c>
      <c r="AI81" s="258">
        <f t="shared" si="28"/>
        <v>2261190.3456494617</v>
      </c>
      <c r="AJ81" s="258">
        <f t="shared" si="28"/>
        <v>1968104.746192927</v>
      </c>
      <c r="AK81" s="258">
        <f t="shared" si="28"/>
        <v>1760905.6963577198</v>
      </c>
      <c r="AL81" s="258">
        <f t="shared" si="28"/>
        <v>1869197.7646663371</v>
      </c>
      <c r="AM81" s="258">
        <f t="shared" si="28"/>
        <v>2394907.6168194339</v>
      </c>
      <c r="AN81" s="258">
        <f t="shared" si="28"/>
        <v>1914519.35578226</v>
      </c>
      <c r="AO81" s="258">
        <f t="shared" si="28"/>
        <v>1900285.0043742631</v>
      </c>
      <c r="AP81" s="258">
        <f t="shared" si="28"/>
        <v>1981689.5043988132</v>
      </c>
      <c r="AQ81" s="258">
        <f t="shared" si="28"/>
        <v>2532960.3928312697</v>
      </c>
      <c r="AR81" s="253">
        <f t="shared" si="28"/>
        <v>2070855.9856480819</v>
      </c>
      <c r="AS81" s="253">
        <f t="shared" si="28"/>
        <v>1960448.7400318542</v>
      </c>
      <c r="AT81" s="253">
        <f t="shared" ref="AT81" si="29">SUM(AT74,AT78:AT80)</f>
        <v>2030834.1922266572</v>
      </c>
    </row>
    <row r="82" spans="2:46" ht="13.5" thickBot="1" x14ac:dyDescent="0.35">
      <c r="B82" s="252" t="s">
        <v>413</v>
      </c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8">
        <f t="shared" ref="AG82:AQ82" si="30">AG81-AG80</f>
        <v>1820176.2107937061</v>
      </c>
      <c r="AH82" s="258">
        <f t="shared" si="30"/>
        <v>1811526.339667337</v>
      </c>
      <c r="AI82" s="258">
        <f t="shared" si="30"/>
        <v>2242405.1926494618</v>
      </c>
      <c r="AJ82" s="258">
        <f t="shared" si="30"/>
        <v>1948546.1431929271</v>
      </c>
      <c r="AK82" s="258">
        <f t="shared" si="30"/>
        <v>1742013.1953577199</v>
      </c>
      <c r="AL82" s="258">
        <f t="shared" si="30"/>
        <v>1846226.0746663371</v>
      </c>
      <c r="AM82" s="258">
        <f t="shared" si="30"/>
        <v>2366401.2528194338</v>
      </c>
      <c r="AN82" s="258">
        <f t="shared" si="30"/>
        <v>1878948.2207822597</v>
      </c>
      <c r="AO82" s="258">
        <f t="shared" si="30"/>
        <v>1871965.0113742633</v>
      </c>
      <c r="AP82" s="258">
        <f t="shared" si="30"/>
        <v>1940868.0523988132</v>
      </c>
      <c r="AQ82" s="258">
        <f t="shared" si="30"/>
        <v>2456316.3018312696</v>
      </c>
      <c r="AR82" s="253">
        <f>AR81-AR80</f>
        <v>2000376.048648082</v>
      </c>
      <c r="AS82" s="253">
        <f>AS81-AS80</f>
        <v>1894038.2540318544</v>
      </c>
      <c r="AT82" s="253">
        <f>AT81-AT80</f>
        <v>1955174.3812266572</v>
      </c>
    </row>
    <row r="83" spans="2:46" x14ac:dyDescent="0.3">
      <c r="B83" s="263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</row>
    <row r="84" spans="2:46" x14ac:dyDescent="0.3">
      <c r="B84" s="248" t="s">
        <v>6</v>
      </c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</row>
    <row r="85" spans="2:46" x14ac:dyDescent="0.3">
      <c r="B85" s="250" t="s">
        <v>405</v>
      </c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>
        <v>135814.52600000001</v>
      </c>
      <c r="AI85" s="260">
        <v>149836.17800000001</v>
      </c>
      <c r="AJ85" s="260">
        <v>149507.58899999998</v>
      </c>
      <c r="AK85" s="260">
        <v>155644.79999999999</v>
      </c>
      <c r="AL85" s="260">
        <v>145811.201</v>
      </c>
      <c r="AM85" s="260">
        <v>113953.71400000001</v>
      </c>
      <c r="AN85" s="260">
        <v>126363.05000000002</v>
      </c>
      <c r="AO85" s="260">
        <v>145326.83599999998</v>
      </c>
      <c r="AP85" s="260">
        <v>144483.03999999998</v>
      </c>
      <c r="AQ85" s="260">
        <v>131393.82399999999</v>
      </c>
      <c r="AR85" s="260">
        <v>160251.99099999998</v>
      </c>
      <c r="AS85" s="260">
        <v>173609.26699999999</v>
      </c>
      <c r="AT85" s="260">
        <v>205555.02</v>
      </c>
    </row>
    <row r="86" spans="2:46" x14ac:dyDescent="0.3">
      <c r="B86" s="250" t="s">
        <v>406</v>
      </c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>
        <v>23144.988000000005</v>
      </c>
      <c r="AI86" s="260">
        <v>26782.438000000002</v>
      </c>
      <c r="AJ86" s="260">
        <v>27499.660999999996</v>
      </c>
      <c r="AK86" s="260">
        <v>28205.064000000002</v>
      </c>
      <c r="AL86" s="260">
        <v>26612.148000000001</v>
      </c>
      <c r="AM86" s="260">
        <v>23746.163</v>
      </c>
      <c r="AN86" s="260">
        <v>29756.260000000002</v>
      </c>
      <c r="AO86" s="260">
        <v>22415.925999999999</v>
      </c>
      <c r="AP86" s="260">
        <v>23597.264999999999</v>
      </c>
      <c r="AQ86" s="260">
        <v>12852.902</v>
      </c>
      <c r="AR86" s="260">
        <v>7764.61</v>
      </c>
      <c r="AS86" s="260">
        <v>7468.1480000000001</v>
      </c>
      <c r="AT86" s="260">
        <v>7955.0129999999999</v>
      </c>
    </row>
    <row r="87" spans="2:46" x14ac:dyDescent="0.3">
      <c r="B87" s="250" t="s">
        <v>407</v>
      </c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>
        <v>58966.430999999997</v>
      </c>
      <c r="AI87" s="260">
        <v>60487.913</v>
      </c>
      <c r="AJ87" s="260">
        <v>58068.364000000001</v>
      </c>
      <c r="AK87" s="260">
        <v>66236.955000000002</v>
      </c>
      <c r="AL87" s="260">
        <v>66341.75</v>
      </c>
      <c r="AM87" s="260">
        <v>55513.884999999995</v>
      </c>
      <c r="AN87" s="260">
        <v>60101.577999999994</v>
      </c>
      <c r="AO87" s="260">
        <v>66622.194000000003</v>
      </c>
      <c r="AP87" s="260">
        <v>68597.838000000003</v>
      </c>
      <c r="AQ87" s="260">
        <v>57919.494999999995</v>
      </c>
      <c r="AR87" s="260">
        <v>66745.243000000002</v>
      </c>
      <c r="AS87" s="260">
        <v>72140.138999999996</v>
      </c>
      <c r="AT87" s="260">
        <v>70514.077999999994</v>
      </c>
    </row>
    <row r="88" spans="2:46" ht="13.5" thickBot="1" x14ac:dyDescent="0.35">
      <c r="B88" s="250" t="s">
        <v>270</v>
      </c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>
        <v>37993.707000000002</v>
      </c>
      <c r="AI88" s="260">
        <v>34435.851999999999</v>
      </c>
      <c r="AJ88" s="260">
        <v>36720.097000000002</v>
      </c>
      <c r="AK88" s="260">
        <v>39876.481</v>
      </c>
      <c r="AL88" s="260">
        <v>41479.100999999995</v>
      </c>
      <c r="AM88" s="260">
        <v>36393.448999999993</v>
      </c>
      <c r="AN88" s="260">
        <v>41984.758000000002</v>
      </c>
      <c r="AO88" s="260">
        <v>44114.858</v>
      </c>
      <c r="AP88" s="260">
        <v>89519.854999999996</v>
      </c>
      <c r="AQ88" s="260">
        <v>41747.786999999997</v>
      </c>
      <c r="AR88" s="260">
        <v>37771.006000000052</v>
      </c>
      <c r="AS88" s="260">
        <v>56434.067999999999</v>
      </c>
      <c r="AT88" s="260">
        <v>31921.10400000005</v>
      </c>
    </row>
    <row r="89" spans="2:46" ht="13.5" thickBot="1" x14ac:dyDescent="0.35">
      <c r="B89" s="257" t="s">
        <v>408</v>
      </c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>
        <f>SUM(AH85:AH88)</f>
        <v>255919.652</v>
      </c>
      <c r="AI89" s="261">
        <f t="shared" ref="AI89:AT89" si="31">SUM(AI85:AI88)</f>
        <v>271542.38099999999</v>
      </c>
      <c r="AJ89" s="261">
        <f t="shared" si="31"/>
        <v>271795.71099999995</v>
      </c>
      <c r="AK89" s="261">
        <f t="shared" si="31"/>
        <v>289963.30000000005</v>
      </c>
      <c r="AL89" s="261">
        <f t="shared" si="31"/>
        <v>280244.19999999995</v>
      </c>
      <c r="AM89" s="261">
        <f t="shared" si="31"/>
        <v>229607.21099999998</v>
      </c>
      <c r="AN89" s="261">
        <f t="shared" si="31"/>
        <v>258205.64600000004</v>
      </c>
      <c r="AO89" s="261">
        <f t="shared" si="31"/>
        <v>278479.81400000001</v>
      </c>
      <c r="AP89" s="261">
        <f t="shared" si="31"/>
        <v>326197.99799999996</v>
      </c>
      <c r="AQ89" s="261">
        <f t="shared" si="31"/>
        <v>243914.00799999997</v>
      </c>
      <c r="AR89" s="261">
        <f t="shared" si="31"/>
        <v>272532.85000000003</v>
      </c>
      <c r="AS89" s="261">
        <f t="shared" si="31"/>
        <v>309651.62199999997</v>
      </c>
      <c r="AT89" s="261">
        <f t="shared" si="31"/>
        <v>315945.21500000003</v>
      </c>
    </row>
    <row r="90" spans="2:46" x14ac:dyDescent="0.3">
      <c r="B90" s="250" t="s">
        <v>406</v>
      </c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>
        <v>0</v>
      </c>
      <c r="AI90" s="260">
        <v>0</v>
      </c>
      <c r="AJ90" s="260">
        <v>0</v>
      </c>
      <c r="AK90" s="260">
        <v>0</v>
      </c>
      <c r="AL90" s="260">
        <v>0</v>
      </c>
      <c r="AM90" s="260">
        <v>0</v>
      </c>
      <c r="AN90" s="260">
        <v>1151.809</v>
      </c>
      <c r="AO90" s="260">
        <v>1238.3899999999999</v>
      </c>
      <c r="AP90" s="260">
        <v>1226.1600000000001</v>
      </c>
      <c r="AQ90" s="260">
        <v>791.23199999999997</v>
      </c>
      <c r="AR90" s="260">
        <v>1479.404</v>
      </c>
      <c r="AS90" s="260">
        <v>2092.4769999999999</v>
      </c>
      <c r="AT90" s="260">
        <v>1720.0351599999999</v>
      </c>
    </row>
    <row r="91" spans="2:46" x14ac:dyDescent="0.3">
      <c r="B91" s="250" t="s">
        <v>407</v>
      </c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>
        <v>266.62900000000002</v>
      </c>
      <c r="AI91" s="260">
        <v>592.73</v>
      </c>
      <c r="AJ91" s="260">
        <v>2075.94</v>
      </c>
      <c r="AK91" s="260">
        <v>2368.7993650413632</v>
      </c>
      <c r="AL91" s="260">
        <v>2389.3423749860699</v>
      </c>
      <c r="AM91" s="260">
        <v>2242.6710000000003</v>
      </c>
      <c r="AN91" s="260">
        <v>2536.904</v>
      </c>
      <c r="AO91" s="260">
        <v>2989.5550000000003</v>
      </c>
      <c r="AP91" s="260">
        <v>3004.6919999999996</v>
      </c>
      <c r="AQ91" s="260">
        <v>2651.0770000000002</v>
      </c>
      <c r="AR91" s="260">
        <v>2906.587</v>
      </c>
      <c r="AS91" s="260">
        <v>5633.067</v>
      </c>
      <c r="AT91" s="260">
        <v>9313.2817309999991</v>
      </c>
    </row>
    <row r="92" spans="2:46" ht="13.5" thickBot="1" x14ac:dyDescent="0.35">
      <c r="B92" s="250" t="s">
        <v>270</v>
      </c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>
        <v>0</v>
      </c>
      <c r="AI92" s="260">
        <v>0</v>
      </c>
      <c r="AJ92" s="260">
        <v>0</v>
      </c>
      <c r="AK92" s="260">
        <v>0</v>
      </c>
      <c r="AL92" s="260">
        <v>0</v>
      </c>
      <c r="AM92" s="260">
        <v>0</v>
      </c>
      <c r="AN92" s="260">
        <v>0</v>
      </c>
      <c r="AO92" s="260">
        <v>0</v>
      </c>
      <c r="AP92" s="260">
        <v>0</v>
      </c>
      <c r="AQ92" s="260">
        <v>0</v>
      </c>
      <c r="AR92" s="260">
        <v>0</v>
      </c>
      <c r="AS92" s="260">
        <v>3672.03</v>
      </c>
      <c r="AT92" s="260">
        <v>3987.5321010000007</v>
      </c>
    </row>
    <row r="93" spans="2:46" ht="13.5" thickBot="1" x14ac:dyDescent="0.35">
      <c r="B93" s="252" t="s">
        <v>409</v>
      </c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>
        <f>SUM(AH90:AH92)</f>
        <v>266.62900000000002</v>
      </c>
      <c r="AI93" s="261">
        <f t="shared" ref="AI93:AT93" si="32">SUM(AI90:AI92)</f>
        <v>592.73</v>
      </c>
      <c r="AJ93" s="261">
        <f t="shared" si="32"/>
        <v>2075.94</v>
      </c>
      <c r="AK93" s="261">
        <f t="shared" si="32"/>
        <v>2368.7993650413632</v>
      </c>
      <c r="AL93" s="261">
        <f t="shared" si="32"/>
        <v>2389.3423749860699</v>
      </c>
      <c r="AM93" s="261">
        <f t="shared" si="32"/>
        <v>2242.6710000000003</v>
      </c>
      <c r="AN93" s="261">
        <f t="shared" si="32"/>
        <v>3688.7129999999997</v>
      </c>
      <c r="AO93" s="261">
        <f t="shared" si="32"/>
        <v>4227.9449999999997</v>
      </c>
      <c r="AP93" s="261">
        <f t="shared" si="32"/>
        <v>4230.8519999999999</v>
      </c>
      <c r="AQ93" s="261">
        <f t="shared" si="32"/>
        <v>3442.3090000000002</v>
      </c>
      <c r="AR93" s="261">
        <f t="shared" si="32"/>
        <v>4385.991</v>
      </c>
      <c r="AS93" s="261">
        <f t="shared" si="32"/>
        <v>11397.574000000001</v>
      </c>
      <c r="AT93" s="261">
        <f t="shared" si="32"/>
        <v>15020.848991999999</v>
      </c>
    </row>
    <row r="94" spans="2:46" ht="13.5" thickBot="1" x14ac:dyDescent="0.35">
      <c r="B94" s="254" t="s">
        <v>410</v>
      </c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</row>
    <row r="95" spans="2:46" ht="13.5" thickBot="1" x14ac:dyDescent="0.35">
      <c r="B95" s="254" t="s">
        <v>411</v>
      </c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62">
        <v>1159.1759999999776</v>
      </c>
      <c r="AJ95" s="266">
        <v>1369.1839999999938</v>
      </c>
      <c r="AK95" s="266">
        <v>2086.1066349586472</v>
      </c>
      <c r="AL95" s="262">
        <v>2872.9596250140457</v>
      </c>
      <c r="AM95" s="262">
        <v>2388.2050000000163</v>
      </c>
      <c r="AN95" s="266">
        <v>3130.9660000000003</v>
      </c>
      <c r="AO95" s="266">
        <v>4048.8220000000438</v>
      </c>
      <c r="AP95" s="266">
        <v>4835.0209999999643</v>
      </c>
      <c r="AQ95" s="266">
        <v>4458.6700000000419</v>
      </c>
      <c r="AR95" s="266">
        <v>6210.1520000000019</v>
      </c>
      <c r="AS95" s="266">
        <v>7752.7619999999879</v>
      </c>
      <c r="AT95" s="266">
        <v>10085.665999999968</v>
      </c>
    </row>
    <row r="96" spans="2:46" ht="13.5" thickBot="1" x14ac:dyDescent="0.35">
      <c r="B96" s="257" t="s">
        <v>419</v>
      </c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58">
        <f t="shared" ref="AH96:AS96" si="33">SUM(AH89,AH93:AH95)</f>
        <v>256186.28099999999</v>
      </c>
      <c r="AI96" s="258">
        <f t="shared" si="33"/>
        <v>273294.28699999995</v>
      </c>
      <c r="AJ96" s="258">
        <f t="shared" si="33"/>
        <v>275240.83499999996</v>
      </c>
      <c r="AK96" s="258">
        <f t="shared" si="33"/>
        <v>294418.20600000006</v>
      </c>
      <c r="AL96" s="258">
        <f t="shared" si="33"/>
        <v>285506.50200000009</v>
      </c>
      <c r="AM96" s="258">
        <f t="shared" si="33"/>
        <v>234238.087</v>
      </c>
      <c r="AN96" s="258">
        <f t="shared" si="33"/>
        <v>265025.32500000001</v>
      </c>
      <c r="AO96" s="258">
        <f t="shared" si="33"/>
        <v>286756.58100000006</v>
      </c>
      <c r="AP96" s="258">
        <f t="shared" si="33"/>
        <v>335263.87099999993</v>
      </c>
      <c r="AQ96" s="258">
        <f t="shared" si="33"/>
        <v>251814.98700000002</v>
      </c>
      <c r="AR96" s="253">
        <f t="shared" si="33"/>
        <v>283128.99300000002</v>
      </c>
      <c r="AS96" s="253">
        <f t="shared" si="33"/>
        <v>328801.95799999998</v>
      </c>
      <c r="AT96" s="253">
        <f t="shared" ref="AT96" si="34">SUM(AT89,AT93:AT95)</f>
        <v>341051.72999199998</v>
      </c>
    </row>
    <row r="97" spans="2:46" ht="13.5" thickBot="1" x14ac:dyDescent="0.35">
      <c r="B97" s="252" t="s">
        <v>413</v>
      </c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8">
        <f t="shared" ref="AH97:AQ97" si="35">AH96-AH95</f>
        <v>256186.28099999999</v>
      </c>
      <c r="AI97" s="258">
        <f t="shared" si="35"/>
        <v>272135.11099999998</v>
      </c>
      <c r="AJ97" s="258">
        <f t="shared" si="35"/>
        <v>273871.65099999995</v>
      </c>
      <c r="AK97" s="258">
        <f t="shared" si="35"/>
        <v>292332.09936504142</v>
      </c>
      <c r="AL97" s="258">
        <f t="shared" si="35"/>
        <v>282633.54237498605</v>
      </c>
      <c r="AM97" s="258">
        <f t="shared" si="35"/>
        <v>231849.88199999998</v>
      </c>
      <c r="AN97" s="258">
        <f t="shared" si="35"/>
        <v>261894.359</v>
      </c>
      <c r="AO97" s="258">
        <f t="shared" si="35"/>
        <v>282707.75900000002</v>
      </c>
      <c r="AP97" s="258">
        <f t="shared" si="35"/>
        <v>330428.84999999998</v>
      </c>
      <c r="AQ97" s="258">
        <f t="shared" si="35"/>
        <v>247356.31699999998</v>
      </c>
      <c r="AR97" s="253">
        <f>AR96-AR95</f>
        <v>276918.84100000001</v>
      </c>
      <c r="AS97" s="253">
        <f>AS96-AS95</f>
        <v>321049.196</v>
      </c>
      <c r="AT97" s="253">
        <f>AT96-AT95</f>
        <v>330966.06399200001</v>
      </c>
    </row>
    <row r="98" spans="2:46" x14ac:dyDescent="0.3">
      <c r="B98" s="263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</row>
    <row r="99" spans="2:46" x14ac:dyDescent="0.3">
      <c r="B99" s="248" t="s">
        <v>7</v>
      </c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</row>
    <row r="100" spans="2:46" x14ac:dyDescent="0.3">
      <c r="B100" s="250" t="s">
        <v>405</v>
      </c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>
        <v>1477273.281</v>
      </c>
      <c r="AM100" s="260">
        <v>1362379.4979999999</v>
      </c>
      <c r="AN100" s="260">
        <v>1356479.85</v>
      </c>
      <c r="AO100" s="260">
        <v>1357999.4369999999</v>
      </c>
      <c r="AP100" s="260">
        <v>1502299.1950000001</v>
      </c>
      <c r="AQ100" s="260">
        <v>1383298.91</v>
      </c>
      <c r="AR100" s="260">
        <v>1427380.6429999999</v>
      </c>
      <c r="AS100" s="260">
        <v>1438937.591</v>
      </c>
      <c r="AT100" s="260">
        <v>1841742.06</v>
      </c>
    </row>
    <row r="101" spans="2:46" x14ac:dyDescent="0.3">
      <c r="B101" s="250" t="s">
        <v>406</v>
      </c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>
        <v>130420.47199999999</v>
      </c>
      <c r="AM101" s="260">
        <v>107126.72700000001</v>
      </c>
      <c r="AN101" s="260">
        <v>118178.969</v>
      </c>
      <c r="AO101" s="260">
        <v>118493.73000000001</v>
      </c>
      <c r="AP101" s="260">
        <v>116036.158</v>
      </c>
      <c r="AQ101" s="260">
        <v>91228.027000000002</v>
      </c>
      <c r="AR101" s="260">
        <v>103971.20400000001</v>
      </c>
      <c r="AS101" s="260">
        <v>98440.051999999996</v>
      </c>
      <c r="AT101" s="260">
        <v>99131.014999999999</v>
      </c>
    </row>
    <row r="102" spans="2:46" x14ac:dyDescent="0.3">
      <c r="B102" s="250" t="s">
        <v>407</v>
      </c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>
        <v>493328.03800000006</v>
      </c>
      <c r="AM102" s="260">
        <v>459917.33499999996</v>
      </c>
      <c r="AN102" s="260">
        <v>500085.22600000002</v>
      </c>
      <c r="AO102" s="260">
        <v>458242.80100000004</v>
      </c>
      <c r="AP102" s="260">
        <v>472560.82999999996</v>
      </c>
      <c r="AQ102" s="260">
        <v>424153.75399999996</v>
      </c>
      <c r="AR102" s="260">
        <v>443680.24699999997</v>
      </c>
      <c r="AS102" s="260">
        <v>412970.446</v>
      </c>
      <c r="AT102" s="260">
        <v>493000.533</v>
      </c>
    </row>
    <row r="103" spans="2:46" ht="13.5" thickBot="1" x14ac:dyDescent="0.35">
      <c r="B103" s="250" t="s">
        <v>270</v>
      </c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>
        <v>805359.29399999999</v>
      </c>
      <c r="AM103" s="260">
        <v>650798.48399999994</v>
      </c>
      <c r="AN103" s="260">
        <v>809882.30799999996</v>
      </c>
      <c r="AO103" s="260">
        <v>860229</v>
      </c>
      <c r="AP103" s="260">
        <v>794899.50400000007</v>
      </c>
      <c r="AQ103" s="260">
        <v>661294.08100000012</v>
      </c>
      <c r="AR103" s="260">
        <v>790071.50800000003</v>
      </c>
      <c r="AS103" s="260">
        <v>828801</v>
      </c>
      <c r="AT103" s="260">
        <v>868991.80700000003</v>
      </c>
    </row>
    <row r="104" spans="2:46" ht="13.5" thickBot="1" x14ac:dyDescent="0.35">
      <c r="B104" s="257" t="s">
        <v>408</v>
      </c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>
        <f t="shared" ref="AL104:AO104" si="36">SUM(AL100:AL103)</f>
        <v>2906381.085</v>
      </c>
      <c r="AM104" s="261">
        <f t="shared" si="36"/>
        <v>2580222.0439999998</v>
      </c>
      <c r="AN104" s="261">
        <f t="shared" si="36"/>
        <v>2784626.3530000001</v>
      </c>
      <c r="AO104" s="261">
        <f t="shared" si="36"/>
        <v>2794964.9679999999</v>
      </c>
      <c r="AP104" s="261">
        <f t="shared" ref="AP104:AT104" si="37">SUM(AP100:AP103)</f>
        <v>2885795.6870000004</v>
      </c>
      <c r="AQ104" s="261">
        <f t="shared" si="37"/>
        <v>2559974.7719999999</v>
      </c>
      <c r="AR104" s="261">
        <f t="shared" si="37"/>
        <v>2765103.602</v>
      </c>
      <c r="AS104" s="261">
        <f t="shared" si="37"/>
        <v>2779149.0889999997</v>
      </c>
      <c r="AT104" s="261">
        <f t="shared" si="37"/>
        <v>3302865.415</v>
      </c>
    </row>
    <row r="105" spans="2:46" x14ac:dyDescent="0.3">
      <c r="B105" s="250" t="s">
        <v>406</v>
      </c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>
        <v>846009.65398000006</v>
      </c>
      <c r="AM105" s="260">
        <v>817867.40408099978</v>
      </c>
      <c r="AN105" s="260">
        <v>840340.33606999973</v>
      </c>
      <c r="AO105" s="260">
        <v>890402.20817999984</v>
      </c>
      <c r="AP105" s="260">
        <v>861714.99175000004</v>
      </c>
      <c r="AQ105" s="260">
        <v>848792.02415599977</v>
      </c>
      <c r="AR105" s="260">
        <v>865473.90344799962</v>
      </c>
      <c r="AS105" s="260">
        <v>922649.66536600003</v>
      </c>
      <c r="AT105" s="260">
        <v>889569.71698617702</v>
      </c>
    </row>
    <row r="106" spans="2:46" x14ac:dyDescent="0.3">
      <c r="B106" s="250" t="s">
        <v>407</v>
      </c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>
        <v>110551.05225000001</v>
      </c>
      <c r="AM106" s="260">
        <v>123121.26235099995</v>
      </c>
      <c r="AN106" s="260">
        <v>113634.71864400004</v>
      </c>
      <c r="AO106" s="260">
        <v>119813.93632799991</v>
      </c>
      <c r="AP106" s="260">
        <v>127608.49686000001</v>
      </c>
      <c r="AQ106" s="260">
        <v>137622.59022400004</v>
      </c>
      <c r="AR106" s="260">
        <v>137704.49681700004</v>
      </c>
      <c r="AS106" s="260">
        <v>159068.50938100019</v>
      </c>
      <c r="AT106" s="260">
        <v>178651.223524</v>
      </c>
    </row>
    <row r="107" spans="2:46" ht="13.5" thickBot="1" x14ac:dyDescent="0.35">
      <c r="B107" s="250" t="s">
        <v>270</v>
      </c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>
        <v>2188.2580899999998</v>
      </c>
      <c r="AM107" s="260">
        <v>4720.4066679999996</v>
      </c>
      <c r="AN107" s="260">
        <v>6580.0841440000004</v>
      </c>
      <c r="AO107" s="260">
        <v>8126.5625349999991</v>
      </c>
      <c r="AP107" s="260">
        <v>6965.2498099999993</v>
      </c>
      <c r="AQ107" s="260">
        <v>6883.7275820000013</v>
      </c>
      <c r="AR107" s="260">
        <v>31179.528869000002</v>
      </c>
      <c r="AS107" s="260">
        <v>34564.713187000008</v>
      </c>
      <c r="AT107" s="260">
        <v>36933.619930002838</v>
      </c>
    </row>
    <row r="108" spans="2:46" ht="13.5" thickBot="1" x14ac:dyDescent="0.35">
      <c r="B108" s="252" t="s">
        <v>409</v>
      </c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>
        <f t="shared" ref="AL108:AT108" si="38">SUM(AL105:AL107)</f>
        <v>958748.96432000014</v>
      </c>
      <c r="AM108" s="261">
        <f t="shared" si="38"/>
        <v>945709.0730999998</v>
      </c>
      <c r="AN108" s="261">
        <f t="shared" si="38"/>
        <v>960555.1388579997</v>
      </c>
      <c r="AO108" s="261">
        <f t="shared" si="38"/>
        <v>1018342.7070429998</v>
      </c>
      <c r="AP108" s="261">
        <f t="shared" si="38"/>
        <v>996288.73842000007</v>
      </c>
      <c r="AQ108" s="261">
        <f t="shared" si="38"/>
        <v>993298.34196199977</v>
      </c>
      <c r="AR108" s="261">
        <f t="shared" si="38"/>
        <v>1034357.9291339996</v>
      </c>
      <c r="AS108" s="261">
        <f t="shared" si="38"/>
        <v>1116282.8879340002</v>
      </c>
      <c r="AT108" s="261">
        <f t="shared" si="38"/>
        <v>1105154.5604401799</v>
      </c>
    </row>
    <row r="109" spans="2:46" ht="13.5" thickBot="1" x14ac:dyDescent="0.35">
      <c r="B109" s="254" t="s">
        <v>410</v>
      </c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>
        <v>1864.0644800000002</v>
      </c>
      <c r="AM109" s="260">
        <v>2140.9533569999999</v>
      </c>
      <c r="AN109" s="265">
        <v>2536.526237</v>
      </c>
      <c r="AO109" s="265">
        <v>2649.0252799999998</v>
      </c>
      <c r="AP109" s="265">
        <v>2587.44229</v>
      </c>
      <c r="AQ109" s="265">
        <v>2544.739075</v>
      </c>
      <c r="AR109" s="265">
        <v>2790.492949</v>
      </c>
      <c r="AS109" s="265">
        <v>3064.3879999999999</v>
      </c>
      <c r="AT109" s="265">
        <v>2926.55</v>
      </c>
    </row>
    <row r="110" spans="2:46" ht="13.5" thickBot="1" x14ac:dyDescent="0.35">
      <c r="B110" s="254" t="s">
        <v>411</v>
      </c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62"/>
      <c r="AJ110" s="266"/>
      <c r="AK110" s="266"/>
      <c r="AL110" s="262">
        <v>104325.42800000031</v>
      </c>
      <c r="AM110" s="262">
        <v>120726.10900000017</v>
      </c>
      <c r="AN110" s="266">
        <v>135651.96800000034</v>
      </c>
      <c r="AO110" s="266">
        <v>144222.03200000012</v>
      </c>
      <c r="AP110" s="266">
        <v>188072.71100000013</v>
      </c>
      <c r="AQ110" s="266">
        <v>197662.14999999991</v>
      </c>
      <c r="AR110" s="266">
        <v>231095.31600000011</v>
      </c>
      <c r="AS110" s="266">
        <v>260462.6520000007</v>
      </c>
      <c r="AT110" s="266">
        <v>335588.95599999977</v>
      </c>
    </row>
    <row r="111" spans="2:46" ht="13.5" thickBot="1" x14ac:dyDescent="0.35">
      <c r="B111" s="257" t="s">
        <v>419</v>
      </c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58"/>
      <c r="AI111" s="258"/>
      <c r="AJ111" s="258"/>
      <c r="AK111" s="258"/>
      <c r="AL111" s="258">
        <f t="shared" ref="AL111:AS111" si="39">SUM(AL104,AL108:AL110)</f>
        <v>3971319.5418000007</v>
      </c>
      <c r="AM111" s="258">
        <f t="shared" si="39"/>
        <v>3648798.1794569995</v>
      </c>
      <c r="AN111" s="253">
        <f t="shared" si="39"/>
        <v>3883369.9860950001</v>
      </c>
      <c r="AO111" s="253">
        <f t="shared" si="39"/>
        <v>3960178.7323230002</v>
      </c>
      <c r="AP111" s="258">
        <f t="shared" si="39"/>
        <v>4072744.5787100005</v>
      </c>
      <c r="AQ111" s="258">
        <f t="shared" si="39"/>
        <v>3753480.0030369996</v>
      </c>
      <c r="AR111" s="253">
        <f t="shared" si="39"/>
        <v>4033347.3400829998</v>
      </c>
      <c r="AS111" s="253">
        <f t="shared" si="39"/>
        <v>4158959.0169340004</v>
      </c>
      <c r="AT111" s="253">
        <f t="shared" ref="AT111" si="40">SUM(AT104,AT108:AT110)</f>
        <v>4746535.481440179</v>
      </c>
    </row>
    <row r="112" spans="2:46" ht="13.5" thickBot="1" x14ac:dyDescent="0.35">
      <c r="B112" s="252" t="s">
        <v>413</v>
      </c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8"/>
      <c r="AI112" s="258"/>
      <c r="AJ112" s="258"/>
      <c r="AK112" s="258"/>
      <c r="AL112" s="258">
        <f t="shared" ref="AL112:AM112" si="41">AL111-AL110</f>
        <v>3866994.1138000004</v>
      </c>
      <c r="AM112" s="258">
        <f t="shared" si="41"/>
        <v>3528072.0704569994</v>
      </c>
      <c r="AN112" s="253">
        <f>AN111-AN110</f>
        <v>3747718.0180949997</v>
      </c>
      <c r="AO112" s="253">
        <f>AO111-AO110</f>
        <v>3815956.7003230001</v>
      </c>
      <c r="AP112" s="258">
        <f t="shared" ref="AP112:AQ112" si="42">AP111-AP110</f>
        <v>3884671.8677100004</v>
      </c>
      <c r="AQ112" s="258">
        <f t="shared" si="42"/>
        <v>3555817.8530369997</v>
      </c>
      <c r="AR112" s="253">
        <f>AR111-AR110</f>
        <v>3802252.0240829997</v>
      </c>
      <c r="AS112" s="253">
        <f>AS111-AS110</f>
        <v>3898496.3649339997</v>
      </c>
      <c r="AT112" s="253">
        <f>AT111-AT110</f>
        <v>4410946.5254401788</v>
      </c>
    </row>
    <row r="113" spans="2:46" x14ac:dyDescent="0.3">
      <c r="B113" s="263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</row>
    <row r="114" spans="2:46" x14ac:dyDescent="0.3">
      <c r="B114" s="580" t="s">
        <v>420</v>
      </c>
      <c r="C114" s="581">
        <f t="shared" ref="C114:Z114" si="43">C20+C36+C66+C51</f>
        <v>3582336.6063963659</v>
      </c>
      <c r="D114" s="581">
        <f t="shared" si="43"/>
        <v>3734417.0149720004</v>
      </c>
      <c r="E114" s="581">
        <f t="shared" si="43"/>
        <v>4002431.6930880905</v>
      </c>
      <c r="F114" s="581">
        <f t="shared" si="43"/>
        <v>4252898.6532920003</v>
      </c>
      <c r="G114" s="581">
        <f t="shared" si="43"/>
        <v>3974837.1518339999</v>
      </c>
      <c r="H114" s="581">
        <f t="shared" si="43"/>
        <v>4099346.3673472288</v>
      </c>
      <c r="I114" s="581">
        <f t="shared" si="43"/>
        <v>4428269.4971643053</v>
      </c>
      <c r="J114" s="581">
        <f t="shared" si="43"/>
        <v>4563392.2646200005</v>
      </c>
      <c r="K114" s="581">
        <f t="shared" si="43"/>
        <v>4182252.1636089915</v>
      </c>
      <c r="L114" s="581">
        <f t="shared" si="43"/>
        <v>4104940.4005018449</v>
      </c>
      <c r="M114" s="581">
        <f t="shared" si="43"/>
        <v>4547258.5770700965</v>
      </c>
      <c r="N114" s="581">
        <f t="shared" si="43"/>
        <v>4941838.4751753816</v>
      </c>
      <c r="O114" s="581">
        <f t="shared" si="43"/>
        <v>4271708.525209358</v>
      </c>
      <c r="P114" s="581">
        <f t="shared" si="43"/>
        <v>4475031.6781500913</v>
      </c>
      <c r="Q114" s="581">
        <f t="shared" si="43"/>
        <v>4785504.2351499973</v>
      </c>
      <c r="R114" s="581">
        <f t="shared" si="43"/>
        <v>4904343.2665440431</v>
      </c>
      <c r="S114" s="581">
        <f t="shared" si="43"/>
        <v>5140494.077179228</v>
      </c>
      <c r="T114" s="581">
        <f t="shared" si="43"/>
        <v>5459269.5511155697</v>
      </c>
      <c r="U114" s="581">
        <f t="shared" si="43"/>
        <v>5647854.4472689927</v>
      </c>
      <c r="V114" s="581">
        <f t="shared" si="43"/>
        <v>5968529.2016652748</v>
      </c>
      <c r="W114" s="581">
        <f t="shared" si="43"/>
        <v>5294396.8858074099</v>
      </c>
      <c r="X114" s="581">
        <f t="shared" si="43"/>
        <v>5422004.5218184264</v>
      </c>
      <c r="Y114" s="581">
        <f t="shared" si="43"/>
        <v>5631152.973630243</v>
      </c>
      <c r="Z114" s="581">
        <f t="shared" si="43"/>
        <v>5732759.4142166981</v>
      </c>
      <c r="AA114" s="581">
        <f t="shared" ref="AA114:AO114" si="44">AA67+AA52+AA37+AA21+AA82+AA97+AA112</f>
        <v>5247863.3184180632</v>
      </c>
      <c r="AB114" s="581">
        <f t="shared" si="44"/>
        <v>5169240.0279878927</v>
      </c>
      <c r="AC114" s="581">
        <f t="shared" si="44"/>
        <v>5703704.8790268619</v>
      </c>
      <c r="AD114" s="581">
        <f t="shared" si="44"/>
        <v>6178707.3639892507</v>
      </c>
      <c r="AE114" s="581">
        <f t="shared" si="44"/>
        <v>5549261.4612175124</v>
      </c>
      <c r="AF114" s="581">
        <f t="shared" si="44"/>
        <v>5308947.0432739416</v>
      </c>
      <c r="AG114" s="581">
        <f t="shared" si="44"/>
        <v>7722267.9577574134</v>
      </c>
      <c r="AH114" s="581">
        <f t="shared" si="44"/>
        <v>8264631.6816435643</v>
      </c>
      <c r="AI114" s="581">
        <f t="shared" si="44"/>
        <v>8237594.9663093425</v>
      </c>
      <c r="AJ114" s="581">
        <f t="shared" si="44"/>
        <v>8045538.4854366733</v>
      </c>
      <c r="AK114" s="581">
        <f t="shared" si="44"/>
        <v>8181051.6115296381</v>
      </c>
      <c r="AL114" s="581">
        <f t="shared" si="44"/>
        <v>12399707.658756016</v>
      </c>
      <c r="AM114" s="581">
        <f t="shared" si="44"/>
        <v>11968810.384469453</v>
      </c>
      <c r="AN114" s="581">
        <f t="shared" si="44"/>
        <v>11868586.962116715</v>
      </c>
      <c r="AO114" s="581">
        <f t="shared" si="44"/>
        <v>12323137.789131109</v>
      </c>
      <c r="AP114" s="581">
        <f>AP67+AP52+AP37+AP21+AP82+AP97+AP112</f>
        <v>12685728.108162334</v>
      </c>
      <c r="AQ114" s="581">
        <f>AQ67+AQ52+AQ37+AQ21+AQ82+AQ97+AQ112</f>
        <v>12313513.150740596</v>
      </c>
      <c r="AR114" s="581">
        <f>AR67+AR52+AR37+AR21+AR82+AR97+AR112</f>
        <v>12398962.613658931</v>
      </c>
      <c r="AS114" s="581">
        <f>AS67+AS52+AS37+AS21+AS82+AS97+AS112</f>
        <v>12828404.433324628</v>
      </c>
      <c r="AT114" s="581">
        <f>AT67+AT52+AT37+AT21+AT82+AT97+AT112</f>
        <v>13889566.912386799</v>
      </c>
    </row>
    <row r="116" spans="2:46" x14ac:dyDescent="0.3">
      <c r="B116" s="578" t="s">
        <v>421</v>
      </c>
      <c r="C116" s="579" t="s">
        <v>289</v>
      </c>
      <c r="D116" s="579" t="s">
        <v>290</v>
      </c>
      <c r="E116" s="579" t="s">
        <v>291</v>
      </c>
      <c r="F116" s="579" t="s">
        <v>292</v>
      </c>
      <c r="G116" s="579" t="s">
        <v>293</v>
      </c>
      <c r="H116" s="579" t="s">
        <v>294</v>
      </c>
      <c r="I116" s="579" t="s">
        <v>295</v>
      </c>
      <c r="J116" s="579" t="s">
        <v>296</v>
      </c>
      <c r="K116" s="579" t="s">
        <v>297</v>
      </c>
      <c r="L116" s="579" t="s">
        <v>298</v>
      </c>
      <c r="M116" s="579" t="s">
        <v>299</v>
      </c>
      <c r="N116" s="579" t="s">
        <v>300</v>
      </c>
      <c r="O116" s="579" t="s">
        <v>301</v>
      </c>
      <c r="P116" s="579" t="s">
        <v>302</v>
      </c>
      <c r="Q116" s="579" t="s">
        <v>303</v>
      </c>
      <c r="R116" s="579" t="s">
        <v>304</v>
      </c>
      <c r="S116" s="579" t="s">
        <v>57</v>
      </c>
      <c r="T116" s="579" t="s">
        <v>58</v>
      </c>
      <c r="U116" s="579" t="s">
        <v>59</v>
      </c>
      <c r="V116" s="579" t="s">
        <v>60</v>
      </c>
      <c r="W116" s="579" t="s">
        <v>61</v>
      </c>
      <c r="X116" s="579" t="s">
        <v>62</v>
      </c>
      <c r="Y116" s="579" t="s">
        <v>63</v>
      </c>
      <c r="Z116" s="579" t="s">
        <v>64</v>
      </c>
      <c r="AA116" s="579" t="s">
        <v>65</v>
      </c>
      <c r="AB116" s="579" t="s">
        <v>66</v>
      </c>
      <c r="AC116" s="579" t="s">
        <v>67</v>
      </c>
      <c r="AD116" s="579" t="s">
        <v>68</v>
      </c>
      <c r="AE116" s="579" t="s">
        <v>69</v>
      </c>
      <c r="AF116" s="579" t="s">
        <v>70</v>
      </c>
      <c r="AG116" s="579" t="s">
        <v>71</v>
      </c>
      <c r="AH116" s="579" t="s">
        <v>72</v>
      </c>
      <c r="AI116" s="579" t="str">
        <f t="shared" ref="AI116:AS116" si="45">AI6</f>
        <v>1T21</v>
      </c>
      <c r="AJ116" s="579" t="str">
        <f t="shared" si="45"/>
        <v>2T21</v>
      </c>
      <c r="AK116" s="579" t="str">
        <f t="shared" si="45"/>
        <v>3T21</v>
      </c>
      <c r="AL116" s="579" t="str">
        <f t="shared" si="45"/>
        <v>4T21</v>
      </c>
      <c r="AM116" s="579" t="str">
        <f t="shared" si="45"/>
        <v>1T22</v>
      </c>
      <c r="AN116" s="579" t="str">
        <f t="shared" si="45"/>
        <v>2T22</v>
      </c>
      <c r="AO116" s="579" t="str">
        <f t="shared" si="45"/>
        <v>3T22</v>
      </c>
      <c r="AP116" s="579" t="str">
        <f t="shared" si="45"/>
        <v>4T22</v>
      </c>
      <c r="AQ116" s="579" t="str">
        <f t="shared" si="45"/>
        <v>1T23</v>
      </c>
      <c r="AR116" s="579" t="str">
        <f t="shared" si="45"/>
        <v>2T23</v>
      </c>
      <c r="AS116" s="579" t="str">
        <f t="shared" si="45"/>
        <v>3T23</v>
      </c>
      <c r="AT116" s="579" t="s">
        <v>685</v>
      </c>
    </row>
    <row r="117" spans="2:46" x14ac:dyDescent="0.3">
      <c r="B117" s="247"/>
    </row>
    <row r="118" spans="2:46" x14ac:dyDescent="0.3">
      <c r="B118" s="248" t="s">
        <v>1</v>
      </c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</row>
    <row r="119" spans="2:46" x14ac:dyDescent="0.3">
      <c r="B119" s="250" t="s">
        <v>422</v>
      </c>
      <c r="C119" s="260">
        <v>807281</v>
      </c>
      <c r="D119" s="260">
        <v>807621</v>
      </c>
      <c r="E119" s="260">
        <v>802966</v>
      </c>
      <c r="F119" s="260">
        <v>812694</v>
      </c>
      <c r="G119" s="260">
        <v>815744</v>
      </c>
      <c r="H119" s="260">
        <v>812808</v>
      </c>
      <c r="I119" s="260">
        <v>819880</v>
      </c>
      <c r="J119" s="260">
        <v>841557</v>
      </c>
      <c r="K119" s="260">
        <v>1099173</v>
      </c>
      <c r="L119" s="260">
        <v>1221464</v>
      </c>
      <c r="M119" s="260">
        <v>1199896</v>
      </c>
      <c r="N119" s="260">
        <v>1209060</v>
      </c>
      <c r="O119" s="260">
        <v>1213738</v>
      </c>
      <c r="P119" s="260">
        <v>1265558</v>
      </c>
      <c r="Q119" s="260">
        <v>1285748</v>
      </c>
      <c r="R119" s="260">
        <v>1306721</v>
      </c>
      <c r="S119" s="260">
        <v>1336522</v>
      </c>
      <c r="T119" s="260">
        <v>1304571</v>
      </c>
      <c r="U119" s="260">
        <v>1321978</v>
      </c>
      <c r="V119" s="260">
        <v>1353558</v>
      </c>
      <c r="W119" s="260">
        <v>1444489</v>
      </c>
      <c r="X119" s="260">
        <v>1526078</v>
      </c>
      <c r="Y119" s="260">
        <v>1477303</v>
      </c>
      <c r="Z119" s="260">
        <v>1646989</v>
      </c>
      <c r="AA119" s="260">
        <v>1634498</v>
      </c>
      <c r="AB119" s="260">
        <v>1594238</v>
      </c>
      <c r="AC119" s="260">
        <v>1586010</v>
      </c>
      <c r="AD119" s="260">
        <v>1579444</v>
      </c>
      <c r="AE119" s="260">
        <v>1570164</v>
      </c>
      <c r="AF119" s="260">
        <v>1507454</v>
      </c>
      <c r="AG119" s="260">
        <v>1486828</v>
      </c>
      <c r="AH119" s="260">
        <v>1474533</v>
      </c>
      <c r="AI119" s="260">
        <v>1449050</v>
      </c>
      <c r="AJ119" s="260">
        <v>1438238</v>
      </c>
      <c r="AK119" s="260">
        <v>1432261</v>
      </c>
      <c r="AL119" s="260">
        <v>1435006</v>
      </c>
      <c r="AM119" s="260">
        <v>1470702</v>
      </c>
      <c r="AN119" s="260">
        <v>1496932</v>
      </c>
      <c r="AO119" s="260">
        <v>1473498</v>
      </c>
      <c r="AP119" s="260">
        <v>1469944</v>
      </c>
      <c r="AQ119" s="260">
        <v>1445514</v>
      </c>
      <c r="AR119" s="260">
        <v>1480160</v>
      </c>
      <c r="AS119" s="260">
        <v>1495996</v>
      </c>
      <c r="AT119" s="260">
        <v>1505355</v>
      </c>
    </row>
    <row r="120" spans="2:46" x14ac:dyDescent="0.3">
      <c r="B120" s="250" t="s">
        <v>423</v>
      </c>
      <c r="C120" s="260">
        <v>1037096</v>
      </c>
      <c r="D120" s="260">
        <v>1052535</v>
      </c>
      <c r="E120" s="260">
        <v>1075734</v>
      </c>
      <c r="F120" s="260">
        <v>1080999</v>
      </c>
      <c r="G120" s="260">
        <v>1096703</v>
      </c>
      <c r="H120" s="260">
        <v>1113868</v>
      </c>
      <c r="I120" s="260">
        <v>1117227</v>
      </c>
      <c r="J120" s="260">
        <v>1112578</v>
      </c>
      <c r="K120" s="260">
        <v>868659</v>
      </c>
      <c r="L120" s="260">
        <v>755685</v>
      </c>
      <c r="M120" s="260">
        <v>790070</v>
      </c>
      <c r="N120" s="260">
        <v>803113</v>
      </c>
      <c r="O120" s="260">
        <v>818637</v>
      </c>
      <c r="P120" s="260">
        <v>804467</v>
      </c>
      <c r="Q120" s="260">
        <v>801007</v>
      </c>
      <c r="R120" s="260">
        <v>798209</v>
      </c>
      <c r="S120" s="260">
        <v>787745</v>
      </c>
      <c r="T120" s="260">
        <v>834772</v>
      </c>
      <c r="U120" s="260">
        <v>841507</v>
      </c>
      <c r="V120" s="260">
        <v>824717</v>
      </c>
      <c r="W120" s="260">
        <v>750727</v>
      </c>
      <c r="X120" s="260">
        <v>686126</v>
      </c>
      <c r="Y120" s="260">
        <v>746417</v>
      </c>
      <c r="Z120" s="260">
        <v>595682</v>
      </c>
      <c r="AA120" s="260">
        <v>620634</v>
      </c>
      <c r="AB120" s="260">
        <v>669690</v>
      </c>
      <c r="AC120" s="260">
        <v>671269</v>
      </c>
      <c r="AD120" s="260">
        <v>697511</v>
      </c>
      <c r="AE120" s="260">
        <v>701522</v>
      </c>
      <c r="AF120" s="260">
        <v>776140</v>
      </c>
      <c r="AG120" s="260">
        <v>805201</v>
      </c>
      <c r="AH120" s="260">
        <v>834429</v>
      </c>
      <c r="AI120" s="260">
        <v>855409</v>
      </c>
      <c r="AJ120" s="260">
        <v>866391</v>
      </c>
      <c r="AK120" s="260">
        <v>881025</v>
      </c>
      <c r="AL120" s="260">
        <v>892278</v>
      </c>
      <c r="AM120" s="260">
        <v>932681</v>
      </c>
      <c r="AN120" s="260">
        <v>939218</v>
      </c>
      <c r="AO120" s="260">
        <v>970785</v>
      </c>
      <c r="AP120" s="260">
        <v>985010</v>
      </c>
      <c r="AQ120" s="260">
        <v>1024132</v>
      </c>
      <c r="AR120" s="260">
        <v>1003498</v>
      </c>
      <c r="AS120" s="260">
        <v>1000575</v>
      </c>
      <c r="AT120" s="260">
        <v>1010356</v>
      </c>
    </row>
    <row r="121" spans="2:46" x14ac:dyDescent="0.3">
      <c r="B121" s="250" t="s">
        <v>406</v>
      </c>
      <c r="C121" s="260">
        <v>9153</v>
      </c>
      <c r="D121" s="260">
        <v>9002</v>
      </c>
      <c r="E121" s="260">
        <v>9000</v>
      </c>
      <c r="F121" s="260">
        <v>8982</v>
      </c>
      <c r="G121" s="260">
        <v>8961</v>
      </c>
      <c r="H121" s="260">
        <v>8862</v>
      </c>
      <c r="I121" s="260">
        <v>8820</v>
      </c>
      <c r="J121" s="260">
        <v>8685</v>
      </c>
      <c r="K121" s="260">
        <v>8536</v>
      </c>
      <c r="L121" s="260">
        <v>8523</v>
      </c>
      <c r="M121" s="260">
        <v>8580</v>
      </c>
      <c r="N121" s="260">
        <v>8507</v>
      </c>
      <c r="O121" s="260">
        <v>8480</v>
      </c>
      <c r="P121" s="260">
        <v>8551</v>
      </c>
      <c r="Q121" s="260">
        <v>8443</v>
      </c>
      <c r="R121" s="260">
        <v>8395</v>
      </c>
      <c r="S121" s="260">
        <v>8293</v>
      </c>
      <c r="T121" s="260">
        <v>8240</v>
      </c>
      <c r="U121" s="260">
        <v>8193</v>
      </c>
      <c r="V121" s="260">
        <v>8107</v>
      </c>
      <c r="W121" s="260">
        <v>8059</v>
      </c>
      <c r="X121" s="260">
        <v>7932</v>
      </c>
      <c r="Y121" s="260">
        <v>7784</v>
      </c>
      <c r="Z121" s="260">
        <v>7728</v>
      </c>
      <c r="AA121" s="260">
        <v>7778</v>
      </c>
      <c r="AB121" s="260">
        <v>7533</v>
      </c>
      <c r="AC121" s="260">
        <v>7609</v>
      </c>
      <c r="AD121" s="260">
        <v>7541</v>
      </c>
      <c r="AE121" s="260">
        <v>7469</v>
      </c>
      <c r="AF121" s="260">
        <v>7365</v>
      </c>
      <c r="AG121" s="260">
        <v>7307</v>
      </c>
      <c r="AH121" s="260">
        <v>7165</v>
      </c>
      <c r="AI121" s="260">
        <v>6880</v>
      </c>
      <c r="AJ121" s="260">
        <v>6825</v>
      </c>
      <c r="AK121" s="260">
        <v>6703</v>
      </c>
      <c r="AL121" s="260">
        <v>6468</v>
      </c>
      <c r="AM121" s="260">
        <v>3277</v>
      </c>
      <c r="AN121" s="260">
        <v>2680</v>
      </c>
      <c r="AO121" s="260">
        <v>2616</v>
      </c>
      <c r="AP121" s="260">
        <v>2620</v>
      </c>
      <c r="AQ121" s="260">
        <v>2631</v>
      </c>
      <c r="AR121" s="260">
        <v>2702</v>
      </c>
      <c r="AS121" s="260">
        <v>2755</v>
      </c>
      <c r="AT121" s="260">
        <v>2804</v>
      </c>
    </row>
    <row r="122" spans="2:46" x14ac:dyDescent="0.3">
      <c r="B122" s="250" t="s">
        <v>407</v>
      </c>
      <c r="C122" s="260">
        <v>130336</v>
      </c>
      <c r="D122" s="260">
        <v>131619</v>
      </c>
      <c r="E122" s="260">
        <v>133148</v>
      </c>
      <c r="F122" s="260">
        <v>134985</v>
      </c>
      <c r="G122" s="260">
        <v>139703</v>
      </c>
      <c r="H122" s="260">
        <v>142422</v>
      </c>
      <c r="I122" s="260">
        <v>144467</v>
      </c>
      <c r="J122" s="260">
        <v>146021</v>
      </c>
      <c r="K122" s="260">
        <v>147345</v>
      </c>
      <c r="L122" s="260">
        <v>148646</v>
      </c>
      <c r="M122" s="260">
        <v>150102</v>
      </c>
      <c r="N122" s="260">
        <v>151361</v>
      </c>
      <c r="O122" s="260">
        <v>152240</v>
      </c>
      <c r="P122" s="260">
        <v>154365</v>
      </c>
      <c r="Q122" s="260">
        <v>154278</v>
      </c>
      <c r="R122" s="260">
        <v>154726</v>
      </c>
      <c r="S122" s="260">
        <v>154534</v>
      </c>
      <c r="T122" s="260">
        <v>155009</v>
      </c>
      <c r="U122" s="260">
        <v>155959</v>
      </c>
      <c r="V122" s="260">
        <v>155576</v>
      </c>
      <c r="W122" s="260">
        <v>155608</v>
      </c>
      <c r="X122" s="260">
        <v>154527</v>
      </c>
      <c r="Y122" s="260">
        <v>149664</v>
      </c>
      <c r="Z122" s="260">
        <v>148648</v>
      </c>
      <c r="AA122" s="260">
        <v>147250</v>
      </c>
      <c r="AB122" s="260">
        <v>145408</v>
      </c>
      <c r="AC122" s="260">
        <v>144474</v>
      </c>
      <c r="AD122" s="260">
        <v>142788</v>
      </c>
      <c r="AE122" s="260">
        <v>140585</v>
      </c>
      <c r="AF122" s="260">
        <v>139229</v>
      </c>
      <c r="AG122" s="260">
        <v>138090</v>
      </c>
      <c r="AH122" s="260">
        <v>135107</v>
      </c>
      <c r="AI122" s="260">
        <v>130668</v>
      </c>
      <c r="AJ122" s="260">
        <v>129037</v>
      </c>
      <c r="AK122" s="260">
        <v>127712</v>
      </c>
      <c r="AL122" s="260">
        <v>125803</v>
      </c>
      <c r="AM122" s="260">
        <v>67431</v>
      </c>
      <c r="AN122" s="260">
        <v>58935</v>
      </c>
      <c r="AO122" s="260">
        <v>58952</v>
      </c>
      <c r="AP122" s="260">
        <v>59203</v>
      </c>
      <c r="AQ122" s="260">
        <v>59675</v>
      </c>
      <c r="AR122" s="260">
        <v>60043</v>
      </c>
      <c r="AS122" s="260">
        <v>60373</v>
      </c>
      <c r="AT122" s="260">
        <v>60514</v>
      </c>
    </row>
    <row r="123" spans="2:46" ht="13.5" thickBot="1" x14ac:dyDescent="0.35">
      <c r="B123" s="250" t="s">
        <v>270</v>
      </c>
      <c r="C123" s="260">
        <v>88136</v>
      </c>
      <c r="D123" s="260">
        <v>87950</v>
      </c>
      <c r="E123" s="260">
        <v>87827</v>
      </c>
      <c r="F123" s="260">
        <v>88300</v>
      </c>
      <c r="G123" s="260">
        <v>88751</v>
      </c>
      <c r="H123" s="260">
        <v>88743</v>
      </c>
      <c r="I123" s="260">
        <v>88512</v>
      </c>
      <c r="J123" s="260">
        <v>88982</v>
      </c>
      <c r="K123" s="260">
        <v>88526</v>
      </c>
      <c r="L123" s="260">
        <v>88479</v>
      </c>
      <c r="M123" s="260">
        <v>89067</v>
      </c>
      <c r="N123" s="260">
        <v>89561</v>
      </c>
      <c r="O123" s="260">
        <v>89949</v>
      </c>
      <c r="P123" s="260">
        <v>90544</v>
      </c>
      <c r="Q123" s="260">
        <v>90558</v>
      </c>
      <c r="R123" s="260">
        <v>90715</v>
      </c>
      <c r="S123" s="260">
        <v>90632</v>
      </c>
      <c r="T123" s="260">
        <v>90106</v>
      </c>
      <c r="U123" s="260">
        <v>91307</v>
      </c>
      <c r="V123" s="260">
        <v>91543</v>
      </c>
      <c r="W123" s="260">
        <v>93095</v>
      </c>
      <c r="X123" s="260">
        <v>93367</v>
      </c>
      <c r="Y123" s="260">
        <v>92445</v>
      </c>
      <c r="Z123" s="260">
        <v>92800</v>
      </c>
      <c r="AA123" s="260">
        <v>92971</v>
      </c>
      <c r="AB123" s="260">
        <v>92721</v>
      </c>
      <c r="AC123" s="260">
        <v>120649</v>
      </c>
      <c r="AD123" s="260">
        <v>121496</v>
      </c>
      <c r="AE123" s="260">
        <v>135399</v>
      </c>
      <c r="AF123" s="260">
        <v>133916</v>
      </c>
      <c r="AG123" s="260">
        <v>142199</v>
      </c>
      <c r="AH123" s="260">
        <v>143867</v>
      </c>
      <c r="AI123" s="260">
        <v>153671</v>
      </c>
      <c r="AJ123" s="260">
        <v>156660</v>
      </c>
      <c r="AK123" s="260">
        <v>167488</v>
      </c>
      <c r="AL123" s="260">
        <v>169898</v>
      </c>
      <c r="AM123" s="260">
        <v>169635</v>
      </c>
      <c r="AN123" s="260">
        <v>155797</v>
      </c>
      <c r="AO123" s="260">
        <v>159964</v>
      </c>
      <c r="AP123" s="260">
        <v>159954</v>
      </c>
      <c r="AQ123" s="260">
        <v>159911</v>
      </c>
      <c r="AR123" s="260">
        <v>160046</v>
      </c>
      <c r="AS123" s="260">
        <v>159941</v>
      </c>
      <c r="AT123" s="260">
        <v>159681</v>
      </c>
    </row>
    <row r="124" spans="2:46" ht="13.5" thickBot="1" x14ac:dyDescent="0.35">
      <c r="B124" s="252" t="s">
        <v>424</v>
      </c>
      <c r="C124" s="267">
        <f>SUM(C119:C123)</f>
        <v>2072002</v>
      </c>
      <c r="D124" s="267">
        <f t="shared" ref="D124:AT124" si="46">SUM(D119:D123)</f>
        <v>2088727</v>
      </c>
      <c r="E124" s="267">
        <f t="shared" si="46"/>
        <v>2108675</v>
      </c>
      <c r="F124" s="267">
        <f t="shared" si="46"/>
        <v>2125960</v>
      </c>
      <c r="G124" s="267">
        <f t="shared" si="46"/>
        <v>2149862</v>
      </c>
      <c r="H124" s="267">
        <f t="shared" si="46"/>
        <v>2166703</v>
      </c>
      <c r="I124" s="267">
        <f t="shared" si="46"/>
        <v>2178906</v>
      </c>
      <c r="J124" s="267">
        <f t="shared" si="46"/>
        <v>2197823</v>
      </c>
      <c r="K124" s="267">
        <f t="shared" si="46"/>
        <v>2212239</v>
      </c>
      <c r="L124" s="267">
        <f t="shared" si="46"/>
        <v>2222797</v>
      </c>
      <c r="M124" s="267">
        <f t="shared" si="46"/>
        <v>2237715</v>
      </c>
      <c r="N124" s="267">
        <f t="shared" si="46"/>
        <v>2261602</v>
      </c>
      <c r="O124" s="267">
        <f t="shared" si="46"/>
        <v>2283044</v>
      </c>
      <c r="P124" s="267">
        <f t="shared" si="46"/>
        <v>2323485</v>
      </c>
      <c r="Q124" s="267">
        <f t="shared" si="46"/>
        <v>2340034</v>
      </c>
      <c r="R124" s="267">
        <f t="shared" si="46"/>
        <v>2358766</v>
      </c>
      <c r="S124" s="267">
        <f t="shared" si="46"/>
        <v>2377726</v>
      </c>
      <c r="T124" s="267">
        <f t="shared" si="46"/>
        <v>2392698</v>
      </c>
      <c r="U124" s="267">
        <f t="shared" si="46"/>
        <v>2418944</v>
      </c>
      <c r="V124" s="267">
        <f t="shared" si="46"/>
        <v>2433501</v>
      </c>
      <c r="W124" s="267">
        <f t="shared" si="46"/>
        <v>2451978</v>
      </c>
      <c r="X124" s="267">
        <f t="shared" si="46"/>
        <v>2468030</v>
      </c>
      <c r="Y124" s="267">
        <f t="shared" si="46"/>
        <v>2473613</v>
      </c>
      <c r="Z124" s="267">
        <f t="shared" si="46"/>
        <v>2491847</v>
      </c>
      <c r="AA124" s="267">
        <f t="shared" si="46"/>
        <v>2503131</v>
      </c>
      <c r="AB124" s="267">
        <f t="shared" si="46"/>
        <v>2509590</v>
      </c>
      <c r="AC124" s="267">
        <f t="shared" si="46"/>
        <v>2530011</v>
      </c>
      <c r="AD124" s="267">
        <f t="shared" si="46"/>
        <v>2548780</v>
      </c>
      <c r="AE124" s="267">
        <f t="shared" si="46"/>
        <v>2555139</v>
      </c>
      <c r="AF124" s="267">
        <f t="shared" si="46"/>
        <v>2564104</v>
      </c>
      <c r="AG124" s="267">
        <f t="shared" si="46"/>
        <v>2579625</v>
      </c>
      <c r="AH124" s="267">
        <f t="shared" si="46"/>
        <v>2595101</v>
      </c>
      <c r="AI124" s="267">
        <f t="shared" si="46"/>
        <v>2595678</v>
      </c>
      <c r="AJ124" s="267">
        <f t="shared" si="46"/>
        <v>2597151</v>
      </c>
      <c r="AK124" s="267">
        <f t="shared" si="46"/>
        <v>2615189</v>
      </c>
      <c r="AL124" s="267">
        <f t="shared" si="46"/>
        <v>2629453</v>
      </c>
      <c r="AM124" s="267">
        <f t="shared" si="46"/>
        <v>2643726</v>
      </c>
      <c r="AN124" s="267">
        <f t="shared" si="46"/>
        <v>2653562</v>
      </c>
      <c r="AO124" s="267">
        <f t="shared" si="46"/>
        <v>2665815</v>
      </c>
      <c r="AP124" s="267">
        <f t="shared" si="46"/>
        <v>2676731</v>
      </c>
      <c r="AQ124" s="267">
        <f t="shared" si="46"/>
        <v>2691863</v>
      </c>
      <c r="AR124" s="267">
        <f t="shared" si="46"/>
        <v>2706449</v>
      </c>
      <c r="AS124" s="267">
        <f t="shared" si="46"/>
        <v>2719640</v>
      </c>
      <c r="AT124" s="267">
        <f t="shared" si="46"/>
        <v>2738710</v>
      </c>
    </row>
    <row r="125" spans="2:46" x14ac:dyDescent="0.3">
      <c r="B125" s="268"/>
    </row>
    <row r="126" spans="2:46" x14ac:dyDescent="0.3">
      <c r="B126" s="248" t="s">
        <v>2</v>
      </c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</row>
    <row r="127" spans="2:46" x14ac:dyDescent="0.3">
      <c r="B127" s="250" t="s">
        <v>422</v>
      </c>
      <c r="C127" s="260">
        <v>1203699</v>
      </c>
      <c r="D127" s="260">
        <v>1119891</v>
      </c>
      <c r="E127" s="260">
        <v>1129111</v>
      </c>
      <c r="F127" s="260">
        <v>1133956</v>
      </c>
      <c r="G127" s="260">
        <v>1157262</v>
      </c>
      <c r="H127" s="260">
        <v>1146162</v>
      </c>
      <c r="I127" s="260">
        <v>1167510</v>
      </c>
      <c r="J127" s="260">
        <v>1182998</v>
      </c>
      <c r="K127" s="260">
        <v>1317040</v>
      </c>
      <c r="L127" s="260">
        <v>1431139</v>
      </c>
      <c r="M127" s="260">
        <v>1399562</v>
      </c>
      <c r="N127" s="260">
        <v>1425157</v>
      </c>
      <c r="O127" s="260">
        <v>1391858</v>
      </c>
      <c r="P127" s="260">
        <v>1488133</v>
      </c>
      <c r="Q127" s="260">
        <v>1525475</v>
      </c>
      <c r="R127" s="260">
        <v>1559018</v>
      </c>
      <c r="S127" s="260">
        <v>1608525</v>
      </c>
      <c r="T127" s="260">
        <v>1597326</v>
      </c>
      <c r="U127" s="260">
        <v>1602156</v>
      </c>
      <c r="V127" s="260">
        <v>1592529</v>
      </c>
      <c r="W127" s="260">
        <v>1710069</v>
      </c>
      <c r="X127" s="260">
        <v>1719971</v>
      </c>
      <c r="Y127" s="260">
        <v>1682961</v>
      </c>
      <c r="Z127" s="260">
        <v>1808031</v>
      </c>
      <c r="AA127" s="260">
        <v>1810233</v>
      </c>
      <c r="AB127" s="260">
        <v>1777396</v>
      </c>
      <c r="AC127" s="260">
        <v>1768383</v>
      </c>
      <c r="AD127" s="260">
        <v>1747292</v>
      </c>
      <c r="AE127" s="260">
        <v>1738814</v>
      </c>
      <c r="AF127" s="260">
        <v>1655639</v>
      </c>
      <c r="AG127" s="260">
        <v>1662332</v>
      </c>
      <c r="AH127" s="260">
        <v>1634830</v>
      </c>
      <c r="AI127" s="260">
        <v>1614012</v>
      </c>
      <c r="AJ127" s="260">
        <v>1616324</v>
      </c>
      <c r="AK127" s="260">
        <v>1621982</v>
      </c>
      <c r="AL127" s="260">
        <v>1635209</v>
      </c>
      <c r="AM127" s="260">
        <v>1629123</v>
      </c>
      <c r="AN127" s="260">
        <v>1663405</v>
      </c>
      <c r="AO127" s="260">
        <v>1662669</v>
      </c>
      <c r="AP127" s="260">
        <v>1630047</v>
      </c>
      <c r="AQ127" s="260">
        <v>1605596</v>
      </c>
      <c r="AR127" s="260">
        <v>1639946</v>
      </c>
      <c r="AS127" s="260">
        <v>1638420</v>
      </c>
      <c r="AT127" s="260">
        <v>1651472</v>
      </c>
    </row>
    <row r="128" spans="2:46" x14ac:dyDescent="0.3">
      <c r="B128" s="250" t="s">
        <v>423</v>
      </c>
      <c r="C128" s="260">
        <v>456283</v>
      </c>
      <c r="D128" s="260">
        <v>551935</v>
      </c>
      <c r="E128" s="260">
        <v>565137</v>
      </c>
      <c r="F128" s="260">
        <v>600039</v>
      </c>
      <c r="G128" s="260">
        <v>619057</v>
      </c>
      <c r="H128" s="260">
        <v>659640</v>
      </c>
      <c r="I128" s="260">
        <v>674438</v>
      </c>
      <c r="J128" s="260">
        <v>697169</v>
      </c>
      <c r="K128" s="260">
        <v>591183</v>
      </c>
      <c r="L128" s="260">
        <v>500744</v>
      </c>
      <c r="M128" s="260">
        <v>559347</v>
      </c>
      <c r="N128" s="260">
        <v>562525</v>
      </c>
      <c r="O128" s="260">
        <v>551905</v>
      </c>
      <c r="P128" s="260">
        <v>545401</v>
      </c>
      <c r="Q128" s="260">
        <v>536906</v>
      </c>
      <c r="R128" s="260">
        <v>537059</v>
      </c>
      <c r="S128" s="260">
        <v>511926</v>
      </c>
      <c r="T128" s="260">
        <v>549941</v>
      </c>
      <c r="U128" s="260">
        <v>590395</v>
      </c>
      <c r="V128" s="260">
        <v>634222</v>
      </c>
      <c r="W128" s="260">
        <v>526655</v>
      </c>
      <c r="X128" s="260">
        <v>527800</v>
      </c>
      <c r="Y128" s="260">
        <v>571671</v>
      </c>
      <c r="Z128" s="260">
        <v>463694</v>
      </c>
      <c r="AA128" s="260">
        <v>469252</v>
      </c>
      <c r="AB128" s="260">
        <v>526972</v>
      </c>
      <c r="AC128" s="260">
        <v>542769</v>
      </c>
      <c r="AD128" s="260">
        <v>576296</v>
      </c>
      <c r="AE128" s="260">
        <v>587154</v>
      </c>
      <c r="AF128" s="260">
        <v>692399</v>
      </c>
      <c r="AG128" s="260">
        <v>687003</v>
      </c>
      <c r="AH128" s="260">
        <v>726150</v>
      </c>
      <c r="AI128" s="260">
        <v>755075</v>
      </c>
      <c r="AJ128" s="260">
        <v>772414</v>
      </c>
      <c r="AK128" s="260">
        <v>793977</v>
      </c>
      <c r="AL128" s="260">
        <v>796970</v>
      </c>
      <c r="AM128" s="260">
        <v>834985</v>
      </c>
      <c r="AN128" s="260">
        <v>848600</v>
      </c>
      <c r="AO128" s="260">
        <v>875156</v>
      </c>
      <c r="AP128" s="260">
        <v>913304</v>
      </c>
      <c r="AQ128" s="260">
        <v>964158</v>
      </c>
      <c r="AR128" s="260">
        <v>946890</v>
      </c>
      <c r="AS128" s="260">
        <v>962404</v>
      </c>
      <c r="AT128" s="260">
        <v>962634</v>
      </c>
    </row>
    <row r="129" spans="2:46" x14ac:dyDescent="0.3">
      <c r="B129" s="250" t="s">
        <v>406</v>
      </c>
      <c r="C129" s="260">
        <v>3809</v>
      </c>
      <c r="D129" s="260">
        <v>3858</v>
      </c>
      <c r="E129" s="260">
        <v>3926</v>
      </c>
      <c r="F129" s="260">
        <v>4030</v>
      </c>
      <c r="G129" s="260">
        <v>3992</v>
      </c>
      <c r="H129" s="260">
        <v>4003</v>
      </c>
      <c r="I129" s="260">
        <v>4038</v>
      </c>
      <c r="J129" s="260">
        <v>4022</v>
      </c>
      <c r="K129" s="260">
        <v>4037</v>
      </c>
      <c r="L129" s="260">
        <v>4000</v>
      </c>
      <c r="M129" s="260">
        <v>4018</v>
      </c>
      <c r="N129" s="260">
        <v>3998</v>
      </c>
      <c r="O129" s="260">
        <v>3660</v>
      </c>
      <c r="P129" s="260">
        <v>4406</v>
      </c>
      <c r="Q129" s="260">
        <v>4109</v>
      </c>
      <c r="R129" s="260">
        <v>4231</v>
      </c>
      <c r="S129" s="260">
        <v>4053</v>
      </c>
      <c r="T129" s="260">
        <v>4008</v>
      </c>
      <c r="U129" s="260">
        <v>3967</v>
      </c>
      <c r="V129" s="260">
        <v>3929</v>
      </c>
      <c r="W129" s="260">
        <v>4075</v>
      </c>
      <c r="X129" s="260">
        <v>3932</v>
      </c>
      <c r="Y129" s="260">
        <v>4001</v>
      </c>
      <c r="Z129" s="260">
        <v>4076</v>
      </c>
      <c r="AA129" s="260">
        <v>4010</v>
      </c>
      <c r="AB129" s="260">
        <v>4068</v>
      </c>
      <c r="AC129" s="260">
        <v>4067</v>
      </c>
      <c r="AD129" s="260">
        <v>4025</v>
      </c>
      <c r="AE129" s="260">
        <v>4013</v>
      </c>
      <c r="AF129" s="260">
        <v>3947</v>
      </c>
      <c r="AG129" s="260">
        <v>4039</v>
      </c>
      <c r="AH129" s="260">
        <v>3951</v>
      </c>
      <c r="AI129" s="260">
        <v>4103</v>
      </c>
      <c r="AJ129" s="260">
        <v>4070</v>
      </c>
      <c r="AK129" s="260">
        <v>4127</v>
      </c>
      <c r="AL129" s="260">
        <v>4385</v>
      </c>
      <c r="AM129" s="260">
        <v>4214</v>
      </c>
      <c r="AN129" s="260">
        <v>4184</v>
      </c>
      <c r="AO129" s="260">
        <v>4182</v>
      </c>
      <c r="AP129" s="260">
        <v>4173</v>
      </c>
      <c r="AQ129" s="260">
        <v>4204</v>
      </c>
      <c r="AR129" s="260">
        <v>4303</v>
      </c>
      <c r="AS129" s="260">
        <v>4346</v>
      </c>
      <c r="AT129" s="260">
        <v>4369</v>
      </c>
    </row>
    <row r="130" spans="2:46" x14ac:dyDescent="0.3">
      <c r="B130" s="250" t="s">
        <v>407</v>
      </c>
      <c r="C130" s="260">
        <v>147963</v>
      </c>
      <c r="D130" s="260">
        <v>149853</v>
      </c>
      <c r="E130" s="260">
        <v>151435</v>
      </c>
      <c r="F130" s="260">
        <v>153328</v>
      </c>
      <c r="G130" s="260">
        <v>154966</v>
      </c>
      <c r="H130" s="260">
        <v>157585</v>
      </c>
      <c r="I130" s="260">
        <v>159280</v>
      </c>
      <c r="J130" s="260">
        <v>161044</v>
      </c>
      <c r="K130" s="260">
        <v>161795</v>
      </c>
      <c r="L130" s="260">
        <v>163502</v>
      </c>
      <c r="M130" s="260">
        <v>165916</v>
      </c>
      <c r="N130" s="260">
        <v>168116</v>
      </c>
      <c r="O130" s="260">
        <v>162289</v>
      </c>
      <c r="P130" s="260">
        <v>172961</v>
      </c>
      <c r="Q130" s="260">
        <v>175943</v>
      </c>
      <c r="R130" s="260">
        <v>176288</v>
      </c>
      <c r="S130" s="260">
        <v>177062</v>
      </c>
      <c r="T130" s="260">
        <v>178461</v>
      </c>
      <c r="U130" s="260">
        <v>180029</v>
      </c>
      <c r="V130" s="260">
        <v>180238</v>
      </c>
      <c r="W130" s="260">
        <v>180072</v>
      </c>
      <c r="X130" s="260">
        <v>177935</v>
      </c>
      <c r="Y130" s="260">
        <v>175850</v>
      </c>
      <c r="Z130" s="260">
        <v>175271</v>
      </c>
      <c r="AA130" s="260">
        <v>174540</v>
      </c>
      <c r="AB130" s="260">
        <v>173763</v>
      </c>
      <c r="AC130" s="260">
        <v>173146</v>
      </c>
      <c r="AD130" s="260">
        <v>173483</v>
      </c>
      <c r="AE130" s="260">
        <v>171315</v>
      </c>
      <c r="AF130" s="260">
        <v>169751</v>
      </c>
      <c r="AG130" s="260">
        <v>169216</v>
      </c>
      <c r="AH130" s="260">
        <v>166229</v>
      </c>
      <c r="AI130" s="260">
        <v>163845</v>
      </c>
      <c r="AJ130" s="260">
        <v>163090</v>
      </c>
      <c r="AK130" s="260">
        <v>163295</v>
      </c>
      <c r="AL130" s="260">
        <v>162826</v>
      </c>
      <c r="AM130" s="260">
        <v>163484</v>
      </c>
      <c r="AN130" s="260">
        <v>163069</v>
      </c>
      <c r="AO130" s="260">
        <v>162413</v>
      </c>
      <c r="AP130" s="260">
        <v>161291</v>
      </c>
      <c r="AQ130" s="260">
        <v>160067</v>
      </c>
      <c r="AR130" s="260">
        <v>158921</v>
      </c>
      <c r="AS130" s="260">
        <v>157366</v>
      </c>
      <c r="AT130" s="260">
        <v>155941</v>
      </c>
    </row>
    <row r="131" spans="2:46" ht="13.5" thickBot="1" x14ac:dyDescent="0.35">
      <c r="B131" s="250" t="s">
        <v>270</v>
      </c>
      <c r="C131" s="260">
        <v>140285</v>
      </c>
      <c r="D131" s="260">
        <v>139959</v>
      </c>
      <c r="E131" s="260">
        <v>139656</v>
      </c>
      <c r="F131" s="260">
        <v>139180</v>
      </c>
      <c r="G131" s="260">
        <v>138974</v>
      </c>
      <c r="H131" s="260">
        <v>138628</v>
      </c>
      <c r="I131" s="260">
        <v>138471</v>
      </c>
      <c r="J131" s="260">
        <v>138072</v>
      </c>
      <c r="K131" s="260">
        <v>139448</v>
      </c>
      <c r="L131" s="260">
        <v>141669</v>
      </c>
      <c r="M131" s="260">
        <v>146317</v>
      </c>
      <c r="N131" s="260">
        <v>151207</v>
      </c>
      <c r="O131" s="260">
        <v>153801</v>
      </c>
      <c r="P131" s="260">
        <v>158228</v>
      </c>
      <c r="Q131" s="260">
        <v>162244</v>
      </c>
      <c r="R131" s="260">
        <v>166748</v>
      </c>
      <c r="S131" s="260">
        <v>173003</v>
      </c>
      <c r="T131" s="260">
        <v>176647</v>
      </c>
      <c r="U131" s="260">
        <v>181499</v>
      </c>
      <c r="V131" s="260">
        <v>185068</v>
      </c>
      <c r="W131" s="260">
        <v>187715</v>
      </c>
      <c r="X131" s="260">
        <v>189320</v>
      </c>
      <c r="Y131" s="260">
        <v>191762</v>
      </c>
      <c r="Z131" s="260">
        <v>192711</v>
      </c>
      <c r="AA131" s="260">
        <v>195858</v>
      </c>
      <c r="AB131" s="260">
        <v>196247</v>
      </c>
      <c r="AC131" s="260">
        <v>202025</v>
      </c>
      <c r="AD131" s="260">
        <v>209494</v>
      </c>
      <c r="AE131" s="260">
        <v>215207</v>
      </c>
      <c r="AF131" s="260">
        <v>195356</v>
      </c>
      <c r="AG131" s="260">
        <v>217663</v>
      </c>
      <c r="AH131" s="260">
        <v>201974</v>
      </c>
      <c r="AI131" s="260">
        <v>207101</v>
      </c>
      <c r="AJ131" s="260">
        <v>214625</v>
      </c>
      <c r="AK131" s="260">
        <v>210791</v>
      </c>
      <c r="AL131" s="260">
        <v>212091</v>
      </c>
      <c r="AM131" s="260">
        <v>215812</v>
      </c>
      <c r="AN131" s="260">
        <v>206854</v>
      </c>
      <c r="AO131" s="260">
        <v>210153</v>
      </c>
      <c r="AP131" s="260">
        <v>204394</v>
      </c>
      <c r="AQ131" s="260">
        <v>208585</v>
      </c>
      <c r="AR131" s="260">
        <v>211921</v>
      </c>
      <c r="AS131" s="260">
        <v>210857</v>
      </c>
      <c r="AT131" s="260">
        <v>215407</v>
      </c>
    </row>
    <row r="132" spans="2:46" ht="13.5" thickBot="1" x14ac:dyDescent="0.35">
      <c r="B132" s="252" t="s">
        <v>425</v>
      </c>
      <c r="C132" s="267">
        <f>SUM(C127:C131)</f>
        <v>1952039</v>
      </c>
      <c r="D132" s="267">
        <f t="shared" ref="D132:AT132" si="47">SUM(D127:D131)</f>
        <v>1965496</v>
      </c>
      <c r="E132" s="267">
        <f t="shared" si="47"/>
        <v>1989265</v>
      </c>
      <c r="F132" s="267">
        <f t="shared" si="47"/>
        <v>2030533</v>
      </c>
      <c r="G132" s="267">
        <f t="shared" si="47"/>
        <v>2074251</v>
      </c>
      <c r="H132" s="267">
        <f t="shared" si="47"/>
        <v>2106018</v>
      </c>
      <c r="I132" s="267">
        <f t="shared" si="47"/>
        <v>2143737</v>
      </c>
      <c r="J132" s="267">
        <f t="shared" si="47"/>
        <v>2183305</v>
      </c>
      <c r="K132" s="267">
        <f t="shared" si="47"/>
        <v>2213503</v>
      </c>
      <c r="L132" s="267">
        <f t="shared" si="47"/>
        <v>2241054</v>
      </c>
      <c r="M132" s="267">
        <f t="shared" si="47"/>
        <v>2275160</v>
      </c>
      <c r="N132" s="267">
        <f t="shared" si="47"/>
        <v>2311003</v>
      </c>
      <c r="O132" s="267">
        <f t="shared" si="47"/>
        <v>2263513</v>
      </c>
      <c r="P132" s="267">
        <f t="shared" si="47"/>
        <v>2369129</v>
      </c>
      <c r="Q132" s="267">
        <f t="shared" si="47"/>
        <v>2404677</v>
      </c>
      <c r="R132" s="267">
        <f t="shared" si="47"/>
        <v>2443344</v>
      </c>
      <c r="S132" s="267">
        <f t="shared" si="47"/>
        <v>2474569</v>
      </c>
      <c r="T132" s="267">
        <f t="shared" si="47"/>
        <v>2506383</v>
      </c>
      <c r="U132" s="267">
        <f t="shared" si="47"/>
        <v>2558046</v>
      </c>
      <c r="V132" s="267">
        <f t="shared" si="47"/>
        <v>2595986</v>
      </c>
      <c r="W132" s="267">
        <f t="shared" si="47"/>
        <v>2608586</v>
      </c>
      <c r="X132" s="267">
        <f t="shared" si="47"/>
        <v>2618958</v>
      </c>
      <c r="Y132" s="267">
        <f t="shared" si="47"/>
        <v>2626245</v>
      </c>
      <c r="Z132" s="267">
        <f t="shared" si="47"/>
        <v>2643783</v>
      </c>
      <c r="AA132" s="267">
        <f t="shared" si="47"/>
        <v>2653893</v>
      </c>
      <c r="AB132" s="267">
        <f t="shared" si="47"/>
        <v>2678446</v>
      </c>
      <c r="AC132" s="267">
        <f t="shared" si="47"/>
        <v>2690390</v>
      </c>
      <c r="AD132" s="267">
        <f t="shared" si="47"/>
        <v>2710590</v>
      </c>
      <c r="AE132" s="267">
        <f t="shared" si="47"/>
        <v>2716503</v>
      </c>
      <c r="AF132" s="267">
        <f t="shared" si="47"/>
        <v>2717092</v>
      </c>
      <c r="AG132" s="267">
        <f t="shared" si="47"/>
        <v>2740253</v>
      </c>
      <c r="AH132" s="267">
        <f t="shared" si="47"/>
        <v>2733134</v>
      </c>
      <c r="AI132" s="267">
        <f t="shared" si="47"/>
        <v>2744136</v>
      </c>
      <c r="AJ132" s="267">
        <f t="shared" si="47"/>
        <v>2770523</v>
      </c>
      <c r="AK132" s="267">
        <f t="shared" si="47"/>
        <v>2794172</v>
      </c>
      <c r="AL132" s="267">
        <f t="shared" si="47"/>
        <v>2811481</v>
      </c>
      <c r="AM132" s="267">
        <f t="shared" si="47"/>
        <v>2847618</v>
      </c>
      <c r="AN132" s="267">
        <f t="shared" si="47"/>
        <v>2886112</v>
      </c>
      <c r="AO132" s="267">
        <f t="shared" si="47"/>
        <v>2914573</v>
      </c>
      <c r="AP132" s="267">
        <f t="shared" si="47"/>
        <v>2913209</v>
      </c>
      <c r="AQ132" s="267">
        <f t="shared" si="47"/>
        <v>2942610</v>
      </c>
      <c r="AR132" s="267">
        <f t="shared" si="47"/>
        <v>2961981</v>
      </c>
      <c r="AS132" s="267">
        <f t="shared" si="47"/>
        <v>2973393</v>
      </c>
      <c r="AT132" s="267">
        <f t="shared" si="47"/>
        <v>2989823</v>
      </c>
    </row>
    <row r="133" spans="2:46" x14ac:dyDescent="0.3">
      <c r="B133" s="269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270"/>
      <c r="AS133" s="270"/>
      <c r="AT133" s="270"/>
    </row>
    <row r="134" spans="2:46" x14ac:dyDescent="0.3">
      <c r="B134" s="248" t="s">
        <v>3</v>
      </c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  <c r="AJ134" s="249"/>
      <c r="AK134" s="249"/>
      <c r="AL134" s="249"/>
      <c r="AM134" s="249"/>
      <c r="AN134" s="249"/>
      <c r="AO134" s="249"/>
      <c r="AP134" s="249"/>
      <c r="AQ134" s="249"/>
      <c r="AR134" s="249"/>
      <c r="AS134" s="249"/>
      <c r="AT134" s="249"/>
    </row>
    <row r="135" spans="2:46" x14ac:dyDescent="0.3">
      <c r="B135" s="250" t="s">
        <v>422</v>
      </c>
      <c r="C135" s="260">
        <v>568786</v>
      </c>
      <c r="D135" s="260">
        <v>577772</v>
      </c>
      <c r="E135" s="260">
        <v>584087</v>
      </c>
      <c r="F135" s="260">
        <v>590123</v>
      </c>
      <c r="G135" s="260">
        <v>599827</v>
      </c>
      <c r="H135" s="260">
        <v>605664</v>
      </c>
      <c r="I135" s="260">
        <v>614721</v>
      </c>
      <c r="J135" s="260">
        <v>625649</v>
      </c>
      <c r="K135" s="260">
        <v>663200</v>
      </c>
      <c r="L135" s="260">
        <v>701629</v>
      </c>
      <c r="M135" s="260">
        <v>716678</v>
      </c>
      <c r="N135" s="260">
        <v>740741</v>
      </c>
      <c r="O135" s="260">
        <v>743457</v>
      </c>
      <c r="P135" s="260">
        <v>731739</v>
      </c>
      <c r="Q135" s="260">
        <v>736817</v>
      </c>
      <c r="R135" s="260">
        <v>746206</v>
      </c>
      <c r="S135" s="260">
        <v>754151</v>
      </c>
      <c r="T135" s="260">
        <v>736098</v>
      </c>
      <c r="U135" s="260">
        <v>773412</v>
      </c>
      <c r="V135" s="260">
        <v>809672</v>
      </c>
      <c r="W135" s="260">
        <v>831621</v>
      </c>
      <c r="X135" s="260">
        <v>798761</v>
      </c>
      <c r="Y135" s="260">
        <v>801452</v>
      </c>
      <c r="Z135" s="260">
        <v>781980</v>
      </c>
      <c r="AA135" s="260">
        <v>775420</v>
      </c>
      <c r="AB135" s="260">
        <v>841137</v>
      </c>
      <c r="AC135" s="260">
        <v>822147</v>
      </c>
      <c r="AD135" s="260">
        <v>731423</v>
      </c>
      <c r="AE135" s="260">
        <v>723938</v>
      </c>
      <c r="AF135" s="260">
        <v>690483</v>
      </c>
      <c r="AG135" s="260">
        <v>652011</v>
      </c>
      <c r="AH135" s="260">
        <v>643207</v>
      </c>
      <c r="AI135" s="260">
        <v>651465</v>
      </c>
      <c r="AJ135" s="260">
        <v>642254</v>
      </c>
      <c r="AK135" s="260">
        <v>645227</v>
      </c>
      <c r="AL135" s="260">
        <v>650006</v>
      </c>
      <c r="AM135" s="260">
        <v>636589</v>
      </c>
      <c r="AN135" s="260">
        <v>657311</v>
      </c>
      <c r="AO135" s="260">
        <v>650174</v>
      </c>
      <c r="AP135" s="260">
        <v>666208</v>
      </c>
      <c r="AQ135" s="260">
        <v>554682</v>
      </c>
      <c r="AR135" s="260">
        <v>708651</v>
      </c>
      <c r="AS135" s="260">
        <v>722136</v>
      </c>
      <c r="AT135" s="260">
        <v>735155</v>
      </c>
    </row>
    <row r="136" spans="2:46" x14ac:dyDescent="0.3">
      <c r="B136" s="250" t="s">
        <v>423</v>
      </c>
      <c r="C136" s="260">
        <v>371083</v>
      </c>
      <c r="D136" s="260">
        <v>373223</v>
      </c>
      <c r="E136" s="260">
        <v>375825</v>
      </c>
      <c r="F136" s="260">
        <v>377348</v>
      </c>
      <c r="G136" s="260">
        <v>378098</v>
      </c>
      <c r="H136" s="260">
        <v>378910</v>
      </c>
      <c r="I136" s="260">
        <v>380682</v>
      </c>
      <c r="J136" s="260">
        <v>380631</v>
      </c>
      <c r="K136" s="260">
        <v>351965</v>
      </c>
      <c r="L136" s="260">
        <v>315228</v>
      </c>
      <c r="M136" s="260">
        <v>308546</v>
      </c>
      <c r="N136" s="260">
        <v>290971</v>
      </c>
      <c r="O136" s="260">
        <v>295925</v>
      </c>
      <c r="P136" s="260">
        <v>316830</v>
      </c>
      <c r="Q136" s="260">
        <v>334244</v>
      </c>
      <c r="R136" s="260">
        <v>332828</v>
      </c>
      <c r="S136" s="260">
        <v>335596</v>
      </c>
      <c r="T136" s="260">
        <v>361026</v>
      </c>
      <c r="U136" s="260">
        <v>334784</v>
      </c>
      <c r="V136" s="260">
        <v>304404</v>
      </c>
      <c r="W136" s="260">
        <v>288824</v>
      </c>
      <c r="X136" s="260">
        <v>327612</v>
      </c>
      <c r="Y136" s="260">
        <v>321421</v>
      </c>
      <c r="Z136" s="260">
        <v>313807</v>
      </c>
      <c r="AA136" s="260">
        <v>349175</v>
      </c>
      <c r="AB136" s="260">
        <v>293985</v>
      </c>
      <c r="AC136" s="260">
        <v>316330</v>
      </c>
      <c r="AD136" s="260">
        <v>383107</v>
      </c>
      <c r="AE136" s="260">
        <v>386840</v>
      </c>
      <c r="AF136" s="260">
        <v>418493</v>
      </c>
      <c r="AG136" s="260">
        <v>440276</v>
      </c>
      <c r="AH136" s="260">
        <v>456653</v>
      </c>
      <c r="AI136" s="260">
        <v>462406</v>
      </c>
      <c r="AJ136" s="260">
        <v>465374</v>
      </c>
      <c r="AK136" s="260">
        <v>471667</v>
      </c>
      <c r="AL136" s="260">
        <v>482013</v>
      </c>
      <c r="AM136" s="260">
        <v>508233</v>
      </c>
      <c r="AN136" s="260">
        <v>498129</v>
      </c>
      <c r="AO136" s="260">
        <v>519859</v>
      </c>
      <c r="AP136" s="260">
        <v>527669</v>
      </c>
      <c r="AQ136" s="260">
        <v>664313</v>
      </c>
      <c r="AR136" s="260">
        <v>545931</v>
      </c>
      <c r="AS136" s="260">
        <v>540944</v>
      </c>
      <c r="AT136" s="260">
        <v>536559</v>
      </c>
    </row>
    <row r="137" spans="2:46" x14ac:dyDescent="0.3">
      <c r="B137" s="250" t="s">
        <v>406</v>
      </c>
      <c r="C137" s="260">
        <v>3662</v>
      </c>
      <c r="D137" s="260">
        <v>3628</v>
      </c>
      <c r="E137" s="260">
        <v>3602</v>
      </c>
      <c r="F137" s="260">
        <v>3601</v>
      </c>
      <c r="G137" s="260">
        <v>3604</v>
      </c>
      <c r="H137" s="260">
        <v>3571</v>
      </c>
      <c r="I137" s="260">
        <v>3592</v>
      </c>
      <c r="J137" s="260">
        <v>3526</v>
      </c>
      <c r="K137" s="260">
        <v>3522</v>
      </c>
      <c r="L137" s="260">
        <v>3508</v>
      </c>
      <c r="M137" s="260">
        <v>3363</v>
      </c>
      <c r="N137" s="260">
        <v>3355</v>
      </c>
      <c r="O137" s="260">
        <v>3348</v>
      </c>
      <c r="P137" s="260">
        <v>3325</v>
      </c>
      <c r="Q137" s="260">
        <v>3430</v>
      </c>
      <c r="R137" s="260">
        <v>3415</v>
      </c>
      <c r="S137" s="260">
        <v>3366</v>
      </c>
      <c r="T137" s="260">
        <v>3315</v>
      </c>
      <c r="U137" s="260">
        <v>3291</v>
      </c>
      <c r="V137" s="260">
        <v>3131</v>
      </c>
      <c r="W137" s="260">
        <v>3168</v>
      </c>
      <c r="X137" s="260">
        <v>3149</v>
      </c>
      <c r="Y137" s="260">
        <v>3084</v>
      </c>
      <c r="Z137" s="260">
        <v>2890</v>
      </c>
      <c r="AA137" s="260">
        <v>2999</v>
      </c>
      <c r="AB137" s="260">
        <v>2960</v>
      </c>
      <c r="AC137" s="260">
        <v>2938</v>
      </c>
      <c r="AD137" s="260">
        <v>2882</v>
      </c>
      <c r="AE137" s="260">
        <v>2774</v>
      </c>
      <c r="AF137" s="260">
        <v>2653</v>
      </c>
      <c r="AG137" s="260">
        <v>2540</v>
      </c>
      <c r="AH137" s="260">
        <v>2455</v>
      </c>
      <c r="AI137" s="260">
        <v>2451</v>
      </c>
      <c r="AJ137" s="260">
        <v>2420</v>
      </c>
      <c r="AK137" s="260">
        <v>2394</v>
      </c>
      <c r="AL137" s="260">
        <v>2415</v>
      </c>
      <c r="AM137" s="260">
        <v>2346</v>
      </c>
      <c r="AN137" s="260">
        <v>2311</v>
      </c>
      <c r="AO137" s="260">
        <v>2310</v>
      </c>
      <c r="AP137" s="260">
        <v>2377</v>
      </c>
      <c r="AQ137" s="260">
        <v>2471</v>
      </c>
      <c r="AR137" s="260">
        <v>2508</v>
      </c>
      <c r="AS137" s="260">
        <v>2498</v>
      </c>
      <c r="AT137" s="260">
        <v>2477</v>
      </c>
    </row>
    <row r="138" spans="2:46" x14ac:dyDescent="0.3">
      <c r="B138" s="250" t="s">
        <v>407</v>
      </c>
      <c r="C138" s="260">
        <v>77222</v>
      </c>
      <c r="D138" s="260">
        <v>79522</v>
      </c>
      <c r="E138" s="260">
        <v>80397</v>
      </c>
      <c r="F138" s="260">
        <v>80133</v>
      </c>
      <c r="G138" s="260">
        <v>80541</v>
      </c>
      <c r="H138" s="260">
        <v>82267</v>
      </c>
      <c r="I138" s="260">
        <v>83790</v>
      </c>
      <c r="J138" s="260">
        <v>83476</v>
      </c>
      <c r="K138" s="260">
        <v>84403</v>
      </c>
      <c r="L138" s="260">
        <v>84773</v>
      </c>
      <c r="M138" s="260">
        <v>86018</v>
      </c>
      <c r="N138" s="260">
        <v>86153</v>
      </c>
      <c r="O138" s="260">
        <v>86163</v>
      </c>
      <c r="P138" s="260">
        <v>87769</v>
      </c>
      <c r="Q138" s="260">
        <v>90936</v>
      </c>
      <c r="R138" s="260">
        <v>90984</v>
      </c>
      <c r="S138" s="260">
        <v>91276</v>
      </c>
      <c r="T138" s="260">
        <v>92069</v>
      </c>
      <c r="U138" s="260">
        <v>93323</v>
      </c>
      <c r="V138" s="260">
        <v>93127</v>
      </c>
      <c r="W138" s="260">
        <v>93230</v>
      </c>
      <c r="X138" s="260">
        <v>94280</v>
      </c>
      <c r="Y138" s="260">
        <v>93603</v>
      </c>
      <c r="Z138" s="260">
        <v>89988</v>
      </c>
      <c r="AA138" s="260">
        <v>92521</v>
      </c>
      <c r="AB138" s="260">
        <v>94208</v>
      </c>
      <c r="AC138" s="260">
        <v>95013</v>
      </c>
      <c r="AD138" s="260">
        <v>94850</v>
      </c>
      <c r="AE138" s="260">
        <v>92977</v>
      </c>
      <c r="AF138" s="260">
        <v>89471</v>
      </c>
      <c r="AG138" s="260">
        <v>87902</v>
      </c>
      <c r="AH138" s="260">
        <v>86760</v>
      </c>
      <c r="AI138" s="260">
        <v>87157</v>
      </c>
      <c r="AJ138" s="260">
        <v>85255</v>
      </c>
      <c r="AK138" s="260">
        <v>87050</v>
      </c>
      <c r="AL138" s="260">
        <v>86979</v>
      </c>
      <c r="AM138" s="260">
        <v>86274</v>
      </c>
      <c r="AN138" s="260">
        <v>87130</v>
      </c>
      <c r="AO138" s="260">
        <v>87726</v>
      </c>
      <c r="AP138" s="260">
        <v>88216</v>
      </c>
      <c r="AQ138" s="260">
        <v>88956</v>
      </c>
      <c r="AR138" s="260">
        <v>91944</v>
      </c>
      <c r="AS138" s="260">
        <v>91031</v>
      </c>
      <c r="AT138" s="260">
        <v>90149</v>
      </c>
    </row>
    <row r="139" spans="2:46" ht="13.5" thickBot="1" x14ac:dyDescent="0.35">
      <c r="B139" s="250" t="s">
        <v>270</v>
      </c>
      <c r="C139" s="260">
        <v>50215</v>
      </c>
      <c r="D139" s="260">
        <v>50151</v>
      </c>
      <c r="E139" s="260">
        <v>51028</v>
      </c>
      <c r="F139" s="260">
        <v>50858</v>
      </c>
      <c r="G139" s="260">
        <v>51005</v>
      </c>
      <c r="H139" s="260">
        <v>50924</v>
      </c>
      <c r="I139" s="260">
        <v>50950</v>
      </c>
      <c r="J139" s="260">
        <v>51076</v>
      </c>
      <c r="K139" s="260">
        <v>50896</v>
      </c>
      <c r="L139" s="260">
        <v>51420</v>
      </c>
      <c r="M139" s="260">
        <v>51429</v>
      </c>
      <c r="N139" s="260">
        <v>51805</v>
      </c>
      <c r="O139" s="260">
        <v>52055</v>
      </c>
      <c r="P139" s="260">
        <v>52483</v>
      </c>
      <c r="Q139" s="260">
        <v>53314</v>
      </c>
      <c r="R139" s="260">
        <v>53934</v>
      </c>
      <c r="S139" s="260">
        <v>54496</v>
      </c>
      <c r="T139" s="260">
        <v>54572</v>
      </c>
      <c r="U139" s="260">
        <v>55361</v>
      </c>
      <c r="V139" s="260">
        <v>56175</v>
      </c>
      <c r="W139" s="260">
        <v>57156</v>
      </c>
      <c r="X139" s="260">
        <v>57436</v>
      </c>
      <c r="Y139" s="260">
        <v>57860</v>
      </c>
      <c r="Z139" s="260">
        <v>57533</v>
      </c>
      <c r="AA139" s="260">
        <v>58438</v>
      </c>
      <c r="AB139" s="260">
        <v>58449</v>
      </c>
      <c r="AC139" s="260">
        <v>58802</v>
      </c>
      <c r="AD139" s="260">
        <v>88602</v>
      </c>
      <c r="AE139" s="260">
        <v>86598</v>
      </c>
      <c r="AF139" s="260">
        <v>96318</v>
      </c>
      <c r="AG139" s="260">
        <v>129842</v>
      </c>
      <c r="AH139" s="260">
        <v>139405</v>
      </c>
      <c r="AI139" s="260">
        <v>141625</v>
      </c>
      <c r="AJ139" s="260">
        <v>144838</v>
      </c>
      <c r="AK139" s="260">
        <v>147469</v>
      </c>
      <c r="AL139" s="260">
        <v>143828</v>
      </c>
      <c r="AM139" s="260">
        <v>138034</v>
      </c>
      <c r="AN139" s="260">
        <v>136642</v>
      </c>
      <c r="AO139" s="260">
        <v>137350</v>
      </c>
      <c r="AP139" s="260">
        <v>137603</v>
      </c>
      <c r="AQ139" s="260">
        <v>139021</v>
      </c>
      <c r="AR139" s="260">
        <v>140837</v>
      </c>
      <c r="AS139" s="260">
        <v>140771</v>
      </c>
      <c r="AT139" s="260">
        <v>138131</v>
      </c>
    </row>
    <row r="140" spans="2:46" ht="13.5" thickBot="1" x14ac:dyDescent="0.35">
      <c r="B140" s="252" t="s">
        <v>426</v>
      </c>
      <c r="C140" s="267">
        <f>SUM(C135:C139)</f>
        <v>1070968</v>
      </c>
      <c r="D140" s="267">
        <f t="shared" ref="D140:AT140" si="48">SUM(D135:D139)</f>
        <v>1084296</v>
      </c>
      <c r="E140" s="267">
        <f t="shared" si="48"/>
        <v>1094939</v>
      </c>
      <c r="F140" s="267">
        <f t="shared" si="48"/>
        <v>1102063</v>
      </c>
      <c r="G140" s="267">
        <f t="shared" si="48"/>
        <v>1113075</v>
      </c>
      <c r="H140" s="267">
        <f t="shared" si="48"/>
        <v>1121336</v>
      </c>
      <c r="I140" s="267">
        <f t="shared" si="48"/>
        <v>1133735</v>
      </c>
      <c r="J140" s="267">
        <f t="shared" si="48"/>
        <v>1144358</v>
      </c>
      <c r="K140" s="267">
        <f t="shared" si="48"/>
        <v>1153986</v>
      </c>
      <c r="L140" s="267">
        <f t="shared" si="48"/>
        <v>1156558</v>
      </c>
      <c r="M140" s="267">
        <f t="shared" si="48"/>
        <v>1166034</v>
      </c>
      <c r="N140" s="267">
        <f t="shared" si="48"/>
        <v>1173025</v>
      </c>
      <c r="O140" s="267">
        <f t="shared" si="48"/>
        <v>1180948</v>
      </c>
      <c r="P140" s="267">
        <f t="shared" si="48"/>
        <v>1192146</v>
      </c>
      <c r="Q140" s="267">
        <f t="shared" si="48"/>
        <v>1218741</v>
      </c>
      <c r="R140" s="267">
        <f t="shared" si="48"/>
        <v>1227367</v>
      </c>
      <c r="S140" s="267">
        <f t="shared" si="48"/>
        <v>1238885</v>
      </c>
      <c r="T140" s="267">
        <f t="shared" si="48"/>
        <v>1247080</v>
      </c>
      <c r="U140" s="267">
        <f t="shared" si="48"/>
        <v>1260171</v>
      </c>
      <c r="V140" s="267">
        <f t="shared" si="48"/>
        <v>1266509</v>
      </c>
      <c r="W140" s="267">
        <f t="shared" si="48"/>
        <v>1273999</v>
      </c>
      <c r="X140" s="267">
        <f t="shared" si="48"/>
        <v>1281238</v>
      </c>
      <c r="Y140" s="267">
        <f t="shared" si="48"/>
        <v>1277420</v>
      </c>
      <c r="Z140" s="267">
        <f t="shared" si="48"/>
        <v>1246198</v>
      </c>
      <c r="AA140" s="267">
        <f t="shared" si="48"/>
        <v>1278553</v>
      </c>
      <c r="AB140" s="267">
        <f t="shared" si="48"/>
        <v>1290739</v>
      </c>
      <c r="AC140" s="267">
        <f t="shared" si="48"/>
        <v>1295230</v>
      </c>
      <c r="AD140" s="267">
        <f t="shared" si="48"/>
        <v>1300864</v>
      </c>
      <c r="AE140" s="267">
        <f t="shared" si="48"/>
        <v>1293127</v>
      </c>
      <c r="AF140" s="267">
        <f t="shared" si="48"/>
        <v>1297418</v>
      </c>
      <c r="AG140" s="267">
        <f t="shared" si="48"/>
        <v>1312571</v>
      </c>
      <c r="AH140" s="267">
        <f t="shared" si="48"/>
        <v>1328480</v>
      </c>
      <c r="AI140" s="267">
        <f t="shared" si="48"/>
        <v>1345104</v>
      </c>
      <c r="AJ140" s="267">
        <f t="shared" si="48"/>
        <v>1340141</v>
      </c>
      <c r="AK140" s="267">
        <f t="shared" si="48"/>
        <v>1353807</v>
      </c>
      <c r="AL140" s="267">
        <f t="shared" si="48"/>
        <v>1365241</v>
      </c>
      <c r="AM140" s="267">
        <f t="shared" si="48"/>
        <v>1371476</v>
      </c>
      <c r="AN140" s="267">
        <f t="shared" si="48"/>
        <v>1381523</v>
      </c>
      <c r="AO140" s="267">
        <f t="shared" si="48"/>
        <v>1397419</v>
      </c>
      <c r="AP140" s="267">
        <f t="shared" si="48"/>
        <v>1422073</v>
      </c>
      <c r="AQ140" s="267">
        <f t="shared" si="48"/>
        <v>1449443</v>
      </c>
      <c r="AR140" s="267">
        <f t="shared" si="48"/>
        <v>1489871</v>
      </c>
      <c r="AS140" s="267">
        <f t="shared" si="48"/>
        <v>1497380</v>
      </c>
      <c r="AT140" s="267">
        <f t="shared" si="48"/>
        <v>1502471</v>
      </c>
    </row>
    <row r="141" spans="2:46" x14ac:dyDescent="0.3">
      <c r="B141" s="269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</row>
    <row r="142" spans="2:46" x14ac:dyDescent="0.3">
      <c r="B142" s="248" t="s">
        <v>4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/>
      <c r="AS142" s="249"/>
      <c r="AT142" s="249"/>
    </row>
    <row r="143" spans="2:46" x14ac:dyDescent="0.3">
      <c r="B143" s="250" t="s">
        <v>422</v>
      </c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>
        <v>803478</v>
      </c>
      <c r="T143" s="260">
        <v>810157</v>
      </c>
      <c r="U143" s="260">
        <v>827656</v>
      </c>
      <c r="V143" s="260">
        <v>847632</v>
      </c>
      <c r="W143" s="260">
        <v>876483</v>
      </c>
      <c r="X143" s="260">
        <v>884092</v>
      </c>
      <c r="Y143" s="260">
        <v>904604</v>
      </c>
      <c r="Z143" s="260">
        <v>891025</v>
      </c>
      <c r="AA143" s="260">
        <v>897559</v>
      </c>
      <c r="AB143" s="260">
        <v>813351</v>
      </c>
      <c r="AC143" s="260">
        <v>800030</v>
      </c>
      <c r="AD143" s="260">
        <v>757560</v>
      </c>
      <c r="AE143" s="260">
        <v>727550</v>
      </c>
      <c r="AF143" s="260">
        <v>723971</v>
      </c>
      <c r="AG143" s="260">
        <v>733162</v>
      </c>
      <c r="AH143" s="260">
        <v>702329</v>
      </c>
      <c r="AI143" s="260">
        <v>702419</v>
      </c>
      <c r="AJ143" s="260">
        <v>705648</v>
      </c>
      <c r="AK143" s="260">
        <v>709003</v>
      </c>
      <c r="AL143" s="260">
        <v>703674</v>
      </c>
      <c r="AM143" s="260">
        <v>683941</v>
      </c>
      <c r="AN143" s="260">
        <v>697541</v>
      </c>
      <c r="AO143" s="260">
        <v>722688</v>
      </c>
      <c r="AP143" s="260">
        <v>767112</v>
      </c>
      <c r="AQ143" s="260">
        <v>749544</v>
      </c>
      <c r="AR143" s="260">
        <v>768496</v>
      </c>
      <c r="AS143" s="260">
        <v>764741</v>
      </c>
      <c r="AT143" s="260">
        <v>756795</v>
      </c>
    </row>
    <row r="144" spans="2:46" x14ac:dyDescent="0.3">
      <c r="B144" s="250" t="s">
        <v>423</v>
      </c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>
        <v>233266</v>
      </c>
      <c r="T144" s="260">
        <v>240577</v>
      </c>
      <c r="U144" s="260">
        <v>229166</v>
      </c>
      <c r="V144" s="260">
        <v>216964</v>
      </c>
      <c r="W144" s="260">
        <v>200515</v>
      </c>
      <c r="X144" s="260">
        <v>198532</v>
      </c>
      <c r="Y144" s="260">
        <v>186475</v>
      </c>
      <c r="Z144" s="260">
        <v>173777</v>
      </c>
      <c r="AA144" s="260">
        <v>158769</v>
      </c>
      <c r="AB144" s="260">
        <v>156062</v>
      </c>
      <c r="AC144" s="260">
        <v>241732</v>
      </c>
      <c r="AD144" s="260">
        <v>246094</v>
      </c>
      <c r="AE144" s="260">
        <v>244807</v>
      </c>
      <c r="AF144" s="260">
        <v>305002</v>
      </c>
      <c r="AG144" s="260">
        <v>317514</v>
      </c>
      <c r="AH144" s="260">
        <v>346250</v>
      </c>
      <c r="AI144" s="260">
        <v>357908</v>
      </c>
      <c r="AJ144" s="260">
        <v>349015</v>
      </c>
      <c r="AK144" s="260">
        <v>361394</v>
      </c>
      <c r="AL144" s="260">
        <v>381713</v>
      </c>
      <c r="AM144" s="260">
        <v>412515</v>
      </c>
      <c r="AN144" s="260">
        <v>403803</v>
      </c>
      <c r="AO144" s="260">
        <v>429388</v>
      </c>
      <c r="AP144" s="260">
        <v>438999</v>
      </c>
      <c r="AQ144" s="260">
        <v>461880</v>
      </c>
      <c r="AR144" s="260">
        <v>449062</v>
      </c>
      <c r="AS144" s="260">
        <v>460833</v>
      </c>
      <c r="AT144" s="260">
        <v>475510</v>
      </c>
    </row>
    <row r="145" spans="2:46" x14ac:dyDescent="0.3">
      <c r="B145" s="250" t="s">
        <v>406</v>
      </c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>
        <v>2582</v>
      </c>
      <c r="T145" s="260">
        <v>2538</v>
      </c>
      <c r="U145" s="260">
        <v>2473</v>
      </c>
      <c r="V145" s="260">
        <v>2349</v>
      </c>
      <c r="W145" s="260">
        <v>2462</v>
      </c>
      <c r="X145" s="260">
        <v>2439</v>
      </c>
      <c r="Y145" s="260">
        <v>2425</v>
      </c>
      <c r="Z145" s="260">
        <v>2334</v>
      </c>
      <c r="AA145" s="260">
        <v>2256</v>
      </c>
      <c r="AB145" s="260">
        <v>1954</v>
      </c>
      <c r="AC145" s="260">
        <v>2146</v>
      </c>
      <c r="AD145" s="260">
        <v>2000</v>
      </c>
      <c r="AE145" s="260">
        <v>1804</v>
      </c>
      <c r="AF145" s="260">
        <v>1870</v>
      </c>
      <c r="AG145" s="260">
        <v>2081</v>
      </c>
      <c r="AH145" s="260">
        <v>2070</v>
      </c>
      <c r="AI145" s="260">
        <v>1993</v>
      </c>
      <c r="AJ145" s="260">
        <v>1985</v>
      </c>
      <c r="AK145" s="260">
        <v>1905</v>
      </c>
      <c r="AL145" s="260">
        <v>1886</v>
      </c>
      <c r="AM145" s="260">
        <v>1889</v>
      </c>
      <c r="AN145" s="260">
        <v>1777</v>
      </c>
      <c r="AO145" s="260">
        <v>1972</v>
      </c>
      <c r="AP145" s="260">
        <v>2120</v>
      </c>
      <c r="AQ145" s="260">
        <v>2172</v>
      </c>
      <c r="AR145" s="260">
        <v>2224</v>
      </c>
      <c r="AS145" s="260">
        <v>2227</v>
      </c>
      <c r="AT145" s="260">
        <v>2288</v>
      </c>
    </row>
    <row r="146" spans="2:46" x14ac:dyDescent="0.3">
      <c r="B146" s="250" t="s">
        <v>407</v>
      </c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>
        <v>65346</v>
      </c>
      <c r="T146" s="260">
        <v>66376</v>
      </c>
      <c r="U146" s="260">
        <v>66480</v>
      </c>
      <c r="V146" s="260">
        <v>67183</v>
      </c>
      <c r="W146" s="260">
        <v>67776</v>
      </c>
      <c r="X146" s="260">
        <v>67898</v>
      </c>
      <c r="Y146" s="260">
        <v>68628</v>
      </c>
      <c r="Z146" s="260">
        <v>67228</v>
      </c>
      <c r="AA146" s="260">
        <v>66419</v>
      </c>
      <c r="AB146" s="260">
        <v>63021</v>
      </c>
      <c r="AC146" s="260">
        <v>66022</v>
      </c>
      <c r="AD146" s="260">
        <v>63820</v>
      </c>
      <c r="AE146" s="260">
        <v>63774</v>
      </c>
      <c r="AF146" s="260">
        <v>65040</v>
      </c>
      <c r="AG146" s="260">
        <v>65858</v>
      </c>
      <c r="AH146" s="260">
        <v>65942</v>
      </c>
      <c r="AI146" s="260">
        <v>66003</v>
      </c>
      <c r="AJ146" s="260">
        <v>65325</v>
      </c>
      <c r="AK146" s="260">
        <v>65820</v>
      </c>
      <c r="AL146" s="260">
        <v>65630</v>
      </c>
      <c r="AM146" s="260">
        <v>65227</v>
      </c>
      <c r="AN146" s="260">
        <v>65329</v>
      </c>
      <c r="AO146" s="260">
        <v>68842</v>
      </c>
      <c r="AP146" s="260">
        <v>72722</v>
      </c>
      <c r="AQ146" s="260">
        <v>72026</v>
      </c>
      <c r="AR146" s="260">
        <v>71918</v>
      </c>
      <c r="AS146" s="260">
        <v>71777</v>
      </c>
      <c r="AT146" s="260">
        <v>71767</v>
      </c>
    </row>
    <row r="147" spans="2:46" ht="13.5" thickBot="1" x14ac:dyDescent="0.35">
      <c r="B147" s="250" t="s">
        <v>270</v>
      </c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>
        <v>23006</v>
      </c>
      <c r="T147" s="260">
        <v>22975</v>
      </c>
      <c r="U147" s="260">
        <v>23119</v>
      </c>
      <c r="V147" s="260">
        <v>23283</v>
      </c>
      <c r="W147" s="260">
        <v>23614</v>
      </c>
      <c r="X147" s="260">
        <v>23580</v>
      </c>
      <c r="Y147" s="260">
        <v>23620</v>
      </c>
      <c r="Z147" s="260">
        <v>23707</v>
      </c>
      <c r="AA147" s="260">
        <v>23496</v>
      </c>
      <c r="AB147" s="260">
        <v>21660</v>
      </c>
      <c r="AC147" s="260">
        <v>23140</v>
      </c>
      <c r="AD147" s="260">
        <v>35585</v>
      </c>
      <c r="AE147" s="260">
        <v>34552</v>
      </c>
      <c r="AF147" s="260">
        <v>34991</v>
      </c>
      <c r="AG147" s="260">
        <v>39310</v>
      </c>
      <c r="AH147" s="260">
        <v>44137</v>
      </c>
      <c r="AI147" s="260">
        <v>43844</v>
      </c>
      <c r="AJ147" s="260">
        <v>45810</v>
      </c>
      <c r="AK147" s="260">
        <v>46633</v>
      </c>
      <c r="AL147" s="260">
        <v>45113</v>
      </c>
      <c r="AM147" s="260">
        <v>42074</v>
      </c>
      <c r="AN147" s="260">
        <v>41518</v>
      </c>
      <c r="AO147" s="260">
        <v>42782</v>
      </c>
      <c r="AP147" s="260">
        <v>44237</v>
      </c>
      <c r="AQ147" s="260">
        <v>44077</v>
      </c>
      <c r="AR147" s="260">
        <v>44006</v>
      </c>
      <c r="AS147" s="260">
        <v>43833</v>
      </c>
      <c r="AT147" s="260">
        <v>43676</v>
      </c>
    </row>
    <row r="148" spans="2:46" ht="13.5" thickBot="1" x14ac:dyDescent="0.35">
      <c r="B148" s="252" t="s">
        <v>427</v>
      </c>
      <c r="C148" s="267">
        <f>SUM(C143:C147)</f>
        <v>0</v>
      </c>
      <c r="D148" s="267">
        <f t="shared" ref="D148:AT148" si="49">SUM(D143:D147)</f>
        <v>0</v>
      </c>
      <c r="E148" s="267">
        <f t="shared" si="49"/>
        <v>0</v>
      </c>
      <c r="F148" s="267">
        <f t="shared" si="49"/>
        <v>0</v>
      </c>
      <c r="G148" s="267">
        <f t="shared" si="49"/>
        <v>0</v>
      </c>
      <c r="H148" s="267">
        <f t="shared" si="49"/>
        <v>0</v>
      </c>
      <c r="I148" s="267">
        <f t="shared" si="49"/>
        <v>0</v>
      </c>
      <c r="J148" s="267">
        <f t="shared" si="49"/>
        <v>0</v>
      </c>
      <c r="K148" s="267">
        <f t="shared" si="49"/>
        <v>0</v>
      </c>
      <c r="L148" s="267">
        <f t="shared" si="49"/>
        <v>0</v>
      </c>
      <c r="M148" s="267">
        <f t="shared" si="49"/>
        <v>0</v>
      </c>
      <c r="N148" s="267">
        <f t="shared" si="49"/>
        <v>0</v>
      </c>
      <c r="O148" s="267">
        <f t="shared" si="49"/>
        <v>0</v>
      </c>
      <c r="P148" s="267">
        <f t="shared" si="49"/>
        <v>0</v>
      </c>
      <c r="Q148" s="267">
        <f t="shared" si="49"/>
        <v>0</v>
      </c>
      <c r="R148" s="267">
        <f t="shared" si="49"/>
        <v>0</v>
      </c>
      <c r="S148" s="267">
        <f t="shared" si="49"/>
        <v>1127678</v>
      </c>
      <c r="T148" s="267">
        <f t="shared" si="49"/>
        <v>1142623</v>
      </c>
      <c r="U148" s="267">
        <f t="shared" si="49"/>
        <v>1148894</v>
      </c>
      <c r="V148" s="267">
        <f t="shared" si="49"/>
        <v>1157411</v>
      </c>
      <c r="W148" s="267">
        <f t="shared" si="49"/>
        <v>1170850</v>
      </c>
      <c r="X148" s="267">
        <f t="shared" si="49"/>
        <v>1176541</v>
      </c>
      <c r="Y148" s="267">
        <f t="shared" si="49"/>
        <v>1185752</v>
      </c>
      <c r="Z148" s="267">
        <f t="shared" si="49"/>
        <v>1158071</v>
      </c>
      <c r="AA148" s="267">
        <f t="shared" si="49"/>
        <v>1148499</v>
      </c>
      <c r="AB148" s="267">
        <f t="shared" si="49"/>
        <v>1056048</v>
      </c>
      <c r="AC148" s="267">
        <f t="shared" si="49"/>
        <v>1133070</v>
      </c>
      <c r="AD148" s="267">
        <f t="shared" si="49"/>
        <v>1105059</v>
      </c>
      <c r="AE148" s="267">
        <f t="shared" si="49"/>
        <v>1072487</v>
      </c>
      <c r="AF148" s="267">
        <f t="shared" si="49"/>
        <v>1130874</v>
      </c>
      <c r="AG148" s="267">
        <f t="shared" si="49"/>
        <v>1157925</v>
      </c>
      <c r="AH148" s="267">
        <f t="shared" si="49"/>
        <v>1160728</v>
      </c>
      <c r="AI148" s="267">
        <f t="shared" si="49"/>
        <v>1172167</v>
      </c>
      <c r="AJ148" s="267">
        <f t="shared" si="49"/>
        <v>1167783</v>
      </c>
      <c r="AK148" s="267">
        <f t="shared" si="49"/>
        <v>1184755</v>
      </c>
      <c r="AL148" s="267">
        <f t="shared" si="49"/>
        <v>1198016</v>
      </c>
      <c r="AM148" s="267">
        <f t="shared" si="49"/>
        <v>1205646</v>
      </c>
      <c r="AN148" s="267">
        <f t="shared" si="49"/>
        <v>1209968</v>
      </c>
      <c r="AO148" s="267">
        <f t="shared" si="49"/>
        <v>1265672</v>
      </c>
      <c r="AP148" s="267">
        <f t="shared" si="49"/>
        <v>1325190</v>
      </c>
      <c r="AQ148" s="267">
        <f t="shared" si="49"/>
        <v>1329699</v>
      </c>
      <c r="AR148" s="267">
        <f t="shared" si="49"/>
        <v>1335706</v>
      </c>
      <c r="AS148" s="267">
        <f t="shared" si="49"/>
        <v>1343411</v>
      </c>
      <c r="AT148" s="267">
        <f t="shared" si="49"/>
        <v>1350036</v>
      </c>
    </row>
    <row r="149" spans="2:46" x14ac:dyDescent="0.3">
      <c r="B149" s="269"/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0"/>
      <c r="Z149" s="270"/>
      <c r="AA149" s="270"/>
      <c r="AB149" s="270"/>
      <c r="AC149" s="270"/>
      <c r="AD149" s="270"/>
      <c r="AE149" s="270"/>
      <c r="AF149" s="270"/>
      <c r="AG149" s="270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70"/>
      <c r="AT149" s="270"/>
    </row>
    <row r="150" spans="2:46" x14ac:dyDescent="0.3">
      <c r="B150" s="248" t="s">
        <v>5</v>
      </c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249"/>
      <c r="AI150" s="249"/>
      <c r="AJ150" s="249"/>
      <c r="AK150" s="249"/>
      <c r="AL150" s="249"/>
      <c r="AM150" s="249"/>
      <c r="AN150" s="249"/>
      <c r="AO150" s="249"/>
      <c r="AP150" s="249"/>
      <c r="AQ150" s="249"/>
      <c r="AR150" s="249"/>
      <c r="AS150" s="249"/>
      <c r="AT150" s="249"/>
    </row>
    <row r="151" spans="2:46" x14ac:dyDescent="0.3">
      <c r="B151" s="250" t="s">
        <v>422</v>
      </c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>
        <v>1381982</v>
      </c>
      <c r="AH151" s="260">
        <v>1383789</v>
      </c>
      <c r="AI151" s="260">
        <v>1390235</v>
      </c>
      <c r="AJ151" s="260">
        <v>1393858</v>
      </c>
      <c r="AK151" s="260">
        <v>1378964</v>
      </c>
      <c r="AL151" s="260">
        <v>1396571</v>
      </c>
      <c r="AM151" s="260">
        <v>1370893</v>
      </c>
      <c r="AN151" s="260">
        <v>1385932</v>
      </c>
      <c r="AO151" s="260">
        <v>1401963</v>
      </c>
      <c r="AP151" s="260">
        <v>1409427</v>
      </c>
      <c r="AQ151" s="260">
        <v>1405998</v>
      </c>
      <c r="AR151" s="260">
        <v>1415314</v>
      </c>
      <c r="AS151" s="260">
        <v>1433762</v>
      </c>
      <c r="AT151" s="260">
        <v>1436708</v>
      </c>
    </row>
    <row r="152" spans="2:46" x14ac:dyDescent="0.3">
      <c r="B152" s="250" t="s">
        <v>423</v>
      </c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>
        <v>111602</v>
      </c>
      <c r="AH152" s="260">
        <v>116275</v>
      </c>
      <c r="AI152" s="260">
        <v>115599</v>
      </c>
      <c r="AJ152" s="260">
        <v>113433</v>
      </c>
      <c r="AK152" s="260">
        <v>123882</v>
      </c>
      <c r="AL152" s="260">
        <v>123720</v>
      </c>
      <c r="AM152" s="260">
        <v>155987</v>
      </c>
      <c r="AN152" s="260">
        <v>152915</v>
      </c>
      <c r="AO152" s="260">
        <v>160463</v>
      </c>
      <c r="AP152" s="260">
        <v>180885</v>
      </c>
      <c r="AQ152" s="260">
        <v>201908</v>
      </c>
      <c r="AR152" s="260">
        <v>209058</v>
      </c>
      <c r="AS152" s="260">
        <v>200500</v>
      </c>
      <c r="AT152" s="260">
        <v>210553</v>
      </c>
    </row>
    <row r="153" spans="2:46" x14ac:dyDescent="0.3">
      <c r="B153" s="250" t="s">
        <v>406</v>
      </c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>
        <v>10522</v>
      </c>
      <c r="AH153" s="260">
        <v>9641</v>
      </c>
      <c r="AI153" s="260">
        <v>9453</v>
      </c>
      <c r="AJ153" s="260">
        <v>9398</v>
      </c>
      <c r="AK153" s="260">
        <v>9244</v>
      </c>
      <c r="AL153" s="260">
        <v>9268</v>
      </c>
      <c r="AM153" s="260">
        <v>9199</v>
      </c>
      <c r="AN153" s="260">
        <v>9138</v>
      </c>
      <c r="AO153" s="260">
        <v>3738</v>
      </c>
      <c r="AP153" s="260">
        <v>3772</v>
      </c>
      <c r="AQ153" s="260">
        <v>3756</v>
      </c>
      <c r="AR153" s="260">
        <v>3551</v>
      </c>
      <c r="AS153" s="260">
        <v>3452</v>
      </c>
      <c r="AT153" s="260">
        <v>3496</v>
      </c>
    </row>
    <row r="154" spans="2:46" x14ac:dyDescent="0.3">
      <c r="B154" s="250" t="s">
        <v>407</v>
      </c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260">
        <v>156212</v>
      </c>
      <c r="AH154" s="260">
        <v>157901</v>
      </c>
      <c r="AI154" s="260">
        <v>158585</v>
      </c>
      <c r="AJ154" s="260">
        <v>157751</v>
      </c>
      <c r="AK154" s="260">
        <v>156848</v>
      </c>
      <c r="AL154" s="260">
        <v>159169</v>
      </c>
      <c r="AM154" s="260">
        <v>160005</v>
      </c>
      <c r="AN154" s="260">
        <v>160228</v>
      </c>
      <c r="AO154" s="260">
        <v>167164</v>
      </c>
      <c r="AP154" s="260">
        <v>167769</v>
      </c>
      <c r="AQ154" s="260">
        <v>168487</v>
      </c>
      <c r="AR154" s="260">
        <v>168823</v>
      </c>
      <c r="AS154" s="260">
        <v>169542</v>
      </c>
      <c r="AT154" s="260">
        <v>170341</v>
      </c>
    </row>
    <row r="155" spans="2:46" ht="13.5" thickBot="1" x14ac:dyDescent="0.35">
      <c r="B155" s="250" t="s">
        <v>270</v>
      </c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260">
        <v>101853</v>
      </c>
      <c r="AH155" s="260">
        <v>101674</v>
      </c>
      <c r="AI155" s="260">
        <v>102323</v>
      </c>
      <c r="AJ155" s="260">
        <v>102347</v>
      </c>
      <c r="AK155" s="260">
        <v>102281</v>
      </c>
      <c r="AL155" s="260">
        <v>102808</v>
      </c>
      <c r="AM155" s="260">
        <v>103049</v>
      </c>
      <c r="AN155" s="260">
        <v>103272</v>
      </c>
      <c r="AO155" s="260">
        <v>103206</v>
      </c>
      <c r="AP155" s="260">
        <v>103446</v>
      </c>
      <c r="AQ155" s="260">
        <v>103623</v>
      </c>
      <c r="AR155" s="260">
        <v>102304</v>
      </c>
      <c r="AS155" s="260">
        <v>101723</v>
      </c>
      <c r="AT155" s="260">
        <v>102124</v>
      </c>
    </row>
    <row r="156" spans="2:46" ht="13.5" thickBot="1" x14ac:dyDescent="0.35">
      <c r="B156" s="252" t="s">
        <v>428</v>
      </c>
      <c r="C156" s="267">
        <f>SUM(C151:C155)</f>
        <v>0</v>
      </c>
      <c r="D156" s="267">
        <f t="shared" ref="D156:AT156" si="50">SUM(D151:D155)</f>
        <v>0</v>
      </c>
      <c r="E156" s="267">
        <f t="shared" si="50"/>
        <v>0</v>
      </c>
      <c r="F156" s="267">
        <f t="shared" si="50"/>
        <v>0</v>
      </c>
      <c r="G156" s="267">
        <f t="shared" si="50"/>
        <v>0</v>
      </c>
      <c r="H156" s="267">
        <f t="shared" si="50"/>
        <v>0</v>
      </c>
      <c r="I156" s="267">
        <f t="shared" si="50"/>
        <v>0</v>
      </c>
      <c r="J156" s="267">
        <f t="shared" si="50"/>
        <v>0</v>
      </c>
      <c r="K156" s="267">
        <f t="shared" si="50"/>
        <v>0</v>
      </c>
      <c r="L156" s="267">
        <f t="shared" si="50"/>
        <v>0</v>
      </c>
      <c r="M156" s="267">
        <f t="shared" si="50"/>
        <v>0</v>
      </c>
      <c r="N156" s="267">
        <f t="shared" si="50"/>
        <v>0</v>
      </c>
      <c r="O156" s="267">
        <f t="shared" si="50"/>
        <v>0</v>
      </c>
      <c r="P156" s="267">
        <f t="shared" si="50"/>
        <v>0</v>
      </c>
      <c r="Q156" s="267">
        <f t="shared" si="50"/>
        <v>0</v>
      </c>
      <c r="R156" s="267">
        <f t="shared" si="50"/>
        <v>0</v>
      </c>
      <c r="S156" s="267">
        <f t="shared" si="50"/>
        <v>0</v>
      </c>
      <c r="T156" s="267">
        <f t="shared" si="50"/>
        <v>0</v>
      </c>
      <c r="U156" s="267">
        <f t="shared" si="50"/>
        <v>0</v>
      </c>
      <c r="V156" s="267">
        <f t="shared" si="50"/>
        <v>0</v>
      </c>
      <c r="W156" s="267">
        <f t="shared" si="50"/>
        <v>0</v>
      </c>
      <c r="X156" s="267">
        <f t="shared" si="50"/>
        <v>0</v>
      </c>
      <c r="Y156" s="267">
        <f t="shared" si="50"/>
        <v>0</v>
      </c>
      <c r="Z156" s="267">
        <f t="shared" si="50"/>
        <v>0</v>
      </c>
      <c r="AA156" s="267">
        <f t="shared" si="50"/>
        <v>0</v>
      </c>
      <c r="AB156" s="267">
        <f t="shared" si="50"/>
        <v>0</v>
      </c>
      <c r="AC156" s="267">
        <f t="shared" si="50"/>
        <v>0</v>
      </c>
      <c r="AD156" s="267">
        <f t="shared" si="50"/>
        <v>0</v>
      </c>
      <c r="AE156" s="267">
        <f t="shared" si="50"/>
        <v>0</v>
      </c>
      <c r="AF156" s="267">
        <f t="shared" si="50"/>
        <v>0</v>
      </c>
      <c r="AG156" s="267">
        <f t="shared" si="50"/>
        <v>1762171</v>
      </c>
      <c r="AH156" s="267">
        <f t="shared" si="50"/>
        <v>1769280</v>
      </c>
      <c r="AI156" s="267">
        <f t="shared" si="50"/>
        <v>1776195</v>
      </c>
      <c r="AJ156" s="267">
        <f t="shared" si="50"/>
        <v>1776787</v>
      </c>
      <c r="AK156" s="267">
        <f t="shared" si="50"/>
        <v>1771219</v>
      </c>
      <c r="AL156" s="267">
        <f t="shared" si="50"/>
        <v>1791536</v>
      </c>
      <c r="AM156" s="267">
        <f t="shared" si="50"/>
        <v>1799133</v>
      </c>
      <c r="AN156" s="267">
        <f t="shared" si="50"/>
        <v>1811485</v>
      </c>
      <c r="AO156" s="267">
        <f t="shared" si="50"/>
        <v>1836534</v>
      </c>
      <c r="AP156" s="267">
        <f t="shared" si="50"/>
        <v>1865299</v>
      </c>
      <c r="AQ156" s="267">
        <f t="shared" si="50"/>
        <v>1883772</v>
      </c>
      <c r="AR156" s="267">
        <f t="shared" si="50"/>
        <v>1899050</v>
      </c>
      <c r="AS156" s="267">
        <f t="shared" si="50"/>
        <v>1908979</v>
      </c>
      <c r="AT156" s="267">
        <f t="shared" si="50"/>
        <v>1923222</v>
      </c>
    </row>
    <row r="157" spans="2:46" x14ac:dyDescent="0.3">
      <c r="B157" s="269"/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270"/>
      <c r="Y157" s="270"/>
      <c r="Z157" s="270"/>
      <c r="AA157" s="270"/>
      <c r="AB157" s="270"/>
      <c r="AC157" s="270"/>
      <c r="AD157" s="270"/>
      <c r="AE157" s="270"/>
      <c r="AF157" s="270"/>
      <c r="AG157" s="270"/>
      <c r="AH157" s="270"/>
      <c r="AI157" s="270"/>
      <c r="AJ157" s="270"/>
      <c r="AK157" s="270"/>
      <c r="AL157" s="270"/>
      <c r="AM157" s="270"/>
      <c r="AN157" s="270"/>
      <c r="AO157" s="270"/>
      <c r="AP157" s="270"/>
      <c r="AQ157" s="270"/>
      <c r="AR157" s="270"/>
      <c r="AS157" s="270"/>
      <c r="AT157" s="270"/>
    </row>
    <row r="158" spans="2:46" x14ac:dyDescent="0.3">
      <c r="B158" s="248" t="s">
        <v>6</v>
      </c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249"/>
      <c r="AO158" s="249"/>
      <c r="AP158" s="249"/>
      <c r="AQ158" s="249"/>
      <c r="AR158" s="249"/>
      <c r="AS158" s="249"/>
      <c r="AT158" s="249"/>
    </row>
    <row r="159" spans="2:46" x14ac:dyDescent="0.3">
      <c r="B159" s="250" t="s">
        <v>422</v>
      </c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60"/>
      <c r="AG159" s="260"/>
      <c r="AH159" s="260">
        <v>161436</v>
      </c>
      <c r="AI159" s="260">
        <v>162449</v>
      </c>
      <c r="AJ159" s="260">
        <v>165451</v>
      </c>
      <c r="AK159" s="260">
        <v>166026</v>
      </c>
      <c r="AL159" s="260">
        <v>147355</v>
      </c>
      <c r="AM159" s="260">
        <v>133659</v>
      </c>
      <c r="AN159" s="260">
        <v>132781</v>
      </c>
      <c r="AO159" s="260">
        <v>121853</v>
      </c>
      <c r="AP159" s="260">
        <v>114309</v>
      </c>
      <c r="AQ159" s="260">
        <v>110440</v>
      </c>
      <c r="AR159" s="260">
        <v>93168</v>
      </c>
      <c r="AS159" s="260">
        <v>94188</v>
      </c>
      <c r="AT159" s="260">
        <v>95101</v>
      </c>
    </row>
    <row r="160" spans="2:46" x14ac:dyDescent="0.3">
      <c r="B160" s="250" t="s">
        <v>423</v>
      </c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60"/>
      <c r="AF160" s="260"/>
      <c r="AG160" s="260"/>
      <c r="AH160" s="260">
        <v>23630</v>
      </c>
      <c r="AI160" s="260">
        <v>22848</v>
      </c>
      <c r="AJ160" s="260">
        <v>21330</v>
      </c>
      <c r="AK160" s="260">
        <v>21343</v>
      </c>
      <c r="AL160" s="260">
        <v>29419</v>
      </c>
      <c r="AM160" s="260">
        <v>32424</v>
      </c>
      <c r="AN160" s="260">
        <v>35648</v>
      </c>
      <c r="AO160" s="260">
        <v>41003</v>
      </c>
      <c r="AP160" s="260">
        <v>64152</v>
      </c>
      <c r="AQ160" s="260">
        <v>71757</v>
      </c>
      <c r="AR160" s="260">
        <v>96861</v>
      </c>
      <c r="AS160" s="260">
        <v>98126</v>
      </c>
      <c r="AT160" s="260">
        <v>100673</v>
      </c>
    </row>
    <row r="161" spans="2:46" x14ac:dyDescent="0.3">
      <c r="B161" s="250" t="s">
        <v>406</v>
      </c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60"/>
      <c r="AF161" s="260"/>
      <c r="AG161" s="260"/>
      <c r="AH161" s="260">
        <v>342</v>
      </c>
      <c r="AI161" s="260">
        <v>344</v>
      </c>
      <c r="AJ161" s="260">
        <v>338</v>
      </c>
      <c r="AK161" s="260">
        <v>329</v>
      </c>
      <c r="AL161" s="260">
        <v>289</v>
      </c>
      <c r="AM161" s="260">
        <v>257</v>
      </c>
      <c r="AN161" s="260">
        <v>260</v>
      </c>
      <c r="AO161" s="260">
        <v>237</v>
      </c>
      <c r="AP161" s="260">
        <v>248</v>
      </c>
      <c r="AQ161" s="260">
        <v>247</v>
      </c>
      <c r="AR161" s="260">
        <v>254</v>
      </c>
      <c r="AS161" s="260">
        <v>238</v>
      </c>
      <c r="AT161" s="260">
        <v>242</v>
      </c>
    </row>
    <row r="162" spans="2:46" x14ac:dyDescent="0.3">
      <c r="B162" s="250" t="s">
        <v>407</v>
      </c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260"/>
      <c r="AH162" s="260">
        <v>18471</v>
      </c>
      <c r="AI162" s="260">
        <v>18460</v>
      </c>
      <c r="AJ162" s="260">
        <v>18583</v>
      </c>
      <c r="AK162" s="260">
        <v>18739</v>
      </c>
      <c r="AL162" s="260">
        <v>16772</v>
      </c>
      <c r="AM162" s="260">
        <v>15291</v>
      </c>
      <c r="AN162" s="260">
        <v>15656</v>
      </c>
      <c r="AO162" s="260">
        <v>14447</v>
      </c>
      <c r="AP162" s="260">
        <v>15516</v>
      </c>
      <c r="AQ162" s="260">
        <v>15454</v>
      </c>
      <c r="AR162" s="260">
        <v>15880</v>
      </c>
      <c r="AS162" s="260">
        <v>15702</v>
      </c>
      <c r="AT162" s="260">
        <v>15713</v>
      </c>
    </row>
    <row r="163" spans="2:46" ht="13.5" thickBot="1" x14ac:dyDescent="0.35">
      <c r="B163" s="250" t="s">
        <v>270</v>
      </c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260"/>
      <c r="AH163" s="260">
        <v>4728</v>
      </c>
      <c r="AI163" s="260">
        <v>4776</v>
      </c>
      <c r="AJ163" s="260">
        <v>4611</v>
      </c>
      <c r="AK163" s="260">
        <v>5211</v>
      </c>
      <c r="AL163" s="260">
        <v>4916</v>
      </c>
      <c r="AM163" s="260">
        <v>4869</v>
      </c>
      <c r="AN163" s="260">
        <v>4740</v>
      </c>
      <c r="AO163" s="260">
        <v>4691</v>
      </c>
      <c r="AP163" s="260">
        <v>4769</v>
      </c>
      <c r="AQ163" s="260">
        <v>5246</v>
      </c>
      <c r="AR163" s="260">
        <v>5157</v>
      </c>
      <c r="AS163" s="260">
        <v>5652</v>
      </c>
      <c r="AT163" s="260">
        <v>5724</v>
      </c>
    </row>
    <row r="164" spans="2:46" ht="13.5" thickBot="1" x14ac:dyDescent="0.35">
      <c r="B164" s="252" t="s">
        <v>429</v>
      </c>
      <c r="C164" s="267">
        <f>SUM(C159:C163)</f>
        <v>0</v>
      </c>
      <c r="D164" s="267">
        <f t="shared" ref="D164:AT164" si="51">SUM(D159:D163)</f>
        <v>0</v>
      </c>
      <c r="E164" s="267">
        <f t="shared" si="51"/>
        <v>0</v>
      </c>
      <c r="F164" s="267">
        <f t="shared" si="51"/>
        <v>0</v>
      </c>
      <c r="G164" s="267">
        <f t="shared" si="51"/>
        <v>0</v>
      </c>
      <c r="H164" s="267">
        <f t="shared" si="51"/>
        <v>0</v>
      </c>
      <c r="I164" s="267">
        <f t="shared" si="51"/>
        <v>0</v>
      </c>
      <c r="J164" s="267">
        <f t="shared" si="51"/>
        <v>0</v>
      </c>
      <c r="K164" s="267">
        <f t="shared" si="51"/>
        <v>0</v>
      </c>
      <c r="L164" s="267">
        <f t="shared" si="51"/>
        <v>0</v>
      </c>
      <c r="M164" s="267">
        <f t="shared" si="51"/>
        <v>0</v>
      </c>
      <c r="N164" s="267">
        <f t="shared" si="51"/>
        <v>0</v>
      </c>
      <c r="O164" s="267">
        <f t="shared" si="51"/>
        <v>0</v>
      </c>
      <c r="P164" s="267">
        <f t="shared" si="51"/>
        <v>0</v>
      </c>
      <c r="Q164" s="267">
        <f t="shared" si="51"/>
        <v>0</v>
      </c>
      <c r="R164" s="267">
        <f t="shared" si="51"/>
        <v>0</v>
      </c>
      <c r="S164" s="267">
        <f t="shared" si="51"/>
        <v>0</v>
      </c>
      <c r="T164" s="267">
        <f t="shared" si="51"/>
        <v>0</v>
      </c>
      <c r="U164" s="267">
        <f t="shared" si="51"/>
        <v>0</v>
      </c>
      <c r="V164" s="267">
        <f t="shared" si="51"/>
        <v>0</v>
      </c>
      <c r="W164" s="267">
        <f t="shared" si="51"/>
        <v>0</v>
      </c>
      <c r="X164" s="267">
        <f t="shared" si="51"/>
        <v>0</v>
      </c>
      <c r="Y164" s="267">
        <f t="shared" si="51"/>
        <v>0</v>
      </c>
      <c r="Z164" s="267">
        <f t="shared" si="51"/>
        <v>0</v>
      </c>
      <c r="AA164" s="267">
        <f t="shared" si="51"/>
        <v>0</v>
      </c>
      <c r="AB164" s="267">
        <f t="shared" si="51"/>
        <v>0</v>
      </c>
      <c r="AC164" s="267">
        <f t="shared" si="51"/>
        <v>0</v>
      </c>
      <c r="AD164" s="267">
        <f t="shared" si="51"/>
        <v>0</v>
      </c>
      <c r="AE164" s="267">
        <f t="shared" si="51"/>
        <v>0</v>
      </c>
      <c r="AF164" s="267">
        <f t="shared" si="51"/>
        <v>0</v>
      </c>
      <c r="AG164" s="267">
        <f t="shared" si="51"/>
        <v>0</v>
      </c>
      <c r="AH164" s="267">
        <f t="shared" si="51"/>
        <v>208607</v>
      </c>
      <c r="AI164" s="267">
        <f t="shared" si="51"/>
        <v>208877</v>
      </c>
      <c r="AJ164" s="267">
        <f t="shared" si="51"/>
        <v>210313</v>
      </c>
      <c r="AK164" s="267">
        <f t="shared" si="51"/>
        <v>211648</v>
      </c>
      <c r="AL164" s="267">
        <f t="shared" si="51"/>
        <v>198751</v>
      </c>
      <c r="AM164" s="267">
        <f t="shared" si="51"/>
        <v>186500</v>
      </c>
      <c r="AN164" s="267">
        <f t="shared" si="51"/>
        <v>189085</v>
      </c>
      <c r="AO164" s="267">
        <f t="shared" si="51"/>
        <v>182231</v>
      </c>
      <c r="AP164" s="267">
        <f t="shared" si="51"/>
        <v>198994</v>
      </c>
      <c r="AQ164" s="267">
        <f t="shared" si="51"/>
        <v>203144</v>
      </c>
      <c r="AR164" s="267">
        <f t="shared" si="51"/>
        <v>211320</v>
      </c>
      <c r="AS164" s="267">
        <f t="shared" si="51"/>
        <v>213906</v>
      </c>
      <c r="AT164" s="267">
        <f t="shared" si="51"/>
        <v>217453</v>
      </c>
    </row>
    <row r="165" spans="2:46" x14ac:dyDescent="0.3">
      <c r="B165" s="269"/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V165" s="270"/>
      <c r="W165" s="270"/>
      <c r="X165" s="270"/>
      <c r="Y165" s="270"/>
      <c r="Z165" s="270"/>
      <c r="AA165" s="270"/>
      <c r="AB165" s="270"/>
      <c r="AC165" s="270"/>
      <c r="AD165" s="270"/>
      <c r="AE165" s="270"/>
      <c r="AF165" s="270"/>
      <c r="AG165" s="270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270"/>
    </row>
    <row r="166" spans="2:46" x14ac:dyDescent="0.3">
      <c r="B166" s="248" t="s">
        <v>7</v>
      </c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</row>
    <row r="167" spans="2:46" x14ac:dyDescent="0.3">
      <c r="B167" s="250" t="s">
        <v>422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260"/>
      <c r="AH167" s="260"/>
      <c r="AI167" s="260"/>
      <c r="AJ167" s="260"/>
      <c r="AK167" s="260"/>
      <c r="AL167" s="260">
        <v>2470542</v>
      </c>
      <c r="AM167" s="260">
        <v>2431091</v>
      </c>
      <c r="AN167" s="260">
        <v>2440354</v>
      </c>
      <c r="AO167" s="260">
        <v>2453212</v>
      </c>
      <c r="AP167" s="260">
        <v>2458684</v>
      </c>
      <c r="AQ167" s="260">
        <v>2436091</v>
      </c>
      <c r="AR167" s="260">
        <v>2435940</v>
      </c>
      <c r="AS167" s="260">
        <v>2473974</v>
      </c>
      <c r="AT167" s="260">
        <v>2413658</v>
      </c>
    </row>
    <row r="168" spans="2:46" x14ac:dyDescent="0.3">
      <c r="B168" s="250" t="s">
        <v>423</v>
      </c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>
        <v>272302</v>
      </c>
      <c r="AM168" s="260">
        <v>337661</v>
      </c>
      <c r="AN168" s="260">
        <v>340028</v>
      </c>
      <c r="AO168" s="260">
        <v>354673</v>
      </c>
      <c r="AP168" s="260">
        <v>362526</v>
      </c>
      <c r="AQ168" s="260">
        <v>406759</v>
      </c>
      <c r="AR168" s="260">
        <v>417245</v>
      </c>
      <c r="AS168" s="260">
        <v>397598</v>
      </c>
      <c r="AT168" s="260">
        <v>480598</v>
      </c>
    </row>
    <row r="169" spans="2:46" x14ac:dyDescent="0.3">
      <c r="B169" s="250" t="s">
        <v>406</v>
      </c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  <c r="AF169" s="260"/>
      <c r="AG169" s="260"/>
      <c r="AH169" s="260"/>
      <c r="AI169" s="260"/>
      <c r="AJ169" s="260"/>
      <c r="AK169" s="260"/>
      <c r="AL169" s="260">
        <v>8667</v>
      </c>
      <c r="AM169" s="260">
        <v>8401</v>
      </c>
      <c r="AN169" s="260">
        <v>8561</v>
      </c>
      <c r="AO169" s="260">
        <v>8555</v>
      </c>
      <c r="AP169" s="260">
        <v>8588</v>
      </c>
      <c r="AQ169" s="260">
        <v>8200</v>
      </c>
      <c r="AR169" s="260">
        <v>8481</v>
      </c>
      <c r="AS169" s="260">
        <v>8437</v>
      </c>
      <c r="AT169" s="260">
        <v>8394</v>
      </c>
    </row>
    <row r="170" spans="2:46" x14ac:dyDescent="0.3">
      <c r="B170" s="250" t="s">
        <v>407</v>
      </c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60"/>
      <c r="AG170" s="260"/>
      <c r="AH170" s="260"/>
      <c r="AI170" s="260"/>
      <c r="AJ170" s="260"/>
      <c r="AK170" s="260"/>
      <c r="AL170" s="260">
        <v>202458</v>
      </c>
      <c r="AM170" s="260">
        <v>203817</v>
      </c>
      <c r="AN170" s="260">
        <v>203584</v>
      </c>
      <c r="AO170" s="260">
        <v>202894</v>
      </c>
      <c r="AP170" s="260">
        <v>201995</v>
      </c>
      <c r="AQ170" s="260">
        <v>201763</v>
      </c>
      <c r="AR170" s="260">
        <v>201612</v>
      </c>
      <c r="AS170" s="260">
        <v>199800</v>
      </c>
      <c r="AT170" s="260">
        <v>199228</v>
      </c>
    </row>
    <row r="171" spans="2:46" ht="13.5" thickBot="1" x14ac:dyDescent="0.35">
      <c r="B171" s="250" t="s">
        <v>270</v>
      </c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0"/>
      <c r="AE171" s="260"/>
      <c r="AF171" s="260"/>
      <c r="AG171" s="260"/>
      <c r="AH171" s="260"/>
      <c r="AI171" s="260"/>
      <c r="AJ171" s="260"/>
      <c r="AK171" s="260"/>
      <c r="AL171" s="260">
        <v>234763</v>
      </c>
      <c r="AM171" s="260">
        <v>235571</v>
      </c>
      <c r="AN171" s="260">
        <v>237946</v>
      </c>
      <c r="AO171" s="260">
        <v>260029</v>
      </c>
      <c r="AP171" s="260">
        <v>261586</v>
      </c>
      <c r="AQ171" s="260">
        <v>254006</v>
      </c>
      <c r="AR171" s="260">
        <v>251393</v>
      </c>
      <c r="AS171" s="260">
        <v>253597</v>
      </c>
      <c r="AT171" s="260">
        <v>253498</v>
      </c>
    </row>
    <row r="172" spans="2:46" ht="13.5" thickBot="1" x14ac:dyDescent="0.35">
      <c r="B172" s="252" t="s">
        <v>430</v>
      </c>
      <c r="C172" s="267"/>
      <c r="D172" s="267"/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  <c r="AD172" s="267"/>
      <c r="AE172" s="267"/>
      <c r="AF172" s="267"/>
      <c r="AG172" s="267"/>
      <c r="AH172" s="267"/>
      <c r="AI172" s="267"/>
      <c r="AJ172" s="267"/>
      <c r="AK172" s="267"/>
      <c r="AL172" s="267">
        <f t="shared" ref="AL172:AT172" si="52">SUM(AL167:AL171)</f>
        <v>3188732</v>
      </c>
      <c r="AM172" s="267">
        <f t="shared" si="52"/>
        <v>3216541</v>
      </c>
      <c r="AN172" s="267">
        <f t="shared" si="52"/>
        <v>3230473</v>
      </c>
      <c r="AO172" s="267">
        <f t="shared" si="52"/>
        <v>3279363</v>
      </c>
      <c r="AP172" s="267">
        <f t="shared" si="52"/>
        <v>3293379</v>
      </c>
      <c r="AQ172" s="267">
        <f t="shared" si="52"/>
        <v>3306819</v>
      </c>
      <c r="AR172" s="267">
        <f t="shared" si="52"/>
        <v>3314671</v>
      </c>
      <c r="AS172" s="267">
        <f t="shared" si="52"/>
        <v>3333406</v>
      </c>
      <c r="AT172" s="267">
        <f t="shared" si="52"/>
        <v>3355376</v>
      </c>
    </row>
    <row r="173" spans="2:46" x14ac:dyDescent="0.3">
      <c r="B173" s="269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270"/>
    </row>
    <row r="174" spans="2:46" x14ac:dyDescent="0.3">
      <c r="B174" s="582" t="s">
        <v>431</v>
      </c>
      <c r="C174" s="582">
        <f t="shared" ref="C174:AK174" si="53">C124+C132+C140+C148+C164+C156+C172</f>
        <v>5095009</v>
      </c>
      <c r="D174" s="582">
        <f t="shared" si="53"/>
        <v>5138519</v>
      </c>
      <c r="E174" s="582">
        <f t="shared" si="53"/>
        <v>5192879</v>
      </c>
      <c r="F174" s="582">
        <f t="shared" si="53"/>
        <v>5258556</v>
      </c>
      <c r="G174" s="582">
        <f t="shared" si="53"/>
        <v>5337188</v>
      </c>
      <c r="H174" s="582">
        <f t="shared" si="53"/>
        <v>5394057</v>
      </c>
      <c r="I174" s="582">
        <f t="shared" si="53"/>
        <v>5456378</v>
      </c>
      <c r="J174" s="582">
        <f t="shared" si="53"/>
        <v>5525486</v>
      </c>
      <c r="K174" s="582">
        <f t="shared" si="53"/>
        <v>5579728</v>
      </c>
      <c r="L174" s="582">
        <f t="shared" si="53"/>
        <v>5620409</v>
      </c>
      <c r="M174" s="582">
        <f t="shared" si="53"/>
        <v>5678909</v>
      </c>
      <c r="N174" s="582">
        <f t="shared" si="53"/>
        <v>5745630</v>
      </c>
      <c r="O174" s="582">
        <f t="shared" si="53"/>
        <v>5727505</v>
      </c>
      <c r="P174" s="582">
        <f t="shared" si="53"/>
        <v>5884760</v>
      </c>
      <c r="Q174" s="582">
        <f t="shared" si="53"/>
        <v>5963452</v>
      </c>
      <c r="R174" s="582">
        <f t="shared" si="53"/>
        <v>6029477</v>
      </c>
      <c r="S174" s="582">
        <f t="shared" si="53"/>
        <v>7218858</v>
      </c>
      <c r="T174" s="582">
        <f t="shared" si="53"/>
        <v>7288784</v>
      </c>
      <c r="U174" s="582">
        <f t="shared" si="53"/>
        <v>7386055</v>
      </c>
      <c r="V174" s="582">
        <f t="shared" si="53"/>
        <v>7453407</v>
      </c>
      <c r="W174" s="582">
        <f t="shared" si="53"/>
        <v>7505413</v>
      </c>
      <c r="X174" s="582">
        <f t="shared" si="53"/>
        <v>7544767</v>
      </c>
      <c r="Y174" s="582">
        <f t="shared" si="53"/>
        <v>7563030</v>
      </c>
      <c r="Z174" s="582">
        <f t="shared" si="53"/>
        <v>7539899</v>
      </c>
      <c r="AA174" s="582">
        <f t="shared" si="53"/>
        <v>7584076</v>
      </c>
      <c r="AB174" s="582">
        <f t="shared" si="53"/>
        <v>7534823</v>
      </c>
      <c r="AC174" s="582">
        <f t="shared" si="53"/>
        <v>7648701</v>
      </c>
      <c r="AD174" s="582">
        <f t="shared" si="53"/>
        <v>7665293</v>
      </c>
      <c r="AE174" s="582">
        <f t="shared" si="53"/>
        <v>7637256</v>
      </c>
      <c r="AF174" s="582">
        <f t="shared" si="53"/>
        <v>7709488</v>
      </c>
      <c r="AG174" s="582">
        <f t="shared" si="53"/>
        <v>9552545</v>
      </c>
      <c r="AH174" s="582">
        <f t="shared" si="53"/>
        <v>9795330</v>
      </c>
      <c r="AI174" s="582">
        <f t="shared" si="53"/>
        <v>9842157</v>
      </c>
      <c r="AJ174" s="582">
        <f t="shared" si="53"/>
        <v>9862698</v>
      </c>
      <c r="AK174" s="582">
        <f t="shared" si="53"/>
        <v>9930790</v>
      </c>
      <c r="AL174" s="582">
        <f>AL124+AL132+AL140+AL148+AL164+AL156</f>
        <v>9994478</v>
      </c>
      <c r="AM174" s="582">
        <f t="shared" ref="AM174:AP174" si="54">AM124+AM132+AM140+AM148+AM164+AM156</f>
        <v>10054099</v>
      </c>
      <c r="AN174" s="582">
        <f t="shared" si="54"/>
        <v>10131735</v>
      </c>
      <c r="AO174" s="582">
        <f t="shared" si="54"/>
        <v>10262244</v>
      </c>
      <c r="AP174" s="582">
        <f t="shared" si="54"/>
        <v>10401496</v>
      </c>
      <c r="AQ174" s="582">
        <f>AQ124+AQ132+AQ140+AQ148+AQ164+AQ156+AQ172</f>
        <v>13807350</v>
      </c>
      <c r="AR174" s="582">
        <f>AR124+AR132+AR140+AR148+AR164+AR156+AR172</f>
        <v>13919048</v>
      </c>
      <c r="AS174" s="582">
        <f>AS124+AS132+AS140+AS148+AS164+AS156+AS172</f>
        <v>13990115</v>
      </c>
      <c r="AT174" s="582">
        <f>AT124+AT132+AT140+AT148+AT164+AT156+AT172</f>
        <v>14077091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27233-9C5C-47E4-8EE2-0C6183901E6E}">
  <sheetPr>
    <tabColor theme="9" tint="0.79998168889431442"/>
  </sheetPr>
  <dimension ref="A7:Q40"/>
  <sheetViews>
    <sheetView zoomScale="85" zoomScaleNormal="85" workbookViewId="0">
      <pane xSplit="1" ySplit="8" topLeftCell="B9" activePane="bottomRight" state="frozen"/>
      <selection activeCell="I26" sqref="I26"/>
      <selection pane="topRight" activeCell="I26" sqref="I26"/>
      <selection pane="bottomLeft" activeCell="I26" sqref="I26"/>
      <selection pane="bottomRight" activeCell="P11" sqref="P11:Q11"/>
    </sheetView>
  </sheetViews>
  <sheetFormatPr defaultColWidth="9.1796875" defaultRowHeight="14.5" outlineLevelCol="1" x14ac:dyDescent="0.35"/>
  <cols>
    <col min="1" max="1" width="44.453125" style="37" bestFit="1" customWidth="1"/>
    <col min="2" max="2" width="2.453125" style="37" customWidth="1"/>
    <col min="3" max="10" width="0" style="37" hidden="1" customWidth="1" outlineLevel="1"/>
    <col min="11" max="11" width="9.1796875" style="37" collapsed="1"/>
    <col min="12" max="16384" width="9.1796875" style="37"/>
  </cols>
  <sheetData>
    <row r="7" spans="1:17" x14ac:dyDescent="0.35">
      <c r="A7" s="41" t="s">
        <v>545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5" thickBot="1" x14ac:dyDescent="0.4">
      <c r="A8" s="589" t="s">
        <v>245</v>
      </c>
      <c r="B8" s="169"/>
      <c r="C8" s="591" t="s">
        <v>69</v>
      </c>
      <c r="D8" s="591" t="s">
        <v>70</v>
      </c>
      <c r="E8" s="591" t="s">
        <v>71</v>
      </c>
      <c r="F8" s="591" t="s">
        <v>72</v>
      </c>
      <c r="G8" s="591" t="s">
        <v>73</v>
      </c>
      <c r="H8" s="591" t="s">
        <v>74</v>
      </c>
      <c r="I8" s="591" t="s">
        <v>75</v>
      </c>
      <c r="J8" s="591" t="s">
        <v>76</v>
      </c>
      <c r="K8" s="591" t="s">
        <v>77</v>
      </c>
      <c r="L8" s="591" t="s">
        <v>78</v>
      </c>
      <c r="M8" s="591" t="s">
        <v>79</v>
      </c>
      <c r="N8" s="591" t="s">
        <v>80</v>
      </c>
      <c r="O8" s="591" t="s">
        <v>81</v>
      </c>
      <c r="P8" s="591" t="s">
        <v>82</v>
      </c>
      <c r="Q8" s="601" t="s">
        <v>83</v>
      </c>
    </row>
    <row r="9" spans="1:17" ht="15" thickBot="1" x14ac:dyDescent="0.4">
      <c r="A9" s="175" t="s">
        <v>246</v>
      </c>
      <c r="B9" s="172"/>
      <c r="C9" s="185">
        <v>757648</v>
      </c>
      <c r="D9" s="185">
        <v>667211</v>
      </c>
      <c r="E9" s="185">
        <v>655660.31936000008</v>
      </c>
      <c r="F9" s="185">
        <v>1407466.8676800001</v>
      </c>
      <c r="G9" s="185">
        <v>816654.69327000016</v>
      </c>
      <c r="H9" s="185">
        <v>845731</v>
      </c>
      <c r="I9" s="185">
        <v>1198005</v>
      </c>
      <c r="J9" s="185">
        <v>1314997</v>
      </c>
      <c r="K9" s="185">
        <v>890407</v>
      </c>
      <c r="L9" s="176">
        <f t="shared" ref="L9:Q9" si="0">SUM(L10:L13)</f>
        <v>992763</v>
      </c>
      <c r="M9" s="176">
        <f t="shared" si="0"/>
        <v>1051901</v>
      </c>
      <c r="N9" s="176">
        <f t="shared" si="0"/>
        <v>1083786</v>
      </c>
      <c r="O9" s="176">
        <f t="shared" si="0"/>
        <v>1038321</v>
      </c>
      <c r="P9" s="176">
        <f t="shared" si="0"/>
        <v>1232597</v>
      </c>
      <c r="Q9" s="176">
        <f t="shared" si="0"/>
        <v>1103009.4710000001</v>
      </c>
    </row>
    <row r="10" spans="1:17" x14ac:dyDescent="0.35">
      <c r="A10" s="172" t="s">
        <v>247</v>
      </c>
      <c r="B10" s="172"/>
      <c r="C10" s="184">
        <v>622379</v>
      </c>
      <c r="D10" s="184">
        <v>543829</v>
      </c>
      <c r="E10" s="184">
        <v>528548.17563000019</v>
      </c>
      <c r="F10" s="184">
        <v>812966.95654000004</v>
      </c>
      <c r="G10" s="184">
        <v>685818.80774000008</v>
      </c>
      <c r="H10" s="184">
        <v>709060</v>
      </c>
      <c r="I10" s="184">
        <v>983749</v>
      </c>
      <c r="J10" s="184">
        <v>1023631</v>
      </c>
      <c r="K10" s="184">
        <v>723232</v>
      </c>
      <c r="L10" s="184">
        <v>731784</v>
      </c>
      <c r="M10" s="184">
        <v>780104</v>
      </c>
      <c r="N10" s="184">
        <v>791776</v>
      </c>
      <c r="O10" s="184">
        <v>797387</v>
      </c>
      <c r="P10" s="184">
        <v>875834</v>
      </c>
      <c r="Q10" s="382">
        <v>882574.20600000001</v>
      </c>
    </row>
    <row r="11" spans="1:17" x14ac:dyDescent="0.35">
      <c r="A11" s="172" t="s">
        <v>248</v>
      </c>
      <c r="B11" s="172"/>
      <c r="C11" s="184">
        <v>37581</v>
      </c>
      <c r="D11" s="184">
        <v>10370</v>
      </c>
      <c r="E11" s="184">
        <v>19928.778419999999</v>
      </c>
      <c r="F11" s="184">
        <v>31221.718079999995</v>
      </c>
      <c r="G11" s="184">
        <v>17093.12341</v>
      </c>
      <c r="H11" s="184">
        <v>34537</v>
      </c>
      <c r="I11" s="184">
        <v>36576</v>
      </c>
      <c r="J11" s="184">
        <v>88589</v>
      </c>
      <c r="K11" s="184">
        <v>5957</v>
      </c>
      <c r="L11" s="184">
        <v>11096</v>
      </c>
      <c r="M11" s="184">
        <v>5849</v>
      </c>
      <c r="N11" s="184">
        <v>4794</v>
      </c>
      <c r="O11" s="184">
        <v>11032</v>
      </c>
      <c r="P11" s="184">
        <v>8433</v>
      </c>
      <c r="Q11" s="382">
        <v>7654.3339999999998</v>
      </c>
    </row>
    <row r="12" spans="1:17" x14ac:dyDescent="0.35">
      <c r="A12" s="172" t="s">
        <v>249</v>
      </c>
      <c r="B12" s="172"/>
      <c r="C12" s="184">
        <v>78681</v>
      </c>
      <c r="D12" s="184">
        <v>96145</v>
      </c>
      <c r="E12" s="184">
        <v>86033.299830000018</v>
      </c>
      <c r="F12" s="184">
        <v>142478.89074999999</v>
      </c>
      <c r="G12" s="184">
        <v>85233.308959999995</v>
      </c>
      <c r="H12" s="184">
        <v>73352</v>
      </c>
      <c r="I12" s="184">
        <v>130164</v>
      </c>
      <c r="J12" s="184">
        <v>149206</v>
      </c>
      <c r="K12" s="184">
        <v>90999</v>
      </c>
      <c r="L12" s="184">
        <v>157058</v>
      </c>
      <c r="M12" s="184">
        <v>233255</v>
      </c>
      <c r="N12" s="184">
        <v>250996</v>
      </c>
      <c r="O12" s="184">
        <v>179768</v>
      </c>
      <c r="P12" s="184">
        <v>275011</v>
      </c>
      <c r="Q12" s="382">
        <v>150423.709</v>
      </c>
    </row>
    <row r="13" spans="1:17" ht="15" thickBot="1" x14ac:dyDescent="0.4">
      <c r="A13" s="172" t="s">
        <v>254</v>
      </c>
      <c r="B13" s="172"/>
      <c r="C13" s="184">
        <v>19007</v>
      </c>
      <c r="D13" s="184">
        <v>16867</v>
      </c>
      <c r="E13" s="184">
        <v>21150.06547999991</v>
      </c>
      <c r="F13" s="184">
        <v>420799.30231000006</v>
      </c>
      <c r="G13" s="184">
        <v>28509.453160000001</v>
      </c>
      <c r="H13" s="184">
        <v>28782</v>
      </c>
      <c r="I13" s="184">
        <v>47516</v>
      </c>
      <c r="J13" s="184">
        <v>53571</v>
      </c>
      <c r="K13" s="184">
        <v>70219</v>
      </c>
      <c r="L13" s="184">
        <v>92825</v>
      </c>
      <c r="M13" s="184">
        <v>32693</v>
      </c>
      <c r="N13" s="184">
        <v>36220</v>
      </c>
      <c r="O13" s="184">
        <v>50134</v>
      </c>
      <c r="P13" s="184">
        <v>73319</v>
      </c>
      <c r="Q13" s="382">
        <v>62357.222000000002</v>
      </c>
    </row>
    <row r="14" spans="1:17" ht="15" thickBot="1" x14ac:dyDescent="0.4">
      <c r="A14" s="175" t="s">
        <v>305</v>
      </c>
      <c r="B14" s="172"/>
      <c r="C14" s="185">
        <v>-230202</v>
      </c>
      <c r="D14" s="185">
        <v>-181468</v>
      </c>
      <c r="E14" s="185">
        <v>-212736.98024999999</v>
      </c>
      <c r="F14" s="185">
        <v>-280092.51579999999</v>
      </c>
      <c r="G14" s="185">
        <v>-231926.74813999995</v>
      </c>
      <c r="H14" s="185">
        <v>-228324</v>
      </c>
      <c r="I14" s="185">
        <v>-299161</v>
      </c>
      <c r="J14" s="185">
        <v>-321548</v>
      </c>
      <c r="K14" s="185">
        <v>-302491</v>
      </c>
      <c r="L14" s="383">
        <v>-278513</v>
      </c>
      <c r="M14" s="383">
        <v>-254516</v>
      </c>
      <c r="N14" s="383">
        <v>-239526</v>
      </c>
      <c r="O14" s="383">
        <v>-259237</v>
      </c>
      <c r="P14" s="383">
        <v>-326235</v>
      </c>
      <c r="Q14" s="383">
        <v>-327674.08500000002</v>
      </c>
    </row>
    <row r="15" spans="1:17" ht="15" thickBot="1" x14ac:dyDescent="0.4">
      <c r="A15" s="175" t="s">
        <v>256</v>
      </c>
      <c r="B15" s="173"/>
      <c r="C15" s="185">
        <f>C9+C14</f>
        <v>527446</v>
      </c>
      <c r="D15" s="185">
        <f t="shared" ref="D15:P15" si="1">D9+D14</f>
        <v>485743</v>
      </c>
      <c r="E15" s="185">
        <f t="shared" si="1"/>
        <v>442923.33911000006</v>
      </c>
      <c r="F15" s="185">
        <f t="shared" si="1"/>
        <v>1127374.3518800002</v>
      </c>
      <c r="G15" s="185">
        <f t="shared" si="1"/>
        <v>584727.94513000024</v>
      </c>
      <c r="H15" s="185">
        <f t="shared" si="1"/>
        <v>617407</v>
      </c>
      <c r="I15" s="185">
        <f t="shared" si="1"/>
        <v>898844</v>
      </c>
      <c r="J15" s="185">
        <f t="shared" si="1"/>
        <v>993449</v>
      </c>
      <c r="K15" s="185">
        <f t="shared" si="1"/>
        <v>587916</v>
      </c>
      <c r="L15" s="185">
        <f t="shared" si="1"/>
        <v>714250</v>
      </c>
      <c r="M15" s="185">
        <f t="shared" si="1"/>
        <v>797385</v>
      </c>
      <c r="N15" s="185">
        <f t="shared" si="1"/>
        <v>844260</v>
      </c>
      <c r="O15" s="185">
        <f t="shared" si="1"/>
        <v>779084</v>
      </c>
      <c r="P15" s="185">
        <f t="shared" si="1"/>
        <v>906362</v>
      </c>
      <c r="Q15" s="384">
        <f>Q9+Q14</f>
        <v>775335.38600000017</v>
      </c>
    </row>
    <row r="16" spans="1:17" ht="15" thickBot="1" x14ac:dyDescent="0.4">
      <c r="A16" s="175" t="s">
        <v>257</v>
      </c>
      <c r="B16" s="173"/>
      <c r="C16" s="185">
        <f>SUM(C17:C20)</f>
        <v>-358002</v>
      </c>
      <c r="D16" s="185">
        <f t="shared" ref="D16:P16" si="2">SUM(D17:D20)</f>
        <v>-329778</v>
      </c>
      <c r="E16" s="185">
        <f t="shared" si="2"/>
        <v>-399688.82084</v>
      </c>
      <c r="F16" s="185">
        <f t="shared" si="2"/>
        <v>-543525.12888999993</v>
      </c>
      <c r="G16" s="185">
        <f t="shared" si="2"/>
        <v>-373009.01106999995</v>
      </c>
      <c r="H16" s="185">
        <f t="shared" si="2"/>
        <v>-389009</v>
      </c>
      <c r="I16" s="185">
        <f t="shared" si="2"/>
        <v>-658240</v>
      </c>
      <c r="J16" s="185">
        <f t="shared" si="2"/>
        <v>-696928</v>
      </c>
      <c r="K16" s="185">
        <f t="shared" si="2"/>
        <v>-360184</v>
      </c>
      <c r="L16" s="185">
        <f t="shared" si="2"/>
        <v>-459479</v>
      </c>
      <c r="M16" s="185">
        <f t="shared" si="2"/>
        <v>-551912</v>
      </c>
      <c r="N16" s="185">
        <f t="shared" si="2"/>
        <v>-569141</v>
      </c>
      <c r="O16" s="185">
        <f t="shared" si="2"/>
        <v>-512398</v>
      </c>
      <c r="P16" s="185">
        <f t="shared" si="2"/>
        <v>-596067</v>
      </c>
      <c r="Q16" s="384">
        <f>SUM(Q17:Q20)</f>
        <v>-488637.47600000002</v>
      </c>
    </row>
    <row r="17" spans="1:17" x14ac:dyDescent="0.35">
      <c r="A17" s="172" t="s">
        <v>258</v>
      </c>
      <c r="B17" s="173"/>
      <c r="C17" s="184">
        <v>-276386</v>
      </c>
      <c r="D17" s="184">
        <v>-229981</v>
      </c>
      <c r="E17" s="184">
        <v>-246068.48750999998</v>
      </c>
      <c r="F17" s="184">
        <v>-346507.05471999996</v>
      </c>
      <c r="G17" s="184">
        <v>-230246.44381999999</v>
      </c>
      <c r="H17" s="184">
        <v>-310127</v>
      </c>
      <c r="I17" s="184">
        <v>-480361</v>
      </c>
      <c r="J17" s="184">
        <v>-496371</v>
      </c>
      <c r="K17" s="184">
        <v>-273839</v>
      </c>
      <c r="L17" s="184">
        <v>-307484</v>
      </c>
      <c r="M17" s="184">
        <v>-324027</v>
      </c>
      <c r="N17" s="184">
        <v>-323696</v>
      </c>
      <c r="O17" s="184">
        <v>-338177</v>
      </c>
      <c r="P17" s="184">
        <v>-327649</v>
      </c>
      <c r="Q17" s="382">
        <v>-345204.54</v>
      </c>
    </row>
    <row r="18" spans="1:17" x14ac:dyDescent="0.35">
      <c r="A18" s="172" t="s">
        <v>260</v>
      </c>
      <c r="B18" s="173"/>
      <c r="C18" s="184">
        <v>-2934</v>
      </c>
      <c r="D18" s="184">
        <v>-3652</v>
      </c>
      <c r="E18" s="184">
        <v>-67587.033500000005</v>
      </c>
      <c r="F18" s="184">
        <v>-54539.183420000008</v>
      </c>
      <c r="G18" s="184">
        <v>-57529.258289999998</v>
      </c>
      <c r="H18" s="184">
        <v>-5530</v>
      </c>
      <c r="I18" s="184">
        <v>-47715</v>
      </c>
      <c r="J18" s="184">
        <v>-51351</v>
      </c>
      <c r="K18" s="184">
        <v>4654</v>
      </c>
      <c r="L18" s="184">
        <v>5063</v>
      </c>
      <c r="M18" s="184">
        <v>5370</v>
      </c>
      <c r="N18" s="184">
        <v>5551</v>
      </c>
      <c r="O18" s="184">
        <v>5547</v>
      </c>
      <c r="P18" s="184">
        <v>6593</v>
      </c>
      <c r="Q18" s="382">
        <v>6990.7730000000001</v>
      </c>
    </row>
    <row r="19" spans="1:17" x14ac:dyDescent="0.35">
      <c r="A19" s="172" t="s">
        <v>261</v>
      </c>
      <c r="B19" s="173"/>
      <c r="C19" s="184">
        <v>-78682</v>
      </c>
      <c r="D19" s="184">
        <v>-96145</v>
      </c>
      <c r="E19" s="184">
        <v>-86033.299830000018</v>
      </c>
      <c r="F19" s="184">
        <v>-142478.89074999999</v>
      </c>
      <c r="G19" s="184">
        <v>-85233.308959999995</v>
      </c>
      <c r="H19" s="184">
        <v>-73352</v>
      </c>
      <c r="I19" s="184">
        <v>-130164</v>
      </c>
      <c r="J19" s="184">
        <v>-149206</v>
      </c>
      <c r="K19" s="184">
        <v>-90999</v>
      </c>
      <c r="L19" s="184">
        <v>-157058</v>
      </c>
      <c r="M19" s="184">
        <v>-233255</v>
      </c>
      <c r="N19" s="184">
        <v>-250996</v>
      </c>
      <c r="O19" s="184">
        <v>-179768</v>
      </c>
      <c r="P19" s="184">
        <v>-275011</v>
      </c>
      <c r="Q19" s="382">
        <v>-150423.709</v>
      </c>
    </row>
    <row r="20" spans="1:17" ht="15" thickBot="1" x14ac:dyDescent="0.4">
      <c r="A20" s="172" t="s">
        <v>262</v>
      </c>
      <c r="B20" s="173"/>
      <c r="C20" s="385">
        <v>0</v>
      </c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6"/>
    </row>
    <row r="21" spans="1:17" ht="15" thickBot="1" x14ac:dyDescent="0.4">
      <c r="A21" s="175" t="s">
        <v>263</v>
      </c>
      <c r="B21" s="173"/>
      <c r="C21" s="185">
        <f>C15+C16</f>
        <v>169444</v>
      </c>
      <c r="D21" s="185">
        <f t="shared" ref="D21:P21" si="3">D15+D16</f>
        <v>155965</v>
      </c>
      <c r="E21" s="185">
        <f t="shared" si="3"/>
        <v>43234.518270000059</v>
      </c>
      <c r="F21" s="185">
        <f t="shared" si="3"/>
        <v>583849.22299000027</v>
      </c>
      <c r="G21" s="185">
        <f t="shared" si="3"/>
        <v>211718.93406000029</v>
      </c>
      <c r="H21" s="185">
        <f t="shared" si="3"/>
        <v>228398</v>
      </c>
      <c r="I21" s="185">
        <f t="shared" si="3"/>
        <v>240604</v>
      </c>
      <c r="J21" s="185">
        <f t="shared" si="3"/>
        <v>296521</v>
      </c>
      <c r="K21" s="185">
        <f t="shared" si="3"/>
        <v>227732</v>
      </c>
      <c r="L21" s="185">
        <f t="shared" si="3"/>
        <v>254771</v>
      </c>
      <c r="M21" s="185">
        <f t="shared" si="3"/>
        <v>245473</v>
      </c>
      <c r="N21" s="185">
        <f t="shared" si="3"/>
        <v>275119</v>
      </c>
      <c r="O21" s="185">
        <f t="shared" si="3"/>
        <v>266686</v>
      </c>
      <c r="P21" s="185">
        <f t="shared" si="3"/>
        <v>310295</v>
      </c>
      <c r="Q21" s="384">
        <f>Q15+Q16</f>
        <v>286697.91000000015</v>
      </c>
    </row>
    <row r="22" spans="1:17" ht="15" thickBot="1" x14ac:dyDescent="0.4">
      <c r="A22" s="175" t="s">
        <v>264</v>
      </c>
      <c r="B22" s="173"/>
      <c r="C22" s="185">
        <f>SUM(C23:C28)</f>
        <v>-84735</v>
      </c>
      <c r="D22" s="185">
        <f t="shared" ref="D22:P22" si="4">SUM(D23:D28)</f>
        <v>-85862</v>
      </c>
      <c r="E22" s="185">
        <f t="shared" si="4"/>
        <v>-48267.139770000023</v>
      </c>
      <c r="F22" s="185">
        <f t="shared" si="4"/>
        <v>116382.61177000003</v>
      </c>
      <c r="G22" s="185">
        <f t="shared" si="4"/>
        <v>-82808.313840000032</v>
      </c>
      <c r="H22" s="185">
        <f t="shared" si="4"/>
        <v>-73145</v>
      </c>
      <c r="I22" s="185">
        <f t="shared" si="4"/>
        <v>-82333</v>
      </c>
      <c r="J22" s="185">
        <f t="shared" si="4"/>
        <v>31943</v>
      </c>
      <c r="K22" s="185">
        <f t="shared" si="4"/>
        <v>-97789</v>
      </c>
      <c r="L22" s="185">
        <f t="shared" si="4"/>
        <v>-131560</v>
      </c>
      <c r="M22" s="185">
        <f t="shared" si="4"/>
        <v>-97977</v>
      </c>
      <c r="N22" s="185">
        <f t="shared" si="4"/>
        <v>-152655</v>
      </c>
      <c r="O22" s="185">
        <f t="shared" si="4"/>
        <v>-117313</v>
      </c>
      <c r="P22" s="185">
        <f t="shared" si="4"/>
        <v>-99336</v>
      </c>
      <c r="Q22" s="384">
        <f>SUM(Q23:Q28)</f>
        <v>-106295.50599999999</v>
      </c>
    </row>
    <row r="23" spans="1:17" x14ac:dyDescent="0.35">
      <c r="A23" s="172" t="s">
        <v>265</v>
      </c>
      <c r="B23" s="173"/>
      <c r="C23" s="184">
        <v>-22099</v>
      </c>
      <c r="D23" s="184">
        <v>-16215</v>
      </c>
      <c r="E23" s="184">
        <v>-17441.666250000002</v>
      </c>
      <c r="F23" s="184">
        <v>-23486.863399999995</v>
      </c>
      <c r="G23" s="184">
        <v>-19264.449370000006</v>
      </c>
      <c r="H23" s="184">
        <v>-20971</v>
      </c>
      <c r="I23" s="184">
        <v>-18287</v>
      </c>
      <c r="J23" s="184">
        <v>-26730</v>
      </c>
      <c r="K23" s="184">
        <v>-20790</v>
      </c>
      <c r="L23" s="184">
        <v>-19836</v>
      </c>
      <c r="M23" s="184">
        <v>-18918</v>
      </c>
      <c r="N23" s="184">
        <v>-27362</v>
      </c>
      <c r="O23" s="184">
        <v>-21002</v>
      </c>
      <c r="P23" s="184">
        <v>-26005</v>
      </c>
      <c r="Q23" s="382">
        <v>-26372.278999999999</v>
      </c>
    </row>
    <row r="24" spans="1:17" x14ac:dyDescent="0.35">
      <c r="A24" s="172" t="s">
        <v>266</v>
      </c>
      <c r="B24" s="173"/>
      <c r="C24" s="184">
        <v>-1147</v>
      </c>
      <c r="D24" s="184">
        <v>-769</v>
      </c>
      <c r="E24" s="184">
        <v>-1445.48669</v>
      </c>
      <c r="F24" s="184">
        <v>-1221.8397600000008</v>
      </c>
      <c r="G24" s="184">
        <v>-1200.5161400000002</v>
      </c>
      <c r="H24" s="184">
        <v>-1080</v>
      </c>
      <c r="I24" s="184">
        <v>-1119</v>
      </c>
      <c r="J24" s="184">
        <v>-6851</v>
      </c>
      <c r="K24" s="184">
        <v>-3636</v>
      </c>
      <c r="L24" s="184">
        <v>-3204</v>
      </c>
      <c r="M24" s="184">
        <v>-4557</v>
      </c>
      <c r="N24" s="184">
        <v>-4707</v>
      </c>
      <c r="O24" s="184">
        <v>-2491</v>
      </c>
      <c r="P24" s="184">
        <v>-3313</v>
      </c>
      <c r="Q24" s="382">
        <v>-1750.5350000000001</v>
      </c>
    </row>
    <row r="25" spans="1:17" x14ac:dyDescent="0.35">
      <c r="A25" s="172" t="s">
        <v>267</v>
      </c>
      <c r="B25" s="387"/>
      <c r="C25" s="184">
        <v>-39392</v>
      </c>
      <c r="D25" s="184">
        <v>-39328</v>
      </c>
      <c r="E25" s="184">
        <v>-37576.353559999989</v>
      </c>
      <c r="F25" s="184">
        <v>-46490.665720000005</v>
      </c>
      <c r="G25" s="184">
        <v>-48270.400170000023</v>
      </c>
      <c r="H25" s="184">
        <v>-48467</v>
      </c>
      <c r="I25" s="184">
        <v>-51260</v>
      </c>
      <c r="J25" s="184">
        <v>-63292</v>
      </c>
      <c r="K25" s="184">
        <v>-56857</v>
      </c>
      <c r="L25" s="184">
        <v>-61855</v>
      </c>
      <c r="M25" s="184">
        <v>-55602</v>
      </c>
      <c r="N25" s="184">
        <v>-72531</v>
      </c>
      <c r="O25" s="184">
        <v>-55653</v>
      </c>
      <c r="P25" s="184">
        <v>-46894</v>
      </c>
      <c r="Q25" s="382">
        <v>-56392.178</v>
      </c>
    </row>
    <row r="26" spans="1:17" x14ac:dyDescent="0.35">
      <c r="A26" s="172" t="s">
        <v>268</v>
      </c>
      <c r="B26" s="173"/>
      <c r="C26" s="184">
        <v>-21698</v>
      </c>
      <c r="D26" s="184">
        <v>-24761</v>
      </c>
      <c r="E26" s="184">
        <v>9435.1906499999695</v>
      </c>
      <c r="F26" s="184">
        <v>27729.415180000029</v>
      </c>
      <c r="G26" s="184">
        <v>-10375.064949999996</v>
      </c>
      <c r="H26" s="184">
        <v>-2633</v>
      </c>
      <c r="I26" s="184">
        <v>-9488</v>
      </c>
      <c r="J26" s="184">
        <v>147363</v>
      </c>
      <c r="K26" s="184">
        <v>-13184</v>
      </c>
      <c r="L26" s="184">
        <v>-9981</v>
      </c>
      <c r="M26" s="184">
        <v>-13479</v>
      </c>
      <c r="N26" s="184">
        <v>-41011</v>
      </c>
      <c r="O26" s="184">
        <v>-20542</v>
      </c>
      <c r="P26" s="184">
        <v>-20048</v>
      </c>
      <c r="Q26" s="382">
        <v>-13261.737999999999</v>
      </c>
    </row>
    <row r="27" spans="1:17" x14ac:dyDescent="0.35">
      <c r="A27" s="172" t="s">
        <v>270</v>
      </c>
      <c r="B27" s="173"/>
      <c r="C27" s="184">
        <v>-2129</v>
      </c>
      <c r="D27" s="184">
        <v>-1391</v>
      </c>
      <c r="E27" s="184">
        <v>-1499.1161500000003</v>
      </c>
      <c r="F27" s="184">
        <v>84.26237999999951</v>
      </c>
      <c r="G27" s="184">
        <v>-2068.4086499999999</v>
      </c>
      <c r="H27" s="184">
        <v>-1273</v>
      </c>
      <c r="I27" s="184">
        <v>-2222</v>
      </c>
      <c r="J27" s="184">
        <v>-1430</v>
      </c>
      <c r="K27" s="184">
        <v>-1730</v>
      </c>
      <c r="L27" s="184">
        <v>-1989</v>
      </c>
      <c r="M27" s="184">
        <v>-2682</v>
      </c>
      <c r="N27" s="184">
        <v>-2987</v>
      </c>
      <c r="O27" s="184">
        <v>-1750</v>
      </c>
      <c r="P27" s="184">
        <v>9496</v>
      </c>
      <c r="Q27" s="382">
        <v>-2150.2710000000002</v>
      </c>
    </row>
    <row r="28" spans="1:17" x14ac:dyDescent="0.35">
      <c r="A28" s="172" t="s">
        <v>271</v>
      </c>
      <c r="B28" s="172"/>
      <c r="C28" s="184">
        <v>1730</v>
      </c>
      <c r="D28" s="184">
        <v>-3398</v>
      </c>
      <c r="E28" s="184">
        <v>260.29223000000053</v>
      </c>
      <c r="F28" s="184">
        <v>159768.30309</v>
      </c>
      <c r="G28" s="184">
        <v>-1629.4745600000001</v>
      </c>
      <c r="H28" s="184">
        <v>1279</v>
      </c>
      <c r="I28" s="184">
        <v>43</v>
      </c>
      <c r="J28" s="184">
        <v>-17117</v>
      </c>
      <c r="K28" s="184">
        <v>-1592</v>
      </c>
      <c r="L28" s="184">
        <v>-34695</v>
      </c>
      <c r="M28" s="184">
        <v>-2739</v>
      </c>
      <c r="N28" s="184">
        <v>-4057</v>
      </c>
      <c r="O28" s="184">
        <v>-15875</v>
      </c>
      <c r="P28" s="184">
        <v>-12572</v>
      </c>
      <c r="Q28" s="382">
        <v>-6368.5050000000001</v>
      </c>
    </row>
    <row r="29" spans="1:17" x14ac:dyDescent="0.35">
      <c r="A29" s="596" t="s">
        <v>272</v>
      </c>
      <c r="B29" s="377"/>
      <c r="C29" s="593">
        <f>C21+C22</f>
        <v>84709</v>
      </c>
      <c r="D29" s="593">
        <f t="shared" ref="D29:P29" si="5">D21+D22</f>
        <v>70103</v>
      </c>
      <c r="E29" s="593">
        <f t="shared" si="5"/>
        <v>-5032.6214999999647</v>
      </c>
      <c r="F29" s="593">
        <f t="shared" si="5"/>
        <v>700231.83476000035</v>
      </c>
      <c r="G29" s="593">
        <f t="shared" si="5"/>
        <v>128910.62022000026</v>
      </c>
      <c r="H29" s="593">
        <f t="shared" si="5"/>
        <v>155253</v>
      </c>
      <c r="I29" s="593">
        <f t="shared" si="5"/>
        <v>158271</v>
      </c>
      <c r="J29" s="593">
        <f t="shared" si="5"/>
        <v>328464</v>
      </c>
      <c r="K29" s="593">
        <f t="shared" si="5"/>
        <v>129943</v>
      </c>
      <c r="L29" s="593">
        <f t="shared" si="5"/>
        <v>123211</v>
      </c>
      <c r="M29" s="593">
        <f t="shared" si="5"/>
        <v>147496</v>
      </c>
      <c r="N29" s="593">
        <f t="shared" si="5"/>
        <v>122464</v>
      </c>
      <c r="O29" s="593">
        <f t="shared" si="5"/>
        <v>149373</v>
      </c>
      <c r="P29" s="593">
        <f t="shared" si="5"/>
        <v>210959</v>
      </c>
      <c r="Q29" s="605">
        <f>Q21+Q22</f>
        <v>180402.40400000016</v>
      </c>
    </row>
    <row r="30" spans="1:17" ht="15" thickBot="1" x14ac:dyDescent="0.4">
      <c r="A30" s="172" t="s">
        <v>273</v>
      </c>
      <c r="B30" s="172"/>
      <c r="C30" s="184">
        <v>-22227</v>
      </c>
      <c r="D30" s="184">
        <v>-22656</v>
      </c>
      <c r="E30" s="184">
        <v>-21027.334939999997</v>
      </c>
      <c r="F30" s="184">
        <v>-79515.336040000009</v>
      </c>
      <c r="G30" s="184">
        <v>-22071.18519</v>
      </c>
      <c r="H30" s="184">
        <v>-23542</v>
      </c>
      <c r="I30" s="184">
        <v>35423</v>
      </c>
      <c r="J30" s="184">
        <v>-25423</v>
      </c>
      <c r="K30" s="184">
        <v>-22647</v>
      </c>
      <c r="L30" s="184">
        <v>-26968</v>
      </c>
      <c r="M30" s="184">
        <v>-26402</v>
      </c>
      <c r="N30" s="184">
        <v>-34908</v>
      </c>
      <c r="O30" s="184">
        <v>-22432</v>
      </c>
      <c r="P30" s="184">
        <v>-36272</v>
      </c>
      <c r="Q30" s="382">
        <v>-36706.370000000003</v>
      </c>
    </row>
    <row r="31" spans="1:17" ht="15" thickBot="1" x14ac:dyDescent="0.4">
      <c r="A31" s="175" t="s">
        <v>274</v>
      </c>
      <c r="B31" s="172"/>
      <c r="C31" s="185">
        <v>62481.999999999942</v>
      </c>
      <c r="D31" s="185">
        <v>47447</v>
      </c>
      <c r="E31" s="185">
        <v>-26059.956439999962</v>
      </c>
      <c r="F31" s="185">
        <v>620713.49872000038</v>
      </c>
      <c r="G31" s="185">
        <v>106839.43503000026</v>
      </c>
      <c r="H31" s="185">
        <v>131711</v>
      </c>
      <c r="I31" s="185">
        <v>193694</v>
      </c>
      <c r="J31" s="185">
        <v>303040</v>
      </c>
      <c r="K31" s="185">
        <v>107296</v>
      </c>
      <c r="L31" s="176">
        <f t="shared" ref="L31:Q31" si="6">SUM(L29:L30)</f>
        <v>96243</v>
      </c>
      <c r="M31" s="176">
        <f t="shared" si="6"/>
        <v>121094</v>
      </c>
      <c r="N31" s="176">
        <f t="shared" si="6"/>
        <v>87556</v>
      </c>
      <c r="O31" s="176">
        <f t="shared" si="6"/>
        <v>126941</v>
      </c>
      <c r="P31" s="176">
        <f t="shared" si="6"/>
        <v>174687</v>
      </c>
      <c r="Q31" s="176">
        <f t="shared" si="6"/>
        <v>143696.03400000016</v>
      </c>
    </row>
    <row r="32" spans="1:17" ht="15" thickBot="1" x14ac:dyDescent="0.4">
      <c r="A32" s="175" t="s">
        <v>277</v>
      </c>
      <c r="B32" s="172"/>
      <c r="C32" s="388">
        <v>-36940.999999999985</v>
      </c>
      <c r="D32" s="388">
        <v>-27497</v>
      </c>
      <c r="E32" s="388">
        <v>-3476.2896099999925</v>
      </c>
      <c r="F32" s="388">
        <v>12779.505839999987</v>
      </c>
      <c r="G32" s="388">
        <v>-16594.275810000006</v>
      </c>
      <c r="H32" s="388">
        <v>-16182</v>
      </c>
      <c r="I32" s="388">
        <v>-24520</v>
      </c>
      <c r="J32" s="388">
        <v>-46950</v>
      </c>
      <c r="K32" s="388">
        <v>-36488</v>
      </c>
      <c r="L32" s="389">
        <f t="shared" ref="L32:Q32" si="7">L33+L34</f>
        <v>-64616</v>
      </c>
      <c r="M32" s="389">
        <f t="shared" si="7"/>
        <v>-32234</v>
      </c>
      <c r="N32" s="389">
        <f t="shared" si="7"/>
        <v>-24247</v>
      </c>
      <c r="O32" s="389">
        <f t="shared" si="7"/>
        <v>-94133</v>
      </c>
      <c r="P32" s="389">
        <f t="shared" si="7"/>
        <v>-87608</v>
      </c>
      <c r="Q32" s="389">
        <f t="shared" si="7"/>
        <v>-69128.52</v>
      </c>
    </row>
    <row r="33" spans="1:17" x14ac:dyDescent="0.35">
      <c r="A33" s="172" t="s">
        <v>278</v>
      </c>
      <c r="B33" s="172"/>
      <c r="C33" s="184">
        <v>122854</v>
      </c>
      <c r="D33" s="184">
        <v>52584</v>
      </c>
      <c r="E33" s="184">
        <v>53727.691850000003</v>
      </c>
      <c r="F33" s="184">
        <v>7376.4172299999955</v>
      </c>
      <c r="G33" s="184">
        <v>93568.579899999997</v>
      </c>
      <c r="H33" s="184">
        <v>58389</v>
      </c>
      <c r="I33" s="184">
        <v>145826</v>
      </c>
      <c r="J33" s="184">
        <v>65218</v>
      </c>
      <c r="K33" s="184">
        <v>226126</v>
      </c>
      <c r="L33" s="184">
        <v>172375</v>
      </c>
      <c r="M33" s="184">
        <v>71253</v>
      </c>
      <c r="N33" s="184">
        <v>95734</v>
      </c>
      <c r="O33" s="184">
        <v>127592</v>
      </c>
      <c r="P33" s="184">
        <v>128461</v>
      </c>
      <c r="Q33" s="382">
        <v>99520.966</v>
      </c>
    </row>
    <row r="34" spans="1:17" ht="15" thickBot="1" x14ac:dyDescent="0.4">
      <c r="A34" s="172" t="s">
        <v>279</v>
      </c>
      <c r="B34" s="172"/>
      <c r="C34" s="184">
        <v>-159795</v>
      </c>
      <c r="D34" s="184">
        <v>-80081</v>
      </c>
      <c r="E34" s="184">
        <v>-57203.981459999995</v>
      </c>
      <c r="F34" s="184">
        <v>5403.0886099999925</v>
      </c>
      <c r="G34" s="184">
        <v>-110162.85571</v>
      </c>
      <c r="H34" s="184">
        <v>-74571</v>
      </c>
      <c r="I34" s="184">
        <v>-170346</v>
      </c>
      <c r="J34" s="184">
        <v>-112168</v>
      </c>
      <c r="K34" s="184">
        <v>-262614</v>
      </c>
      <c r="L34" s="184">
        <v>-236991</v>
      </c>
      <c r="M34" s="184">
        <v>-103487</v>
      </c>
      <c r="N34" s="184">
        <v>-119981</v>
      </c>
      <c r="O34" s="184">
        <v>-221725</v>
      </c>
      <c r="P34" s="184">
        <v>-216069</v>
      </c>
      <c r="Q34" s="382">
        <v>-168649.486</v>
      </c>
    </row>
    <row r="35" spans="1:17" ht="15" thickBot="1" x14ac:dyDescent="0.4">
      <c r="A35" s="175" t="s">
        <v>314</v>
      </c>
      <c r="B35" s="172"/>
      <c r="C35" s="185">
        <v>25540.999999999953</v>
      </c>
      <c r="D35" s="185">
        <v>19950</v>
      </c>
      <c r="E35" s="185">
        <v>-29536.246049999954</v>
      </c>
      <c r="F35" s="185">
        <v>633493.00456000038</v>
      </c>
      <c r="G35" s="185">
        <v>90244.159220000249</v>
      </c>
      <c r="H35" s="185">
        <v>115529</v>
      </c>
      <c r="I35" s="185">
        <v>169174</v>
      </c>
      <c r="J35" s="185">
        <v>256090</v>
      </c>
      <c r="K35" s="185">
        <v>70808</v>
      </c>
      <c r="L35" s="176">
        <f t="shared" ref="L35:Q35" si="8">L31+L32</f>
        <v>31627</v>
      </c>
      <c r="M35" s="176">
        <f t="shared" si="8"/>
        <v>88860</v>
      </c>
      <c r="N35" s="176">
        <f t="shared" si="8"/>
        <v>63309</v>
      </c>
      <c r="O35" s="176">
        <f t="shared" si="8"/>
        <v>32808</v>
      </c>
      <c r="P35" s="176">
        <f t="shared" si="8"/>
        <v>87079</v>
      </c>
      <c r="Q35" s="176">
        <f t="shared" si="8"/>
        <v>74567.514000000156</v>
      </c>
    </row>
    <row r="36" spans="1:17" x14ac:dyDescent="0.35">
      <c r="A36" s="172" t="s">
        <v>281</v>
      </c>
      <c r="B36" s="172"/>
      <c r="C36" s="184">
        <v>0</v>
      </c>
      <c r="D36" s="184"/>
      <c r="E36" s="184"/>
      <c r="F36" s="184">
        <v>-27655.668160000001</v>
      </c>
      <c r="G36" s="184">
        <v>-2178.4914399999998</v>
      </c>
      <c r="H36" s="184">
        <v>-9553</v>
      </c>
      <c r="I36" s="184">
        <v>-5589</v>
      </c>
      <c r="J36" s="184">
        <v>301</v>
      </c>
      <c r="K36" s="184">
        <v>-10609</v>
      </c>
      <c r="L36" s="184">
        <v>-2739</v>
      </c>
      <c r="M36" s="184">
        <v>-5344</v>
      </c>
      <c r="N36" s="184">
        <v>-3857</v>
      </c>
      <c r="O36" s="184">
        <v>-4491</v>
      </c>
      <c r="P36" s="184">
        <v>-6640</v>
      </c>
      <c r="Q36" s="382">
        <v>-4866.9930000000004</v>
      </c>
    </row>
    <row r="37" spans="1:17" x14ac:dyDescent="0.35">
      <c r="A37" s="172" t="s">
        <v>282</v>
      </c>
      <c r="B37" s="172"/>
      <c r="C37" s="184">
        <v>0</v>
      </c>
      <c r="D37" s="184"/>
      <c r="E37" s="184"/>
      <c r="F37" s="184">
        <v>-98495.396209999992</v>
      </c>
      <c r="G37" s="184">
        <v>-8493.0087199999998</v>
      </c>
      <c r="H37" s="184">
        <v>-26715</v>
      </c>
      <c r="I37" s="184">
        <v>-22107</v>
      </c>
      <c r="J37" s="184">
        <v>670</v>
      </c>
      <c r="K37" s="184">
        <v>-29620</v>
      </c>
      <c r="L37" s="184">
        <v>-7575</v>
      </c>
      <c r="M37" s="184">
        <v>-15209</v>
      </c>
      <c r="N37" s="184">
        <v>-11148</v>
      </c>
      <c r="O37" s="184">
        <v>-12586</v>
      </c>
      <c r="P37" s="184">
        <v>-18636</v>
      </c>
      <c r="Q37" s="382">
        <v>-13701.191999999999</v>
      </c>
    </row>
    <row r="38" spans="1:17" x14ac:dyDescent="0.35">
      <c r="A38" s="172" t="s">
        <v>283</v>
      </c>
      <c r="B38" s="172"/>
      <c r="C38" s="184">
        <v>0</v>
      </c>
      <c r="D38" s="184"/>
      <c r="E38" s="184"/>
      <c r="F38" s="184">
        <v>-2395.76073</v>
      </c>
      <c r="G38" s="184">
        <v>-19876.762139999999</v>
      </c>
      <c r="H38" s="184">
        <v>13076</v>
      </c>
      <c r="I38" s="184">
        <v>487885</v>
      </c>
      <c r="J38" s="184">
        <v>-83093</v>
      </c>
      <c r="K38" s="184">
        <v>24070</v>
      </c>
      <c r="L38" s="184">
        <v>-9039</v>
      </c>
      <c r="M38" s="184">
        <v>-10603</v>
      </c>
      <c r="N38" s="184">
        <v>268</v>
      </c>
      <c r="O38" s="184">
        <v>4639</v>
      </c>
      <c r="P38" s="184">
        <v>-4953</v>
      </c>
      <c r="Q38" s="382">
        <v>-7200.9589999999998</v>
      </c>
    </row>
    <row r="39" spans="1:17" ht="15" thickBot="1" x14ac:dyDescent="0.4">
      <c r="A39" s="172" t="s">
        <v>284</v>
      </c>
      <c r="B39" s="172"/>
      <c r="C39" s="184">
        <v>0</v>
      </c>
      <c r="D39" s="184"/>
      <c r="E39" s="184"/>
      <c r="F39" s="184">
        <v>98495.396209999992</v>
      </c>
      <c r="G39" s="184">
        <v>8493.0087199999998</v>
      </c>
      <c r="H39" s="184">
        <v>20220</v>
      </c>
      <c r="I39" s="184">
        <v>22107</v>
      </c>
      <c r="J39" s="184">
        <v>2877</v>
      </c>
      <c r="K39" s="184">
        <v>12873</v>
      </c>
      <c r="L39" s="184">
        <v>7485</v>
      </c>
      <c r="M39" s="184">
        <v>14071</v>
      </c>
      <c r="N39" s="184">
        <v>17630</v>
      </c>
      <c r="O39" s="184">
        <v>8602</v>
      </c>
      <c r="P39" s="184">
        <v>16705</v>
      </c>
      <c r="Q39" s="382">
        <v>13087.92</v>
      </c>
    </row>
    <row r="40" spans="1:17" ht="15" thickBot="1" x14ac:dyDescent="0.4">
      <c r="A40" s="175" t="s">
        <v>285</v>
      </c>
      <c r="B40" s="172"/>
      <c r="C40" s="390">
        <v>25540.999999999953</v>
      </c>
      <c r="D40" s="390">
        <v>19950</v>
      </c>
      <c r="E40" s="390">
        <v>-29536.246049999954</v>
      </c>
      <c r="F40" s="390">
        <v>603441.5756700004</v>
      </c>
      <c r="G40" s="390">
        <v>68188.905640000259</v>
      </c>
      <c r="H40" s="390">
        <v>112557</v>
      </c>
      <c r="I40" s="390">
        <v>651470</v>
      </c>
      <c r="J40" s="390">
        <v>176845</v>
      </c>
      <c r="K40" s="390">
        <v>67522</v>
      </c>
      <c r="L40" s="391">
        <f t="shared" ref="L40:Q40" si="9">SUM(L35:L39)</f>
        <v>19759</v>
      </c>
      <c r="M40" s="391">
        <f t="shared" si="9"/>
        <v>71775</v>
      </c>
      <c r="N40" s="391">
        <f t="shared" si="9"/>
        <v>66202</v>
      </c>
      <c r="O40" s="391">
        <f t="shared" si="9"/>
        <v>28972</v>
      </c>
      <c r="P40" s="391">
        <f t="shared" si="9"/>
        <v>73555</v>
      </c>
      <c r="Q40" s="391">
        <f t="shared" si="9"/>
        <v>61886.290000000154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055F-21FF-4A72-B3F1-6172FEBE1AC8}">
  <sheetPr>
    <tabColor theme="9" tint="0.79998168889431442"/>
  </sheetPr>
  <dimension ref="A6:XFD42"/>
  <sheetViews>
    <sheetView zoomScale="85" zoomScaleNormal="85" workbookViewId="0">
      <pane xSplit="1" ySplit="8" topLeftCell="B9" activePane="bottomRight" state="frozen"/>
      <selection activeCell="I26" sqref="I26"/>
      <selection pane="topRight" activeCell="I26" sqref="I26"/>
      <selection pane="bottomLeft" activeCell="I26" sqref="I26"/>
      <selection pane="bottomRight" activeCell="R8" sqref="R8"/>
    </sheetView>
  </sheetViews>
  <sheetFormatPr defaultColWidth="9.1796875" defaultRowHeight="14.5" outlineLevelCol="1" x14ac:dyDescent="0.35"/>
  <cols>
    <col min="1" max="1" width="44.453125" style="37" bestFit="1" customWidth="1"/>
    <col min="2" max="2" width="2" style="37" customWidth="1"/>
    <col min="3" max="9" width="0" style="37" hidden="1" customWidth="1" outlineLevel="1"/>
    <col min="10" max="18" width="9.54296875" style="37" hidden="1" customWidth="1" outlineLevel="1"/>
    <col min="19" max="19" width="9.54296875" style="37" bestFit="1" customWidth="1" collapsed="1"/>
    <col min="20" max="23" width="9.54296875" style="37" bestFit="1" customWidth="1"/>
    <col min="24" max="25" width="9.54296875" style="37" customWidth="1"/>
    <col min="26" max="16384" width="9.1796875" style="37"/>
  </cols>
  <sheetData>
    <row r="6" spans="1:25 16384:16384" ht="15" customHeight="1" x14ac:dyDescent="0.35"/>
    <row r="7" spans="1:25 16384:16384" x14ac:dyDescent="0.35">
      <c r="A7" s="41" t="s">
        <v>546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5 16384:16384" ht="15" thickBot="1" x14ac:dyDescent="0.4">
      <c r="A8" s="589" t="s">
        <v>245</v>
      </c>
      <c r="B8" s="169"/>
      <c r="C8" s="591" t="s">
        <v>61</v>
      </c>
      <c r="D8" s="591" t="s">
        <v>62</v>
      </c>
      <c r="E8" s="591" t="s">
        <v>63</v>
      </c>
      <c r="F8" s="591" t="s">
        <v>64</v>
      </c>
      <c r="G8" s="591" t="s">
        <v>65</v>
      </c>
      <c r="H8" s="591" t="s">
        <v>66</v>
      </c>
      <c r="I8" s="591" t="s">
        <v>67</v>
      </c>
      <c r="J8" s="591" t="s">
        <v>68</v>
      </c>
      <c r="K8" s="591" t="s">
        <v>69</v>
      </c>
      <c r="L8" s="591" t="s">
        <v>70</v>
      </c>
      <c r="M8" s="591" t="s">
        <v>71</v>
      </c>
      <c r="N8" s="591" t="s">
        <v>72</v>
      </c>
      <c r="O8" s="591" t="s">
        <v>73</v>
      </c>
      <c r="P8" s="591" t="s">
        <v>74</v>
      </c>
      <c r="Q8" s="591" t="s">
        <v>75</v>
      </c>
      <c r="R8" s="591" t="s">
        <v>76</v>
      </c>
      <c r="S8" s="591" t="s">
        <v>77</v>
      </c>
      <c r="T8" s="591" t="s">
        <v>78</v>
      </c>
      <c r="U8" s="591" t="s">
        <v>79</v>
      </c>
      <c r="V8" s="591" t="s">
        <v>80</v>
      </c>
      <c r="W8" s="591" t="s">
        <v>81</v>
      </c>
      <c r="X8" s="591" t="s">
        <v>82</v>
      </c>
      <c r="Y8" s="601" t="s">
        <v>83</v>
      </c>
    </row>
    <row r="9" spans="1:25 16384:16384" ht="15" thickBot="1" x14ac:dyDescent="0.4">
      <c r="A9" s="175" t="s">
        <v>246</v>
      </c>
      <c r="B9" s="172"/>
      <c r="C9" s="185">
        <v>658504.35782999895</v>
      </c>
      <c r="D9" s="185">
        <v>1194048.8258400003</v>
      </c>
      <c r="E9" s="185">
        <v>483702.55047000002</v>
      </c>
      <c r="F9" s="185">
        <v>648928.2197299999</v>
      </c>
      <c r="G9" s="185">
        <v>989363.23823000002</v>
      </c>
      <c r="H9" s="185">
        <v>464584</v>
      </c>
      <c r="I9" s="185">
        <v>651564.87428999913</v>
      </c>
      <c r="J9" s="185">
        <v>839076.42932000011</v>
      </c>
      <c r="K9" s="185">
        <v>677030</v>
      </c>
      <c r="L9" s="185">
        <v>597654</v>
      </c>
      <c r="M9" s="185">
        <v>695476.29278999998</v>
      </c>
      <c r="N9" s="185">
        <v>882601.28911999974</v>
      </c>
      <c r="O9" s="185">
        <v>801305.63902</v>
      </c>
      <c r="P9" s="185">
        <v>889387</v>
      </c>
      <c r="Q9" s="185">
        <v>979603</v>
      </c>
      <c r="R9" s="185">
        <v>1152906</v>
      </c>
      <c r="S9" s="185">
        <v>912420</v>
      </c>
      <c r="T9" s="176">
        <f>SUM(T10:T13)</f>
        <v>952571</v>
      </c>
      <c r="U9" s="176">
        <f>SUM(U10:U13)</f>
        <v>852853</v>
      </c>
      <c r="V9" s="176">
        <f>SUM(V10:V13)</f>
        <v>984204</v>
      </c>
      <c r="W9" s="176">
        <f>SUM(W10:W13)</f>
        <v>965315</v>
      </c>
      <c r="X9" s="176">
        <f>SUM(X10:X13)</f>
        <v>1016584</v>
      </c>
      <c r="Y9" s="176">
        <f>SUM(Y10:Y13)</f>
        <v>1079422.6300000001</v>
      </c>
      <c r="XFD9" s="176"/>
    </row>
    <row r="10" spans="1:25 16384:16384" x14ac:dyDescent="0.35">
      <c r="A10" s="172" t="s">
        <v>247</v>
      </c>
      <c r="B10" s="172"/>
      <c r="C10" s="184">
        <v>605768.423669999</v>
      </c>
      <c r="D10" s="184">
        <v>1130371.2183900001</v>
      </c>
      <c r="E10" s="184">
        <v>395036.00101999997</v>
      </c>
      <c r="F10" s="184">
        <v>574280.57511999994</v>
      </c>
      <c r="G10" s="184">
        <v>994324.48768000002</v>
      </c>
      <c r="H10" s="184">
        <v>241757</v>
      </c>
      <c r="I10" s="184">
        <v>484588.5172499991</v>
      </c>
      <c r="J10" s="184">
        <v>713697.48256999999</v>
      </c>
      <c r="K10" s="184">
        <v>610328</v>
      </c>
      <c r="L10" s="184">
        <v>523778</v>
      </c>
      <c r="M10" s="184">
        <v>629074.17027999996</v>
      </c>
      <c r="N10" s="184">
        <v>718179.45228999993</v>
      </c>
      <c r="O10" s="184">
        <v>710148.23576000007</v>
      </c>
      <c r="P10" s="184">
        <v>733069</v>
      </c>
      <c r="Q10" s="184">
        <v>759578</v>
      </c>
      <c r="R10" s="184">
        <v>944395</v>
      </c>
      <c r="S10" s="184">
        <v>770238</v>
      </c>
      <c r="T10" s="184">
        <v>762688</v>
      </c>
      <c r="U10" s="184">
        <v>667352</v>
      </c>
      <c r="V10" s="184">
        <v>773358</v>
      </c>
      <c r="W10" s="184">
        <v>777512</v>
      </c>
      <c r="X10" s="184">
        <v>773463</v>
      </c>
      <c r="Y10" s="382">
        <v>814701.29</v>
      </c>
    </row>
    <row r="11" spans="1:25 16384:16384" x14ac:dyDescent="0.35">
      <c r="A11" s="172" t="s">
        <v>248</v>
      </c>
      <c r="B11" s="172"/>
      <c r="C11" s="184">
        <v>22630.013510000001</v>
      </c>
      <c r="D11" s="184">
        <v>25294.715330000003</v>
      </c>
      <c r="E11" s="184">
        <v>64660.715029999999</v>
      </c>
      <c r="F11" s="184">
        <v>3102.7981299999951</v>
      </c>
      <c r="G11" s="184">
        <v>-861.60133000000019</v>
      </c>
      <c r="H11" s="184">
        <v>1245</v>
      </c>
      <c r="I11" s="184">
        <v>32291.673749999994</v>
      </c>
      <c r="J11" s="184">
        <v>11301.527160000005</v>
      </c>
      <c r="K11" s="184">
        <v>2283</v>
      </c>
      <c r="L11" s="184">
        <v>3146</v>
      </c>
      <c r="M11" s="184">
        <v>12421.68218</v>
      </c>
      <c r="N11" s="184">
        <v>5284.8238499999989</v>
      </c>
      <c r="O11" s="184">
        <v>2728.1345500000002</v>
      </c>
      <c r="P11" s="184">
        <v>24387</v>
      </c>
      <c r="Q11" s="184">
        <v>78418</v>
      </c>
      <c r="R11" s="184">
        <v>52354</v>
      </c>
      <c r="S11" s="184">
        <v>13455</v>
      </c>
      <c r="T11" s="184">
        <v>15871</v>
      </c>
      <c r="U11" s="184">
        <v>28246</v>
      </c>
      <c r="V11" s="184">
        <v>19283</v>
      </c>
      <c r="W11" s="184">
        <v>4076</v>
      </c>
      <c r="X11" s="184">
        <v>4988</v>
      </c>
      <c r="Y11" s="382">
        <v>16118.569</v>
      </c>
    </row>
    <row r="12" spans="1:25 16384:16384" x14ac:dyDescent="0.35">
      <c r="A12" s="172" t="s">
        <v>249</v>
      </c>
      <c r="B12" s="172"/>
      <c r="C12" s="184">
        <v>17311.015910000002</v>
      </c>
      <c r="D12" s="184">
        <v>29989.639629999998</v>
      </c>
      <c r="E12" s="184">
        <v>23352.921350000001</v>
      </c>
      <c r="F12" s="184">
        <v>56074.082629999997</v>
      </c>
      <c r="G12" s="184">
        <v>-8189.204099999999</v>
      </c>
      <c r="H12" s="184">
        <v>18702</v>
      </c>
      <c r="I12" s="184">
        <v>74437.803520000001</v>
      </c>
      <c r="J12" s="184">
        <v>86162.329489999989</v>
      </c>
      <c r="K12" s="184">
        <v>34374</v>
      </c>
      <c r="L12" s="184">
        <v>44709</v>
      </c>
      <c r="M12" s="184">
        <v>17550.876029999999</v>
      </c>
      <c r="N12" s="184">
        <v>101661.91868999998</v>
      </c>
      <c r="O12" s="184">
        <v>49428.803540000001</v>
      </c>
      <c r="P12" s="184">
        <v>58661</v>
      </c>
      <c r="Q12" s="184">
        <v>83179</v>
      </c>
      <c r="R12" s="184">
        <v>103102</v>
      </c>
      <c r="S12" s="184">
        <v>70196</v>
      </c>
      <c r="T12" s="184">
        <v>104488</v>
      </c>
      <c r="U12" s="184">
        <v>109945</v>
      </c>
      <c r="V12" s="184">
        <v>141485</v>
      </c>
      <c r="W12" s="184">
        <v>120198</v>
      </c>
      <c r="X12" s="184">
        <v>168203</v>
      </c>
      <c r="Y12" s="382">
        <v>165968.27799999999</v>
      </c>
    </row>
    <row r="13" spans="1:25 16384:16384" ht="15" thickBot="1" x14ac:dyDescent="0.4">
      <c r="A13" s="172" t="s">
        <v>254</v>
      </c>
      <c r="B13" s="172"/>
      <c r="C13" s="184">
        <v>12794.904739999998</v>
      </c>
      <c r="D13" s="184">
        <v>8393.2524899999989</v>
      </c>
      <c r="E13" s="184">
        <v>652.91307000000211</v>
      </c>
      <c r="F13" s="184">
        <v>15470.763849999998</v>
      </c>
      <c r="G13" s="184">
        <v>4089.5559799999992</v>
      </c>
      <c r="H13" s="184">
        <v>202880</v>
      </c>
      <c r="I13" s="184">
        <v>60246.879769999992</v>
      </c>
      <c r="J13" s="184">
        <v>27916.120100000036</v>
      </c>
      <c r="K13" s="184">
        <v>30045</v>
      </c>
      <c r="L13" s="184">
        <v>26021</v>
      </c>
      <c r="M13" s="184">
        <v>36429.564299999955</v>
      </c>
      <c r="N13" s="184">
        <v>57475.094289999834</v>
      </c>
      <c r="O13" s="184">
        <v>39000.465169999996</v>
      </c>
      <c r="P13" s="184">
        <v>73270</v>
      </c>
      <c r="Q13" s="184">
        <v>58428</v>
      </c>
      <c r="R13" s="184">
        <v>53055</v>
      </c>
      <c r="S13" s="184">
        <v>58531</v>
      </c>
      <c r="T13" s="184">
        <v>69524</v>
      </c>
      <c r="U13" s="184">
        <v>47310</v>
      </c>
      <c r="V13" s="184">
        <v>50078</v>
      </c>
      <c r="W13" s="184">
        <v>63529</v>
      </c>
      <c r="X13" s="184">
        <v>69930</v>
      </c>
      <c r="Y13" s="382">
        <v>82634.493000000002</v>
      </c>
    </row>
    <row r="14" spans="1:25 16384:16384" ht="15" thickBot="1" x14ac:dyDescent="0.4">
      <c r="A14" s="175" t="s">
        <v>305</v>
      </c>
      <c r="B14" s="172"/>
      <c r="C14" s="185">
        <v>-210301.68807999993</v>
      </c>
      <c r="D14" s="185">
        <v>-268008.81332000002</v>
      </c>
      <c r="E14" s="185">
        <v>-200739.51961999995</v>
      </c>
      <c r="F14" s="185">
        <v>-255259.57867000005</v>
      </c>
      <c r="G14" s="185">
        <v>-263931.00686999998</v>
      </c>
      <c r="H14" s="185">
        <v>-116540</v>
      </c>
      <c r="I14" s="185">
        <v>-201461.49237000011</v>
      </c>
      <c r="J14" s="185">
        <v>-194988.50759000005</v>
      </c>
      <c r="K14" s="185">
        <v>-218149</v>
      </c>
      <c r="L14" s="185">
        <v>-178340</v>
      </c>
      <c r="M14" s="185">
        <v>-155935.12738999998</v>
      </c>
      <c r="N14" s="185">
        <v>-177405.69899</v>
      </c>
      <c r="O14" s="185">
        <v>-231437.65985</v>
      </c>
      <c r="P14" s="185">
        <v>-254917</v>
      </c>
      <c r="Q14" s="185">
        <v>-260256</v>
      </c>
      <c r="R14" s="185">
        <v>-320251</v>
      </c>
      <c r="S14" s="185">
        <v>-330329</v>
      </c>
      <c r="T14" s="185">
        <v>-330690</v>
      </c>
      <c r="U14" s="185">
        <v>-229641</v>
      </c>
      <c r="V14" s="185">
        <v>-255069</v>
      </c>
      <c r="W14" s="185">
        <v>-262443</v>
      </c>
      <c r="X14" s="185">
        <v>-301266</v>
      </c>
      <c r="Y14" s="384">
        <v>-306565.54300000001</v>
      </c>
    </row>
    <row r="15" spans="1:25 16384:16384" ht="15" thickBot="1" x14ac:dyDescent="0.4">
      <c r="A15" s="175" t="s">
        <v>256</v>
      </c>
      <c r="B15" s="173"/>
      <c r="C15" s="388">
        <v>448202.66974999901</v>
      </c>
      <c r="D15" s="388">
        <v>926040.01252000034</v>
      </c>
      <c r="E15" s="388">
        <v>282963.0308500001</v>
      </c>
      <c r="F15" s="388">
        <v>393668.64105999982</v>
      </c>
      <c r="G15" s="388">
        <v>725432.23136000009</v>
      </c>
      <c r="H15" s="388">
        <v>348044</v>
      </c>
      <c r="I15" s="388">
        <v>450103.38191999902</v>
      </c>
      <c r="J15" s="388">
        <v>644087.92173000006</v>
      </c>
      <c r="K15" s="388">
        <v>458881</v>
      </c>
      <c r="L15" s="388">
        <v>419314</v>
      </c>
      <c r="M15" s="388">
        <v>539541.16540000006</v>
      </c>
      <c r="N15" s="388">
        <v>705194.59012999968</v>
      </c>
      <c r="O15" s="388">
        <v>569866.97916999995</v>
      </c>
      <c r="P15" s="388">
        <v>634470</v>
      </c>
      <c r="Q15" s="388">
        <v>719347</v>
      </c>
      <c r="R15" s="388">
        <v>832655</v>
      </c>
      <c r="S15" s="388">
        <v>582091</v>
      </c>
      <c r="T15" s="389">
        <f>T9+T14</f>
        <v>621881</v>
      </c>
      <c r="U15" s="389">
        <f>U9+U14</f>
        <v>623212</v>
      </c>
      <c r="V15" s="389">
        <f>V9+V14</f>
        <v>729135</v>
      </c>
      <c r="W15" s="389">
        <f>W9+W14</f>
        <v>702872</v>
      </c>
      <c r="X15" s="389">
        <f>X9+X14</f>
        <v>715318</v>
      </c>
      <c r="Y15" s="389">
        <f>Y9+Y14</f>
        <v>772857.08700000006</v>
      </c>
    </row>
    <row r="16" spans="1:25 16384:16384" ht="15" thickBot="1" x14ac:dyDescent="0.4">
      <c r="A16" s="175" t="s">
        <v>257</v>
      </c>
      <c r="B16" s="173"/>
      <c r="C16" s="388">
        <v>-294409.83071000001</v>
      </c>
      <c r="D16" s="388">
        <v>-306031.92553000001</v>
      </c>
      <c r="E16" s="388">
        <v>-352299.40831999999</v>
      </c>
      <c r="F16" s="388">
        <v>-310198.50001000002</v>
      </c>
      <c r="G16" s="388">
        <v>-287860.17107000004</v>
      </c>
      <c r="H16" s="388">
        <v>-280268</v>
      </c>
      <c r="I16" s="388">
        <v>-338425.2980699999</v>
      </c>
      <c r="J16" s="388">
        <v>-356341.99190000002</v>
      </c>
      <c r="K16" s="388">
        <v>-319113</v>
      </c>
      <c r="L16" s="388">
        <v>-288822</v>
      </c>
      <c r="M16" s="388">
        <v>-297750.31149999989</v>
      </c>
      <c r="N16" s="388">
        <v>-466896.54903999995</v>
      </c>
      <c r="O16" s="388">
        <v>-389117.65203999996</v>
      </c>
      <c r="P16" s="388">
        <v>-374284</v>
      </c>
      <c r="Q16" s="388">
        <v>-537486</v>
      </c>
      <c r="R16" s="388">
        <v>-609607</v>
      </c>
      <c r="S16" s="388">
        <v>-389868</v>
      </c>
      <c r="T16" s="389">
        <f>SUM(T17:T19)</f>
        <v>-409885</v>
      </c>
      <c r="U16" s="389">
        <f>SUM(U17:U19)</f>
        <v>-423579</v>
      </c>
      <c r="V16" s="389">
        <f>SUM(V17:V19)</f>
        <v>-480736</v>
      </c>
      <c r="W16" s="389">
        <f>SUM(W17:W19)</f>
        <v>-454789</v>
      </c>
      <c r="X16" s="389">
        <f>SUM(X17:X19)</f>
        <v>-498493</v>
      </c>
      <c r="Y16" s="389">
        <f>SUM(Y17:Y19)</f>
        <v>-499905.59700000001</v>
      </c>
    </row>
    <row r="17" spans="1:25" x14ac:dyDescent="0.35">
      <c r="A17" s="172" t="s">
        <v>258</v>
      </c>
      <c r="B17" s="173"/>
      <c r="C17" s="184">
        <v>-235131.75207999998</v>
      </c>
      <c r="D17" s="184">
        <v>-230578.753</v>
      </c>
      <c r="E17" s="184">
        <v>-299393.41771999997</v>
      </c>
      <c r="F17" s="184">
        <v>-217752.76385999998</v>
      </c>
      <c r="G17" s="184">
        <v>-260189.50255</v>
      </c>
      <c r="H17" s="184">
        <v>-236897</v>
      </c>
      <c r="I17" s="184">
        <v>-221142.02098999987</v>
      </c>
      <c r="J17" s="184">
        <v>-219094.74327999994</v>
      </c>
      <c r="K17" s="184">
        <v>-227248</v>
      </c>
      <c r="L17" s="184">
        <v>-192972</v>
      </c>
      <c r="M17" s="184">
        <v>-198624.30350999991</v>
      </c>
      <c r="N17" s="184">
        <v>-283795.00646</v>
      </c>
      <c r="O17" s="184">
        <v>-263376.39759999997</v>
      </c>
      <c r="P17" s="184">
        <v>-238298</v>
      </c>
      <c r="Q17" s="184">
        <v>-389055</v>
      </c>
      <c r="R17" s="184">
        <v>-438751</v>
      </c>
      <c r="S17" s="184">
        <v>-317202</v>
      </c>
      <c r="T17" s="184">
        <v>-303114</v>
      </c>
      <c r="U17" s="184">
        <v>-311025</v>
      </c>
      <c r="V17" s="184">
        <v>-336525</v>
      </c>
      <c r="W17" s="184">
        <v>-331778</v>
      </c>
      <c r="X17" s="184">
        <v>-327869</v>
      </c>
      <c r="Y17" s="382">
        <v>-331277.22899999999</v>
      </c>
    </row>
    <row r="18" spans="1:25" x14ac:dyDescent="0.35">
      <c r="A18" s="172" t="s">
        <v>260</v>
      </c>
      <c r="B18" s="173"/>
      <c r="C18" s="184">
        <v>-41967.062720000002</v>
      </c>
      <c r="D18" s="184">
        <v>-45463.532900000006</v>
      </c>
      <c r="E18" s="184">
        <v>-29553.069249999982</v>
      </c>
      <c r="F18" s="184">
        <v>-36371.653520000029</v>
      </c>
      <c r="G18" s="184">
        <v>-35859.872619999995</v>
      </c>
      <c r="H18" s="184">
        <v>-24669</v>
      </c>
      <c r="I18" s="184">
        <v>-42845.473559999999</v>
      </c>
      <c r="J18" s="184">
        <v>-51084.919130000009</v>
      </c>
      <c r="K18" s="184">
        <v>-57491</v>
      </c>
      <c r="L18" s="184">
        <v>-51141</v>
      </c>
      <c r="M18" s="184">
        <v>-81575.131960000013</v>
      </c>
      <c r="N18" s="184">
        <v>-81439.623890000003</v>
      </c>
      <c r="O18" s="184">
        <v>-76312.450900000011</v>
      </c>
      <c r="P18" s="184">
        <v>-77325</v>
      </c>
      <c r="Q18" s="184">
        <v>-65252</v>
      </c>
      <c r="R18" s="184">
        <v>-67754</v>
      </c>
      <c r="S18" s="184">
        <v>-2470</v>
      </c>
      <c r="T18" s="184">
        <v>-2283</v>
      </c>
      <c r="U18" s="184">
        <v>-2609</v>
      </c>
      <c r="V18" s="184">
        <v>-2726</v>
      </c>
      <c r="W18" s="184">
        <v>-2813</v>
      </c>
      <c r="X18" s="184">
        <v>-2421</v>
      </c>
      <c r="Y18" s="382">
        <v>-2660.09</v>
      </c>
    </row>
    <row r="19" spans="1:25" ht="15" thickBot="1" x14ac:dyDescent="0.4">
      <c r="A19" s="172" t="s">
        <v>261</v>
      </c>
      <c r="B19" s="173"/>
      <c r="C19" s="184">
        <v>-17311.015910000002</v>
      </c>
      <c r="D19" s="184">
        <v>-29989.639629999998</v>
      </c>
      <c r="E19" s="184">
        <v>-23352.921350000001</v>
      </c>
      <c r="F19" s="184">
        <v>-56074.082629999997</v>
      </c>
      <c r="G19" s="184">
        <v>8189.204099999999</v>
      </c>
      <c r="H19" s="184">
        <v>-18702</v>
      </c>
      <c r="I19" s="184">
        <v>-74437.803520000001</v>
      </c>
      <c r="J19" s="184">
        <v>-86162.329489999989</v>
      </c>
      <c r="K19" s="184">
        <v>-34374</v>
      </c>
      <c r="L19" s="184">
        <v>-44709</v>
      </c>
      <c r="M19" s="184">
        <v>-17550.876029999999</v>
      </c>
      <c r="N19" s="184">
        <v>-101661.91868999998</v>
      </c>
      <c r="O19" s="184">
        <v>-49428.803540000001</v>
      </c>
      <c r="P19" s="184">
        <v>-58661</v>
      </c>
      <c r="Q19" s="184">
        <v>-83179</v>
      </c>
      <c r="R19" s="184">
        <v>-103102</v>
      </c>
      <c r="S19" s="184">
        <v>-70196</v>
      </c>
      <c r="T19" s="184">
        <v>-104488</v>
      </c>
      <c r="U19" s="184">
        <v>-109945</v>
      </c>
      <c r="V19" s="184">
        <v>-141485</v>
      </c>
      <c r="W19" s="184">
        <v>-120198</v>
      </c>
      <c r="X19" s="184">
        <v>-168203</v>
      </c>
      <c r="Y19" s="382">
        <v>-165968.27799999999</v>
      </c>
    </row>
    <row r="20" spans="1:25" ht="15" thickBot="1" x14ac:dyDescent="0.4">
      <c r="A20" s="175" t="s">
        <v>263</v>
      </c>
      <c r="B20" s="173"/>
      <c r="C20" s="185">
        <v>153792.839039999</v>
      </c>
      <c r="D20" s="185">
        <v>620008.08699000033</v>
      </c>
      <c r="E20" s="185">
        <v>-69336.37746999989</v>
      </c>
      <c r="F20" s="185">
        <v>83470.141049999802</v>
      </c>
      <c r="G20" s="185">
        <v>437572.06029000005</v>
      </c>
      <c r="H20" s="185">
        <v>67775</v>
      </c>
      <c r="I20" s="185">
        <v>111678.08384999912</v>
      </c>
      <c r="J20" s="185">
        <v>287745.92983000004</v>
      </c>
      <c r="K20" s="185">
        <v>139768</v>
      </c>
      <c r="L20" s="185">
        <v>130492</v>
      </c>
      <c r="M20" s="185">
        <v>241790.85390000016</v>
      </c>
      <c r="N20" s="185">
        <v>238298.04108999972</v>
      </c>
      <c r="O20" s="185">
        <v>180749.32712999999</v>
      </c>
      <c r="P20" s="185">
        <v>260186</v>
      </c>
      <c r="Q20" s="185">
        <v>181861</v>
      </c>
      <c r="R20" s="185">
        <v>223048</v>
      </c>
      <c r="S20" s="185">
        <v>192223</v>
      </c>
      <c r="T20" s="176">
        <f t="shared" ref="T20:Y20" si="0">T15+T16</f>
        <v>211996</v>
      </c>
      <c r="U20" s="176">
        <f t="shared" si="0"/>
        <v>199633</v>
      </c>
      <c r="V20" s="176">
        <f t="shared" si="0"/>
        <v>248399</v>
      </c>
      <c r="W20" s="176">
        <f t="shared" si="0"/>
        <v>248083</v>
      </c>
      <c r="X20" s="176">
        <f t="shared" si="0"/>
        <v>216825</v>
      </c>
      <c r="Y20" s="176">
        <f t="shared" si="0"/>
        <v>272951.49000000005</v>
      </c>
    </row>
    <row r="21" spans="1:25" ht="15" thickBot="1" x14ac:dyDescent="0.4">
      <c r="A21" s="175" t="s">
        <v>264</v>
      </c>
      <c r="B21" s="173"/>
      <c r="C21" s="185">
        <v>-142300.5467699999</v>
      </c>
      <c r="D21" s="185">
        <v>-115458.84178000005</v>
      </c>
      <c r="E21" s="185">
        <v>-137740.50758000009</v>
      </c>
      <c r="F21" s="185">
        <v>-168574.73372999975</v>
      </c>
      <c r="G21" s="185">
        <v>-159642.56565000035</v>
      </c>
      <c r="H21" s="185">
        <v>-6588</v>
      </c>
      <c r="I21" s="185">
        <v>-44546.03733000029</v>
      </c>
      <c r="J21" s="185">
        <v>-108864.41686999967</v>
      </c>
      <c r="K21" s="185">
        <v>-70218</v>
      </c>
      <c r="L21" s="185">
        <v>-69471</v>
      </c>
      <c r="M21" s="185">
        <v>-87188.052989999996</v>
      </c>
      <c r="N21" s="185">
        <v>4098.8225000000011</v>
      </c>
      <c r="O21" s="185">
        <v>-80439.881170000008</v>
      </c>
      <c r="P21" s="185">
        <v>-72239</v>
      </c>
      <c r="Q21" s="185">
        <v>-40910</v>
      </c>
      <c r="R21" s="185">
        <v>31436</v>
      </c>
      <c r="S21" s="185">
        <v>-83016</v>
      </c>
      <c r="T21" s="176">
        <f t="shared" ref="T21:Y21" si="1">SUM(T22:T27)</f>
        <v>-74468</v>
      </c>
      <c r="U21" s="176">
        <f t="shared" si="1"/>
        <v>-95536</v>
      </c>
      <c r="V21" s="176">
        <f t="shared" si="1"/>
        <v>-121034</v>
      </c>
      <c r="W21" s="176">
        <f t="shared" si="1"/>
        <v>-89343</v>
      </c>
      <c r="X21" s="176">
        <f t="shared" si="1"/>
        <v>-64122</v>
      </c>
      <c r="Y21" s="176">
        <f t="shared" si="1"/>
        <v>-84962.979999999981</v>
      </c>
    </row>
    <row r="22" spans="1:25" x14ac:dyDescent="0.35">
      <c r="A22" s="172" t="s">
        <v>265</v>
      </c>
      <c r="B22" s="173"/>
      <c r="C22" s="184">
        <v>-42326.036389999994</v>
      </c>
      <c r="D22" s="184">
        <v>-43954.471440000008</v>
      </c>
      <c r="E22" s="184">
        <v>-51787.666909999978</v>
      </c>
      <c r="F22" s="184">
        <v>-55777.083260000014</v>
      </c>
      <c r="G22" s="184">
        <v>-49265.583720000039</v>
      </c>
      <c r="H22" s="184">
        <v>-82381.229979999989</v>
      </c>
      <c r="I22" s="184">
        <v>-6841.895620000083</v>
      </c>
      <c r="J22" s="184">
        <v>-22548.413969999936</v>
      </c>
      <c r="K22" s="184">
        <v>-19607</v>
      </c>
      <c r="L22" s="184">
        <v>-11825</v>
      </c>
      <c r="M22" s="184">
        <v>-21232.335259999996</v>
      </c>
      <c r="N22" s="184">
        <v>-23983.571100000001</v>
      </c>
      <c r="O22" s="184">
        <v>-19965.651689999995</v>
      </c>
      <c r="P22" s="184">
        <v>-18099</v>
      </c>
      <c r="Q22" s="184">
        <v>-17889</v>
      </c>
      <c r="R22" s="184">
        <v>-22714</v>
      </c>
      <c r="S22" s="184">
        <v>-17582</v>
      </c>
      <c r="T22" s="184">
        <v>-16816</v>
      </c>
      <c r="U22" s="184">
        <v>-18552</v>
      </c>
      <c r="V22" s="184">
        <v>-22189</v>
      </c>
      <c r="W22" s="184">
        <v>-19209</v>
      </c>
      <c r="X22" s="184">
        <v>-20738</v>
      </c>
      <c r="Y22" s="382">
        <v>-20981.951000000001</v>
      </c>
    </row>
    <row r="23" spans="1:25" x14ac:dyDescent="0.35">
      <c r="A23" s="172" t="s">
        <v>266</v>
      </c>
      <c r="B23" s="173"/>
      <c r="C23" s="184">
        <v>-536.97892999999999</v>
      </c>
      <c r="D23" s="184">
        <v>-838.26003999999989</v>
      </c>
      <c r="E23" s="184">
        <v>-645.72046999999998</v>
      </c>
      <c r="F23" s="184">
        <v>-683.86412000000007</v>
      </c>
      <c r="G23" s="184">
        <v>-704.36478999999986</v>
      </c>
      <c r="H23" s="184">
        <v>10.334530000000028</v>
      </c>
      <c r="I23" s="184">
        <v>-1167.5816800000002</v>
      </c>
      <c r="J23" s="184">
        <v>-1850.9565899999993</v>
      </c>
      <c r="K23" s="184">
        <v>-947</v>
      </c>
      <c r="L23" s="184">
        <v>-821</v>
      </c>
      <c r="M23" s="184">
        <v>-1236.43842</v>
      </c>
      <c r="N23" s="184">
        <v>-1026.4361800000001</v>
      </c>
      <c r="O23" s="184">
        <v>-2222.7870099999996</v>
      </c>
      <c r="P23" s="184">
        <v>-1787</v>
      </c>
      <c r="Q23" s="184">
        <v>-1328</v>
      </c>
      <c r="R23" s="184">
        <v>-2098</v>
      </c>
      <c r="S23" s="184">
        <v>-4802</v>
      </c>
      <c r="T23" s="184">
        <v>-2295</v>
      </c>
      <c r="U23" s="184">
        <v>-2343</v>
      </c>
      <c r="V23" s="184">
        <v>-3574</v>
      </c>
      <c r="W23" s="184">
        <v>-2399</v>
      </c>
      <c r="X23" s="184">
        <v>-1695</v>
      </c>
      <c r="Y23" s="382">
        <v>-1752.7329999999999</v>
      </c>
    </row>
    <row r="24" spans="1:25" x14ac:dyDescent="0.35">
      <c r="A24" s="172" t="s">
        <v>267</v>
      </c>
      <c r="B24" s="387"/>
      <c r="C24" s="184">
        <v>-21339.462799999994</v>
      </c>
      <c r="D24" s="184">
        <v>-38905.595620000007</v>
      </c>
      <c r="E24" s="184">
        <v>-36500.729639999998</v>
      </c>
      <c r="F24" s="184">
        <v>-40177.430109999987</v>
      </c>
      <c r="G24" s="184">
        <v>-25829.474700000002</v>
      </c>
      <c r="H24" s="184">
        <v>-26337.930380000002</v>
      </c>
      <c r="I24" s="184">
        <v>-28249.578950000039</v>
      </c>
      <c r="J24" s="184">
        <v>-34658.943459999951</v>
      </c>
      <c r="K24" s="184">
        <v>-30040</v>
      </c>
      <c r="L24" s="184">
        <v>-31524</v>
      </c>
      <c r="M24" s="184">
        <v>-31685.647340000003</v>
      </c>
      <c r="N24" s="184">
        <v>-34559.777969999996</v>
      </c>
      <c r="O24" s="184">
        <v>-37055.132120000009</v>
      </c>
      <c r="P24" s="184">
        <v>-37300</v>
      </c>
      <c r="Q24" s="184">
        <v>-38261</v>
      </c>
      <c r="R24" s="184">
        <v>-48185</v>
      </c>
      <c r="S24" s="184">
        <v>-40170</v>
      </c>
      <c r="T24" s="184">
        <v>-42851</v>
      </c>
      <c r="U24" s="184">
        <v>-41957</v>
      </c>
      <c r="V24" s="184">
        <v>-74863</v>
      </c>
      <c r="W24" s="184">
        <v>-43261</v>
      </c>
      <c r="X24" s="184">
        <v>-38245</v>
      </c>
      <c r="Y24" s="382">
        <v>-46209.572</v>
      </c>
    </row>
    <row r="25" spans="1:25" x14ac:dyDescent="0.35">
      <c r="A25" s="172" t="s">
        <v>268</v>
      </c>
      <c r="B25" s="173"/>
      <c r="C25" s="184">
        <v>-71299.602249999953</v>
      </c>
      <c r="D25" s="184">
        <v>-26636.986970000024</v>
      </c>
      <c r="E25" s="184">
        <v>-40576.941660000135</v>
      </c>
      <c r="F25" s="184">
        <v>-55760.396509999729</v>
      </c>
      <c r="G25" s="184">
        <v>-79630.101320000307</v>
      </c>
      <c r="H25" s="184">
        <v>57828</v>
      </c>
      <c r="I25" s="184">
        <v>-7614.2407500001573</v>
      </c>
      <c r="J25" s="184">
        <v>-47522.586969999786</v>
      </c>
      <c r="K25" s="184">
        <v>-17890</v>
      </c>
      <c r="L25" s="184">
        <v>-21914</v>
      </c>
      <c r="M25" s="184">
        <v>-10519.94378</v>
      </c>
      <c r="N25" s="184">
        <v>56624.225960000003</v>
      </c>
      <c r="O25" s="184">
        <v>-15023.319889999999</v>
      </c>
      <c r="P25" s="184">
        <v>-12720</v>
      </c>
      <c r="Q25" s="184">
        <v>17065</v>
      </c>
      <c r="R25" s="184">
        <v>111278</v>
      </c>
      <c r="S25" s="184">
        <v>-18165</v>
      </c>
      <c r="T25" s="184">
        <v>-7589</v>
      </c>
      <c r="U25" s="184">
        <v>-17819</v>
      </c>
      <c r="V25" s="184">
        <v>-16656</v>
      </c>
      <c r="W25" s="184">
        <v>-14656</v>
      </c>
      <c r="X25" s="184">
        <v>-5963</v>
      </c>
      <c r="Y25" s="382">
        <v>-11462.093000000001</v>
      </c>
    </row>
    <row r="26" spans="1:25" x14ac:dyDescent="0.35">
      <c r="A26" s="172" t="s">
        <v>270</v>
      </c>
      <c r="B26" s="173"/>
      <c r="C26" s="184">
        <v>-5686.313659999998</v>
      </c>
      <c r="D26" s="184">
        <v>-3166.5923800000005</v>
      </c>
      <c r="E26" s="184">
        <v>-10509.707059999999</v>
      </c>
      <c r="F26" s="184">
        <v>-15886.61191</v>
      </c>
      <c r="G26" s="184">
        <v>-4213.041119999999</v>
      </c>
      <c r="H26" s="184">
        <v>44300</v>
      </c>
      <c r="I26" s="184">
        <v>198.02544999999373</v>
      </c>
      <c r="J26" s="184">
        <v>-5269.9086899999893</v>
      </c>
      <c r="K26" s="184">
        <v>-1757</v>
      </c>
      <c r="L26" s="184">
        <v>-3381</v>
      </c>
      <c r="M26" s="184">
        <v>-260.93634000000009</v>
      </c>
      <c r="N26" s="184">
        <v>11637.740019999997</v>
      </c>
      <c r="O26" s="184">
        <v>-1054.2181600000001</v>
      </c>
      <c r="P26" s="184">
        <v>-622</v>
      </c>
      <c r="Q26" s="184">
        <v>-920</v>
      </c>
      <c r="R26" s="184">
        <v>-3343</v>
      </c>
      <c r="S26" s="184">
        <v>-1950</v>
      </c>
      <c r="T26" s="184">
        <v>-817</v>
      </c>
      <c r="U26" s="184">
        <v>-1339</v>
      </c>
      <c r="V26" s="184">
        <v>-1990</v>
      </c>
      <c r="W26" s="184">
        <v>-1041</v>
      </c>
      <c r="X26" s="184">
        <v>-348</v>
      </c>
      <c r="Y26" s="382">
        <v>-313.61200000000002</v>
      </c>
    </row>
    <row r="27" spans="1:25" x14ac:dyDescent="0.35">
      <c r="A27" s="172" t="s">
        <v>271</v>
      </c>
      <c r="B27" s="172"/>
      <c r="C27" s="184">
        <v>-1112.1527400000002</v>
      </c>
      <c r="D27" s="184">
        <v>-1956.93533</v>
      </c>
      <c r="E27" s="184">
        <v>2280.2581600000003</v>
      </c>
      <c r="F27" s="184">
        <v>-289.34781999999996</v>
      </c>
      <c r="G27" s="184"/>
      <c r="H27" s="184"/>
      <c r="I27" s="184">
        <v>-870.76578000000006</v>
      </c>
      <c r="J27" s="184">
        <v>2986.3928099999994</v>
      </c>
      <c r="K27" s="184">
        <v>23</v>
      </c>
      <c r="L27" s="184">
        <v>-6</v>
      </c>
      <c r="M27" s="184">
        <v>-22252.751850000001</v>
      </c>
      <c r="N27" s="184">
        <v>-4593.3582299999989</v>
      </c>
      <c r="O27" s="184">
        <v>-5118.7722999999996</v>
      </c>
      <c r="P27" s="184">
        <v>-1711</v>
      </c>
      <c r="Q27" s="184">
        <v>423</v>
      </c>
      <c r="R27" s="184">
        <v>-3502</v>
      </c>
      <c r="S27" s="184">
        <v>-347</v>
      </c>
      <c r="T27" s="184">
        <v>-4100</v>
      </c>
      <c r="U27" s="184">
        <v>-13526</v>
      </c>
      <c r="V27" s="184">
        <v>-1762</v>
      </c>
      <c r="W27" s="184">
        <v>-8777</v>
      </c>
      <c r="X27" s="184">
        <v>2867</v>
      </c>
      <c r="Y27" s="382">
        <v>-4243.0190000000002</v>
      </c>
    </row>
    <row r="28" spans="1:25" x14ac:dyDescent="0.35">
      <c r="A28" s="596" t="s">
        <v>272</v>
      </c>
      <c r="B28" s="377"/>
      <c r="C28" s="593">
        <v>11492.292269999103</v>
      </c>
      <c r="D28" s="593">
        <v>504549.24521000031</v>
      </c>
      <c r="E28" s="593">
        <v>-207076.88504999998</v>
      </c>
      <c r="F28" s="593">
        <v>-85104.592679999943</v>
      </c>
      <c r="G28" s="593">
        <v>277929.4946399997</v>
      </c>
      <c r="H28" s="593">
        <v>61118</v>
      </c>
      <c r="I28" s="593">
        <v>67132.046519998839</v>
      </c>
      <c r="J28" s="593">
        <v>178881.51296000031</v>
      </c>
      <c r="K28" s="593">
        <v>69549.999999999971</v>
      </c>
      <c r="L28" s="593">
        <v>61021</v>
      </c>
      <c r="M28" s="593">
        <v>154602.80091000017</v>
      </c>
      <c r="N28" s="593">
        <v>242396.86358999973</v>
      </c>
      <c r="O28" s="593">
        <v>100309.44595999998</v>
      </c>
      <c r="P28" s="593">
        <v>187947</v>
      </c>
      <c r="Q28" s="593">
        <v>140951</v>
      </c>
      <c r="R28" s="593">
        <v>254484</v>
      </c>
      <c r="S28" s="593">
        <v>109207</v>
      </c>
      <c r="T28" s="603">
        <f t="shared" ref="T28:Y28" si="2">T15+T16+T21</f>
        <v>137528</v>
      </c>
      <c r="U28" s="603">
        <f t="shared" si="2"/>
        <v>104097</v>
      </c>
      <c r="V28" s="603">
        <f t="shared" si="2"/>
        <v>127365</v>
      </c>
      <c r="W28" s="603">
        <f t="shared" si="2"/>
        <v>158740</v>
      </c>
      <c r="X28" s="603">
        <f t="shared" si="2"/>
        <v>152703</v>
      </c>
      <c r="Y28" s="604">
        <f t="shared" si="2"/>
        <v>187988.51000000007</v>
      </c>
    </row>
    <row r="29" spans="1:25" ht="15" thickBot="1" x14ac:dyDescent="0.4">
      <c r="A29" s="172" t="s">
        <v>273</v>
      </c>
      <c r="B29" s="172"/>
      <c r="C29" s="184">
        <v>-11682.0026</v>
      </c>
      <c r="D29" s="184">
        <v>-11899.209639999997</v>
      </c>
      <c r="E29" s="184">
        <v>-12082.478210000001</v>
      </c>
      <c r="F29" s="184">
        <v>-12305.633469999997</v>
      </c>
      <c r="G29" s="184">
        <v>-12380.893869999998</v>
      </c>
      <c r="H29" s="184">
        <v>-11184</v>
      </c>
      <c r="I29" s="184">
        <v>-12577.533130000007</v>
      </c>
      <c r="J29" s="184">
        <v>-15858.80631</v>
      </c>
      <c r="K29" s="184">
        <v>-19095</v>
      </c>
      <c r="L29" s="184">
        <v>-15434</v>
      </c>
      <c r="M29" s="184">
        <v>-12339.795990000002</v>
      </c>
      <c r="N29" s="184">
        <v>-16317.357709999991</v>
      </c>
      <c r="O29" s="184">
        <v>-16456.390609999999</v>
      </c>
      <c r="P29" s="184">
        <v>-17511</v>
      </c>
      <c r="Q29" s="184">
        <v>-18342</v>
      </c>
      <c r="R29" s="184">
        <v>-19469</v>
      </c>
      <c r="S29" s="184">
        <v>-19019</v>
      </c>
      <c r="T29" s="184">
        <v>-19583</v>
      </c>
      <c r="U29" s="184">
        <v>-19962</v>
      </c>
      <c r="V29" s="184">
        <v>-24673</v>
      </c>
      <c r="W29" s="184">
        <v>-9557</v>
      </c>
      <c r="X29" s="184">
        <v>-21899</v>
      </c>
      <c r="Y29" s="382">
        <v>-23638.81</v>
      </c>
    </row>
    <row r="30" spans="1:25" ht="15" thickBot="1" x14ac:dyDescent="0.4">
      <c r="A30" s="175" t="s">
        <v>274</v>
      </c>
      <c r="B30" s="172"/>
      <c r="C30" s="185">
        <v>-189.71033000089665</v>
      </c>
      <c r="D30" s="185">
        <v>492650.0355700003</v>
      </c>
      <c r="E30" s="185">
        <v>-219159.36325999998</v>
      </c>
      <c r="F30" s="185">
        <v>-97410.226149999944</v>
      </c>
      <c r="G30" s="185">
        <v>265548.60076999973</v>
      </c>
      <c r="H30" s="185">
        <v>50004</v>
      </c>
      <c r="I30" s="185">
        <v>54554.513389998829</v>
      </c>
      <c r="J30" s="185">
        <v>163022.70665000036</v>
      </c>
      <c r="K30" s="185">
        <v>50454.999999999971</v>
      </c>
      <c r="L30" s="185">
        <v>45587</v>
      </c>
      <c r="M30" s="185">
        <v>142263.00492000015</v>
      </c>
      <c r="N30" s="185">
        <v>226079.50587999975</v>
      </c>
      <c r="O30" s="185">
        <v>83853.055349999981</v>
      </c>
      <c r="P30" s="185">
        <v>170436</v>
      </c>
      <c r="Q30" s="185">
        <v>122609</v>
      </c>
      <c r="R30" s="185">
        <v>235015</v>
      </c>
      <c r="S30" s="185">
        <v>90188</v>
      </c>
      <c r="T30" s="176">
        <f t="shared" ref="T30:Y30" si="3">SUM(T28:T29)</f>
        <v>117945</v>
      </c>
      <c r="U30" s="176">
        <f t="shared" si="3"/>
        <v>84135</v>
      </c>
      <c r="V30" s="176">
        <f t="shared" si="3"/>
        <v>102692</v>
      </c>
      <c r="W30" s="176">
        <f t="shared" si="3"/>
        <v>149183</v>
      </c>
      <c r="X30" s="176">
        <f t="shared" si="3"/>
        <v>130804</v>
      </c>
      <c r="Y30" s="176">
        <f t="shared" si="3"/>
        <v>164349.70000000007</v>
      </c>
    </row>
    <row r="31" spans="1:25" ht="15" thickBot="1" x14ac:dyDescent="0.4">
      <c r="A31" s="175" t="s">
        <v>277</v>
      </c>
      <c r="B31" s="172"/>
      <c r="C31" s="388">
        <v>-21811.578169999972</v>
      </c>
      <c r="D31" s="388">
        <v>16770.984799999998</v>
      </c>
      <c r="E31" s="388">
        <v>-26784.094129999998</v>
      </c>
      <c r="F31" s="388">
        <v>-20850.216300000015</v>
      </c>
      <c r="G31" s="388">
        <v>-40190.493019999994</v>
      </c>
      <c r="H31" s="388">
        <v>-4137</v>
      </c>
      <c r="I31" s="388">
        <v>-12200.839469999992</v>
      </c>
      <c r="J31" s="388">
        <v>-165365.06757999992</v>
      </c>
      <c r="K31" s="388">
        <v>-17919.000000000004</v>
      </c>
      <c r="L31" s="388">
        <v>-9004</v>
      </c>
      <c r="M31" s="388">
        <v>-4485.1860799999922</v>
      </c>
      <c r="N31" s="388">
        <v>20634.120440000021</v>
      </c>
      <c r="O31" s="388">
        <v>-14144.049780000016</v>
      </c>
      <c r="P31" s="388">
        <v>15907</v>
      </c>
      <c r="Q31" s="388">
        <v>18210</v>
      </c>
      <c r="R31" s="388">
        <v>31184</v>
      </c>
      <c r="S31" s="388">
        <v>2148</v>
      </c>
      <c r="T31" s="389">
        <f t="shared" ref="T31:Y31" si="4">T32+T33</f>
        <v>5669</v>
      </c>
      <c r="U31" s="389">
        <f t="shared" si="4"/>
        <v>5262</v>
      </c>
      <c r="V31" s="389">
        <f t="shared" si="4"/>
        <v>-18924</v>
      </c>
      <c r="W31" s="389">
        <f t="shared" si="4"/>
        <v>-45067</v>
      </c>
      <c r="X31" s="389">
        <f t="shared" si="4"/>
        <v>-37203</v>
      </c>
      <c r="Y31" s="389">
        <f t="shared" si="4"/>
        <v>-22636.495000000003</v>
      </c>
    </row>
    <row r="32" spans="1:25" x14ac:dyDescent="0.35">
      <c r="A32" s="172" t="s">
        <v>278</v>
      </c>
      <c r="B32" s="172"/>
      <c r="C32" s="184">
        <v>38764.879970000024</v>
      </c>
      <c r="D32" s="184">
        <v>72186.52373999999</v>
      </c>
      <c r="E32" s="184">
        <v>35082.207600000009</v>
      </c>
      <c r="F32" s="184">
        <v>43237.20459999999</v>
      </c>
      <c r="G32" s="184">
        <v>32577.104760000002</v>
      </c>
      <c r="H32" s="184">
        <v>31755</v>
      </c>
      <c r="I32" s="184">
        <v>42300.533710000003</v>
      </c>
      <c r="J32" s="184">
        <v>717494.02504999994</v>
      </c>
      <c r="K32" s="184">
        <v>46927</v>
      </c>
      <c r="L32" s="184">
        <v>42850</v>
      </c>
      <c r="M32" s="184">
        <v>52002.427150000003</v>
      </c>
      <c r="N32" s="184">
        <v>54282.460920000005</v>
      </c>
      <c r="O32" s="184">
        <v>56218.150979999991</v>
      </c>
      <c r="P32" s="184">
        <v>34434</v>
      </c>
      <c r="Q32" s="184">
        <v>47402</v>
      </c>
      <c r="R32" s="184">
        <v>77676</v>
      </c>
      <c r="S32" s="184">
        <v>58418</v>
      </c>
      <c r="T32" s="184">
        <v>75911</v>
      </c>
      <c r="U32" s="184">
        <v>53810</v>
      </c>
      <c r="V32" s="184">
        <v>54126</v>
      </c>
      <c r="W32" s="184">
        <v>45785</v>
      </c>
      <c r="X32" s="184">
        <v>46235</v>
      </c>
      <c r="Y32" s="382">
        <v>16246.71</v>
      </c>
    </row>
    <row r="33" spans="1:25" ht="15" thickBot="1" x14ac:dyDescent="0.4">
      <c r="A33" s="172" t="s">
        <v>279</v>
      </c>
      <c r="B33" s="172"/>
      <c r="C33" s="184">
        <v>-60576.458139999995</v>
      </c>
      <c r="D33" s="184">
        <v>-55415.538939999991</v>
      </c>
      <c r="E33" s="184">
        <v>-61866.301730000007</v>
      </c>
      <c r="F33" s="184">
        <v>-64087.420900000005</v>
      </c>
      <c r="G33" s="184">
        <v>-72767.597779999996</v>
      </c>
      <c r="H33" s="184">
        <v>-35892</v>
      </c>
      <c r="I33" s="184">
        <v>-54501.373179999995</v>
      </c>
      <c r="J33" s="184">
        <v>-882859.09262999985</v>
      </c>
      <c r="K33" s="184">
        <v>-64846</v>
      </c>
      <c r="L33" s="184">
        <v>-51854</v>
      </c>
      <c r="M33" s="184">
        <v>-56487.613229999995</v>
      </c>
      <c r="N33" s="184">
        <v>-33648.340479999984</v>
      </c>
      <c r="O33" s="184">
        <v>-70362.200760000007</v>
      </c>
      <c r="P33" s="184">
        <v>-18527</v>
      </c>
      <c r="Q33" s="184">
        <v>-29192</v>
      </c>
      <c r="R33" s="184">
        <v>-46492</v>
      </c>
      <c r="S33" s="184">
        <v>-56270</v>
      </c>
      <c r="T33" s="184">
        <v>-70242</v>
      </c>
      <c r="U33" s="184">
        <v>-48548</v>
      </c>
      <c r="V33" s="184">
        <v>-73050</v>
      </c>
      <c r="W33" s="184">
        <v>-90852</v>
      </c>
      <c r="X33" s="184">
        <v>-83438</v>
      </c>
      <c r="Y33" s="382">
        <v>-38883.205000000002</v>
      </c>
    </row>
    <row r="34" spans="1:25" ht="15" thickBot="1" x14ac:dyDescent="0.4">
      <c r="A34" s="175" t="s">
        <v>314</v>
      </c>
      <c r="B34" s="172"/>
      <c r="C34" s="185">
        <v>-22001.288500000868</v>
      </c>
      <c r="D34" s="185">
        <v>509421.02037000027</v>
      </c>
      <c r="E34" s="185">
        <v>-245943.45739</v>
      </c>
      <c r="F34" s="185">
        <v>-118260.44244999996</v>
      </c>
      <c r="G34" s="185">
        <v>225358.10774999973</v>
      </c>
      <c r="H34" s="185">
        <v>45867</v>
      </c>
      <c r="I34" s="185">
        <v>42353.673919998837</v>
      </c>
      <c r="J34" s="185">
        <v>-2341.9050299995579</v>
      </c>
      <c r="K34" s="185">
        <v>32535.999999999967</v>
      </c>
      <c r="L34" s="185">
        <v>36583</v>
      </c>
      <c r="M34" s="185">
        <v>137777.81884000017</v>
      </c>
      <c r="N34" s="185">
        <v>246713.62631999978</v>
      </c>
      <c r="O34" s="185">
        <v>69709.005569999965</v>
      </c>
      <c r="P34" s="185">
        <v>186343</v>
      </c>
      <c r="Q34" s="185">
        <v>140819</v>
      </c>
      <c r="R34" s="185">
        <v>266199</v>
      </c>
      <c r="S34" s="185">
        <v>92336</v>
      </c>
      <c r="T34" s="176">
        <f t="shared" ref="T34:Y34" si="5">T30+T31</f>
        <v>123614</v>
      </c>
      <c r="U34" s="176">
        <f t="shared" si="5"/>
        <v>89397</v>
      </c>
      <c r="V34" s="176">
        <f t="shared" si="5"/>
        <v>83768</v>
      </c>
      <c r="W34" s="176">
        <f t="shared" si="5"/>
        <v>104116</v>
      </c>
      <c r="X34" s="176">
        <f t="shared" si="5"/>
        <v>93601</v>
      </c>
      <c r="Y34" s="176">
        <f t="shared" si="5"/>
        <v>141713.20500000007</v>
      </c>
    </row>
    <row r="35" spans="1:25" x14ac:dyDescent="0.35">
      <c r="A35" s="172" t="s">
        <v>281</v>
      </c>
      <c r="B35" s="172"/>
      <c r="C35" s="184"/>
      <c r="D35" s="184">
        <v>0</v>
      </c>
      <c r="E35" s="184">
        <v>0</v>
      </c>
      <c r="F35" s="184"/>
      <c r="G35" s="184"/>
      <c r="H35" s="184">
        <v>0</v>
      </c>
      <c r="I35" s="184">
        <v>0</v>
      </c>
      <c r="J35" s="184">
        <v>-22301.772280000001</v>
      </c>
      <c r="K35" s="184">
        <v>-79</v>
      </c>
      <c r="L35" s="184">
        <v>-10662</v>
      </c>
      <c r="M35" s="184">
        <v>-3971.9713400000001</v>
      </c>
      <c r="N35" s="184">
        <v>-7824.950710000001</v>
      </c>
      <c r="O35" s="184">
        <v>-4796.7722599999997</v>
      </c>
      <c r="P35" s="184">
        <v>-11314</v>
      </c>
      <c r="Q35" s="184">
        <v>-6193</v>
      </c>
      <c r="R35" s="184">
        <v>-6396</v>
      </c>
      <c r="S35" s="184">
        <v>-3209</v>
      </c>
      <c r="T35" s="184">
        <v>-7128</v>
      </c>
      <c r="U35" s="184">
        <v>-5839</v>
      </c>
      <c r="V35" s="184">
        <v>-7701</v>
      </c>
      <c r="W35" s="184">
        <v>-6750</v>
      </c>
      <c r="X35" s="184">
        <v>-6135</v>
      </c>
      <c r="Y35" s="382">
        <v>-7960.6689999999999</v>
      </c>
    </row>
    <row r="36" spans="1:25" x14ac:dyDescent="0.35">
      <c r="A36" s="172" t="s">
        <v>282</v>
      </c>
      <c r="B36" s="172"/>
      <c r="C36" s="184"/>
      <c r="D36" s="184">
        <v>0</v>
      </c>
      <c r="E36" s="184">
        <v>0</v>
      </c>
      <c r="F36" s="184"/>
      <c r="G36" s="184"/>
      <c r="H36" s="184">
        <v>0</v>
      </c>
      <c r="I36" s="184">
        <v>0</v>
      </c>
      <c r="J36" s="184">
        <v>-60811.495940000001</v>
      </c>
      <c r="K36" s="184">
        <v>-271</v>
      </c>
      <c r="L36" s="184">
        <v>-29016</v>
      </c>
      <c r="M36" s="184">
        <v>-10771.029649999999</v>
      </c>
      <c r="N36" s="184">
        <v>-35082.030719999995</v>
      </c>
      <c r="O36" s="184">
        <v>-13080.975829999999</v>
      </c>
      <c r="P36" s="184">
        <v>-31203</v>
      </c>
      <c r="Q36" s="184">
        <v>-17307</v>
      </c>
      <c r="R36" s="184">
        <v>-25492</v>
      </c>
      <c r="S36" s="184">
        <v>-12800</v>
      </c>
      <c r="T36" s="184">
        <v>-15816</v>
      </c>
      <c r="U36" s="184">
        <v>-16321</v>
      </c>
      <c r="V36" s="184">
        <v>-20307</v>
      </c>
      <c r="W36" s="184">
        <v>-18787</v>
      </c>
      <c r="X36" s="184">
        <v>-17038</v>
      </c>
      <c r="Y36" s="382">
        <v>-22234.962</v>
      </c>
    </row>
    <row r="37" spans="1:25" x14ac:dyDescent="0.35">
      <c r="A37" s="172" t="s">
        <v>283</v>
      </c>
      <c r="B37" s="172"/>
      <c r="C37" s="184">
        <v>-31586.212879999977</v>
      </c>
      <c r="D37" s="184">
        <v>-217882.31937000001</v>
      </c>
      <c r="E37" s="184">
        <v>58596.314700000017</v>
      </c>
      <c r="F37" s="184">
        <v>88799.960539999985</v>
      </c>
      <c r="G37" s="184">
        <v>-143011.82816</v>
      </c>
      <c r="H37" s="184">
        <v>-34881.313620000001</v>
      </c>
      <c r="I37" s="184">
        <v>-3535.7184000000125</v>
      </c>
      <c r="J37" s="184">
        <v>246073.04938000001</v>
      </c>
      <c r="K37" s="184">
        <v>0</v>
      </c>
      <c r="L37" s="184">
        <v>34839</v>
      </c>
      <c r="M37" s="184"/>
      <c r="N37" s="184">
        <v>0</v>
      </c>
      <c r="O37" s="184"/>
      <c r="P37" s="184">
        <v>0</v>
      </c>
      <c r="Q37" s="184">
        <v>602113</v>
      </c>
      <c r="R37" s="184">
        <v>-58091</v>
      </c>
      <c r="S37" s="184">
        <v>-15528</v>
      </c>
      <c r="T37" s="184">
        <v>-19265</v>
      </c>
      <c r="U37" s="184">
        <v>-7770</v>
      </c>
      <c r="V37" s="184">
        <v>525</v>
      </c>
      <c r="W37" s="184">
        <v>-9706</v>
      </c>
      <c r="X37" s="184">
        <v>-8794</v>
      </c>
      <c r="Y37" s="382">
        <v>-17778.062999999998</v>
      </c>
    </row>
    <row r="38" spans="1:25" ht="15" thickBot="1" x14ac:dyDescent="0.4">
      <c r="A38" s="172" t="s">
        <v>284</v>
      </c>
      <c r="B38" s="172"/>
      <c r="C38" s="184"/>
      <c r="D38" s="184">
        <v>0</v>
      </c>
      <c r="E38" s="184">
        <v>0</v>
      </c>
      <c r="F38" s="184"/>
      <c r="G38" s="184"/>
      <c r="H38" s="184">
        <v>0</v>
      </c>
      <c r="I38" s="184">
        <v>0</v>
      </c>
      <c r="J38" s="184">
        <v>54052.899770000004</v>
      </c>
      <c r="K38" s="184">
        <v>271</v>
      </c>
      <c r="L38" s="184">
        <v>7184</v>
      </c>
      <c r="M38" s="184">
        <v>20481.615550000002</v>
      </c>
      <c r="N38" s="184">
        <v>34729.413379999998</v>
      </c>
      <c r="O38" s="184">
        <v>12237.863150000001</v>
      </c>
      <c r="P38" s="184">
        <v>28437</v>
      </c>
      <c r="Q38" s="184">
        <v>16780</v>
      </c>
      <c r="R38" s="184">
        <v>25532</v>
      </c>
      <c r="S38" s="184">
        <v>12772</v>
      </c>
      <c r="T38" s="184">
        <v>15844</v>
      </c>
      <c r="U38" s="184">
        <v>16321</v>
      </c>
      <c r="V38" s="184">
        <v>16857</v>
      </c>
      <c r="W38" s="184">
        <v>16820</v>
      </c>
      <c r="X38" s="184">
        <v>15874</v>
      </c>
      <c r="Y38" s="382">
        <v>22789.657999999999</v>
      </c>
    </row>
    <row r="39" spans="1:25" ht="15" thickBot="1" x14ac:dyDescent="0.4">
      <c r="A39" s="175" t="s">
        <v>285</v>
      </c>
      <c r="B39" s="172"/>
      <c r="C39" s="392">
        <v>-53587.501380000846</v>
      </c>
      <c r="D39" s="392">
        <v>291538.70100000023</v>
      </c>
      <c r="E39" s="392">
        <v>-187347.14268999998</v>
      </c>
      <c r="F39" s="392">
        <v>-29460.481909999973</v>
      </c>
      <c r="G39" s="392">
        <v>82346.279589999729</v>
      </c>
      <c r="H39" s="392">
        <v>10987</v>
      </c>
      <c r="I39" s="392">
        <v>38817.955519998824</v>
      </c>
      <c r="J39" s="392">
        <v>214671.83600000053</v>
      </c>
      <c r="K39" s="392">
        <v>32456.999999999964</v>
      </c>
      <c r="L39" s="392">
        <v>38928</v>
      </c>
      <c r="M39" s="392">
        <v>143516.43340000018</v>
      </c>
      <c r="N39" s="392">
        <v>238536.05826999975</v>
      </c>
      <c r="O39" s="392">
        <v>64068.120629999976</v>
      </c>
      <c r="P39" s="392">
        <v>172263</v>
      </c>
      <c r="Q39" s="392">
        <v>736212</v>
      </c>
      <c r="R39" s="392">
        <v>201752</v>
      </c>
      <c r="S39" s="392">
        <v>73571</v>
      </c>
      <c r="T39" s="391">
        <f t="shared" ref="T39:Y39" si="6">SUM(T34:T38)</f>
        <v>97249</v>
      </c>
      <c r="U39" s="391">
        <f t="shared" si="6"/>
        <v>75788</v>
      </c>
      <c r="V39" s="391">
        <f t="shared" si="6"/>
        <v>73142</v>
      </c>
      <c r="W39" s="391">
        <f t="shared" si="6"/>
        <v>85693</v>
      </c>
      <c r="X39" s="391">
        <f t="shared" si="6"/>
        <v>77508</v>
      </c>
      <c r="Y39" s="391">
        <f t="shared" si="6"/>
        <v>116529.16900000008</v>
      </c>
    </row>
    <row r="42" spans="1:25" x14ac:dyDescent="0.35"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</row>
  </sheetData>
  <pageMargins left="0.511811024" right="0.511811024" top="0.78740157499999996" bottom="0.78740157499999996" header="0.31496062000000002" footer="0.3149606200000000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3052-037D-4424-B80C-8BC816285872}">
  <sheetPr>
    <tabColor theme="9" tint="0.79998168889431442"/>
  </sheetPr>
  <dimension ref="A7:K42"/>
  <sheetViews>
    <sheetView showGridLines="0" zoomScale="85" zoomScaleNormal="85" workbookViewId="0">
      <pane xSplit="1" ySplit="8" topLeftCell="B9" activePane="bottomRight" state="frozen"/>
      <selection activeCell="I26" sqref="I26"/>
      <selection pane="topRight" activeCell="I26" sqref="I26"/>
      <selection pane="bottomLeft" activeCell="I26" sqref="I26"/>
      <selection pane="bottomRight" activeCell="H16" sqref="H16"/>
    </sheetView>
  </sheetViews>
  <sheetFormatPr defaultColWidth="9.1796875" defaultRowHeight="14.5" outlineLevelCol="1" x14ac:dyDescent="0.35"/>
  <cols>
    <col min="1" max="1" width="44.453125" style="37" bestFit="1" customWidth="1"/>
    <col min="2" max="2" width="2" customWidth="1"/>
    <col min="3" max="4" width="9.54296875" style="37" hidden="1" customWidth="1" outlineLevel="1"/>
    <col min="5" max="5" width="9.54296875" style="37" bestFit="1" customWidth="1" collapsed="1"/>
    <col min="6" max="11" width="9.54296875" style="37" bestFit="1" customWidth="1"/>
    <col min="12" max="16384" width="9.1796875" style="37"/>
  </cols>
  <sheetData>
    <row r="7" spans="1:11" x14ac:dyDescent="0.35">
      <c r="A7" s="41" t="s">
        <v>547</v>
      </c>
      <c r="B7" s="168"/>
      <c r="C7" s="41"/>
      <c r="D7" s="41"/>
      <c r="E7" s="41"/>
      <c r="F7" s="41"/>
      <c r="G7" s="41"/>
      <c r="H7" s="41"/>
      <c r="I7" s="41"/>
      <c r="J7" s="41"/>
      <c r="K7" s="41"/>
    </row>
    <row r="8" spans="1:11" ht="15" thickBot="1" x14ac:dyDescent="0.4">
      <c r="A8" s="589" t="s">
        <v>245</v>
      </c>
      <c r="B8" s="169"/>
      <c r="C8" s="591" t="s">
        <v>75</v>
      </c>
      <c r="D8" s="591" t="s">
        <v>76</v>
      </c>
      <c r="E8" s="591" t="s">
        <v>77</v>
      </c>
      <c r="F8" s="591" t="s">
        <v>78</v>
      </c>
      <c r="G8" s="591" t="s">
        <v>79</v>
      </c>
      <c r="H8" s="591" t="s">
        <v>80</v>
      </c>
      <c r="I8" s="591" t="s">
        <v>81</v>
      </c>
      <c r="J8" s="591" t="s">
        <v>82</v>
      </c>
      <c r="K8" s="601" t="s">
        <v>83</v>
      </c>
    </row>
    <row r="9" spans="1:11" ht="15" thickBot="1" x14ac:dyDescent="0.4">
      <c r="A9" s="175" t="s">
        <v>246</v>
      </c>
      <c r="B9" s="169"/>
      <c r="C9" s="185">
        <f>SUM(C10:C13)</f>
        <v>2020162</v>
      </c>
      <c r="D9" s="185">
        <f t="shared" ref="D9:J9" si="0">SUM(D10:D13)</f>
        <v>2013343</v>
      </c>
      <c r="E9" s="185">
        <f t="shared" si="0"/>
        <v>1918672</v>
      </c>
      <c r="F9" s="185">
        <f t="shared" si="0"/>
        <v>1522377</v>
      </c>
      <c r="G9" s="185">
        <f t="shared" si="0"/>
        <v>1719381</v>
      </c>
      <c r="H9" s="185">
        <f t="shared" si="0"/>
        <v>1690705</v>
      </c>
      <c r="I9" s="185">
        <f t="shared" si="0"/>
        <v>1811009</v>
      </c>
      <c r="J9" s="185">
        <f t="shared" si="0"/>
        <v>1623251</v>
      </c>
      <c r="K9" s="384">
        <f>SUM(K10:K13)</f>
        <v>1677635.2390000003</v>
      </c>
    </row>
    <row r="10" spans="1:11" x14ac:dyDescent="0.35">
      <c r="A10" s="172" t="s">
        <v>247</v>
      </c>
      <c r="B10" s="169"/>
      <c r="C10" s="184">
        <v>1437732</v>
      </c>
      <c r="D10" s="184">
        <v>1538696</v>
      </c>
      <c r="E10" s="184">
        <v>1636479</v>
      </c>
      <c r="F10" s="184">
        <v>1162011</v>
      </c>
      <c r="G10" s="184">
        <v>1179945</v>
      </c>
      <c r="H10" s="184">
        <v>1236587</v>
      </c>
      <c r="I10" s="184">
        <v>1383209</v>
      </c>
      <c r="J10" s="184">
        <v>1200045</v>
      </c>
      <c r="K10" s="382">
        <v>1266038.1100000001</v>
      </c>
    </row>
    <row r="11" spans="1:11" x14ac:dyDescent="0.35">
      <c r="A11" s="172" t="s">
        <v>248</v>
      </c>
      <c r="B11" s="169"/>
      <c r="C11" s="184">
        <v>159947</v>
      </c>
      <c r="D11" s="184">
        <v>156631</v>
      </c>
      <c r="E11" s="184">
        <v>23908</v>
      </c>
      <c r="F11" s="184">
        <v>63089</v>
      </c>
      <c r="G11" s="184">
        <v>55623</v>
      </c>
      <c r="H11" s="184">
        <v>52293</v>
      </c>
      <c r="I11" s="184">
        <v>20288</v>
      </c>
      <c r="J11" s="184">
        <v>41233</v>
      </c>
      <c r="K11" s="382">
        <v>47653.154000000002</v>
      </c>
    </row>
    <row r="12" spans="1:11" x14ac:dyDescent="0.35">
      <c r="A12" s="172" t="s">
        <v>249</v>
      </c>
      <c r="B12" s="169"/>
      <c r="C12" s="184">
        <v>239460</v>
      </c>
      <c r="D12" s="184">
        <v>74145</v>
      </c>
      <c r="E12" s="184">
        <v>69161</v>
      </c>
      <c r="F12" s="184">
        <v>96164</v>
      </c>
      <c r="G12" s="184">
        <v>328713</v>
      </c>
      <c r="H12" s="184">
        <v>256889</v>
      </c>
      <c r="I12" s="184">
        <v>207767</v>
      </c>
      <c r="J12" s="184">
        <v>210256</v>
      </c>
      <c r="K12" s="382">
        <v>175068.09400000001</v>
      </c>
    </row>
    <row r="13" spans="1:11" ht="15" thickBot="1" x14ac:dyDescent="0.4">
      <c r="A13" s="172" t="s">
        <v>254</v>
      </c>
      <c r="B13" s="169"/>
      <c r="C13" s="184">
        <v>183023</v>
      </c>
      <c r="D13" s="184">
        <v>243871</v>
      </c>
      <c r="E13" s="184">
        <v>189124</v>
      </c>
      <c r="F13" s="184">
        <v>201113</v>
      </c>
      <c r="G13" s="184">
        <v>155100</v>
      </c>
      <c r="H13" s="184">
        <v>144936</v>
      </c>
      <c r="I13" s="184">
        <v>199745</v>
      </c>
      <c r="J13" s="184">
        <v>171717</v>
      </c>
      <c r="K13" s="382">
        <v>188875.88099999999</v>
      </c>
    </row>
    <row r="14" spans="1:11" ht="15" thickBot="1" x14ac:dyDescent="0.4">
      <c r="A14" s="175" t="s">
        <v>305</v>
      </c>
      <c r="B14" s="169"/>
      <c r="C14" s="185">
        <v>-593865</v>
      </c>
      <c r="D14" s="185">
        <v>-601269</v>
      </c>
      <c r="E14" s="185">
        <v>-860159</v>
      </c>
      <c r="F14" s="185">
        <v>-621302</v>
      </c>
      <c r="G14" s="185">
        <v>-495498</v>
      </c>
      <c r="H14" s="185">
        <v>-406183</v>
      </c>
      <c r="I14" s="185">
        <v>-515986</v>
      </c>
      <c r="J14" s="185">
        <v>-503091</v>
      </c>
      <c r="K14" s="384">
        <v>-476639.951</v>
      </c>
    </row>
    <row r="15" spans="1:11" ht="15" thickBot="1" x14ac:dyDescent="0.4">
      <c r="A15" s="175" t="s">
        <v>256</v>
      </c>
      <c r="B15" s="177"/>
      <c r="C15" s="388">
        <f>C9+C14</f>
        <v>1426297</v>
      </c>
      <c r="D15" s="388">
        <f t="shared" ref="D15:J15" si="1">D9+D14</f>
        <v>1412074</v>
      </c>
      <c r="E15" s="388">
        <f t="shared" si="1"/>
        <v>1058513</v>
      </c>
      <c r="F15" s="388">
        <f t="shared" si="1"/>
        <v>901075</v>
      </c>
      <c r="G15" s="388">
        <f t="shared" si="1"/>
        <v>1223883</v>
      </c>
      <c r="H15" s="388">
        <f t="shared" si="1"/>
        <v>1284522</v>
      </c>
      <c r="I15" s="388">
        <f t="shared" si="1"/>
        <v>1295023</v>
      </c>
      <c r="J15" s="388">
        <f t="shared" si="1"/>
        <v>1120160</v>
      </c>
      <c r="K15" s="394">
        <f>K9+K14</f>
        <v>1200995.2880000002</v>
      </c>
    </row>
    <row r="16" spans="1:11" ht="15" thickBot="1" x14ac:dyDescent="0.4">
      <c r="A16" s="175" t="s">
        <v>257</v>
      </c>
      <c r="B16" s="177"/>
      <c r="C16" s="388">
        <f>SUM(C17:C19)</f>
        <v>-1298073</v>
      </c>
      <c r="D16" s="388">
        <f t="shared" ref="D16:J16" si="2">SUM(D17:D19)</f>
        <v>-992222</v>
      </c>
      <c r="E16" s="388">
        <f t="shared" si="2"/>
        <v>-719352</v>
      </c>
      <c r="F16" s="388">
        <f t="shared" si="2"/>
        <v>-710758</v>
      </c>
      <c r="G16" s="388">
        <f t="shared" si="2"/>
        <v>-993563</v>
      </c>
      <c r="H16" s="388">
        <f t="shared" si="2"/>
        <v>-973998</v>
      </c>
      <c r="I16" s="388">
        <f t="shared" si="2"/>
        <v>-865807</v>
      </c>
      <c r="J16" s="388">
        <f t="shared" si="2"/>
        <v>-872421</v>
      </c>
      <c r="K16" s="394">
        <f>SUM(K17:K19)</f>
        <v>-891871.08800000011</v>
      </c>
    </row>
    <row r="17" spans="1:11" x14ac:dyDescent="0.35">
      <c r="A17" s="172" t="s">
        <v>258</v>
      </c>
      <c r="B17" s="177"/>
      <c r="C17" s="184">
        <v>-936961</v>
      </c>
      <c r="D17" s="184">
        <v>-790737</v>
      </c>
      <c r="E17" s="184">
        <v>-374229</v>
      </c>
      <c r="F17" s="184">
        <v>-475942</v>
      </c>
      <c r="G17" s="184">
        <v>-465713</v>
      </c>
      <c r="H17" s="184">
        <v>-517116</v>
      </c>
      <c r="I17" s="184">
        <v>-442181</v>
      </c>
      <c r="J17" s="184">
        <v>-603382</v>
      </c>
      <c r="K17" s="382">
        <v>-662039.96200000006</v>
      </c>
    </row>
    <row r="18" spans="1:11" x14ac:dyDescent="0.35">
      <c r="A18" s="172" t="s">
        <v>260</v>
      </c>
      <c r="B18" s="177"/>
      <c r="C18" s="184">
        <v>-121652</v>
      </c>
      <c r="D18" s="184">
        <v>-127340</v>
      </c>
      <c r="E18" s="184">
        <v>-275962</v>
      </c>
      <c r="F18" s="184">
        <v>-138652</v>
      </c>
      <c r="G18" s="184">
        <v>-199137</v>
      </c>
      <c r="H18" s="184">
        <v>-199993</v>
      </c>
      <c r="I18" s="184">
        <v>-215859</v>
      </c>
      <c r="J18" s="184">
        <v>-58783</v>
      </c>
      <c r="K18" s="382">
        <v>-54763.031999999999</v>
      </c>
    </row>
    <row r="19" spans="1:11" ht="15" thickBot="1" x14ac:dyDescent="0.4">
      <c r="A19" s="172" t="s">
        <v>261</v>
      </c>
      <c r="B19" s="177"/>
      <c r="C19" s="184">
        <v>-239460</v>
      </c>
      <c r="D19" s="184">
        <v>-74145</v>
      </c>
      <c r="E19" s="184">
        <v>-69161</v>
      </c>
      <c r="F19" s="184">
        <v>-96164</v>
      </c>
      <c r="G19" s="184">
        <v>-328713</v>
      </c>
      <c r="H19" s="184">
        <v>-256889</v>
      </c>
      <c r="I19" s="184">
        <v>-207767</v>
      </c>
      <c r="J19" s="184">
        <v>-210256</v>
      </c>
      <c r="K19" s="382">
        <v>-175068.09400000001</v>
      </c>
    </row>
    <row r="20" spans="1:11" ht="15" thickBot="1" x14ac:dyDescent="0.4">
      <c r="A20" s="175" t="s">
        <v>263</v>
      </c>
      <c r="B20" s="177"/>
      <c r="C20" s="185">
        <f>C15+C16</f>
        <v>128224</v>
      </c>
      <c r="D20" s="185">
        <f t="shared" ref="D20:J20" si="3">D15+D16</f>
        <v>419852</v>
      </c>
      <c r="E20" s="185">
        <f t="shared" si="3"/>
        <v>339161</v>
      </c>
      <c r="F20" s="185">
        <f t="shared" si="3"/>
        <v>190317</v>
      </c>
      <c r="G20" s="185">
        <f t="shared" si="3"/>
        <v>230320</v>
      </c>
      <c r="H20" s="185">
        <f t="shared" si="3"/>
        <v>310524</v>
      </c>
      <c r="I20" s="185">
        <f t="shared" si="3"/>
        <v>429216</v>
      </c>
      <c r="J20" s="185">
        <f t="shared" si="3"/>
        <v>247739</v>
      </c>
      <c r="K20" s="384">
        <f>K15+K16</f>
        <v>309124.20000000007</v>
      </c>
    </row>
    <row r="21" spans="1:11" ht="15" thickBot="1" x14ac:dyDescent="0.4">
      <c r="A21" s="175" t="s">
        <v>264</v>
      </c>
      <c r="B21" s="177"/>
      <c r="C21" s="185">
        <f>SUM(C22:C27)</f>
        <v>-323118</v>
      </c>
      <c r="D21" s="185">
        <f t="shared" ref="D21:J21" si="4">SUM(D22:D27)</f>
        <v>-163860</v>
      </c>
      <c r="E21" s="185">
        <f t="shared" si="4"/>
        <v>-167741</v>
      </c>
      <c r="F21" s="185">
        <f t="shared" si="4"/>
        <v>-188899</v>
      </c>
      <c r="G21" s="185">
        <f t="shared" si="4"/>
        <v>-131390</v>
      </c>
      <c r="H21" s="185">
        <f t="shared" si="4"/>
        <v>-163602</v>
      </c>
      <c r="I21" s="185">
        <f t="shared" si="4"/>
        <v>-165404</v>
      </c>
      <c r="J21" s="185">
        <f t="shared" si="4"/>
        <v>-192924</v>
      </c>
      <c r="K21" s="384">
        <f>SUM(K22:K27)</f>
        <v>-204933.731</v>
      </c>
    </row>
    <row r="22" spans="1:11" x14ac:dyDescent="0.35">
      <c r="A22" s="172" t="s">
        <v>265</v>
      </c>
      <c r="B22" s="177"/>
      <c r="C22" s="184">
        <v>-215289</v>
      </c>
      <c r="D22" s="184">
        <v>-90098</v>
      </c>
      <c r="E22" s="184">
        <v>-71200</v>
      </c>
      <c r="F22" s="184">
        <v>-84086</v>
      </c>
      <c r="G22" s="184">
        <v>-53958</v>
      </c>
      <c r="H22" s="184">
        <v>-66629</v>
      </c>
      <c r="I22" s="184">
        <v>-51397</v>
      </c>
      <c r="J22" s="184">
        <v>-64022</v>
      </c>
      <c r="K22" s="382">
        <v>-57834.985999999997</v>
      </c>
    </row>
    <row r="23" spans="1:11" x14ac:dyDescent="0.35">
      <c r="A23" s="172" t="s">
        <v>266</v>
      </c>
      <c r="B23" s="177"/>
      <c r="C23" s="184">
        <v>-4778</v>
      </c>
      <c r="D23" s="184">
        <v>-2619</v>
      </c>
      <c r="E23" s="184">
        <v>-4575</v>
      </c>
      <c r="F23" s="184">
        <v>-3232</v>
      </c>
      <c r="G23" s="184">
        <v>-2824</v>
      </c>
      <c r="H23" s="184">
        <v>-1450</v>
      </c>
      <c r="I23" s="184">
        <v>-1680</v>
      </c>
      <c r="J23" s="184">
        <v>1159</v>
      </c>
      <c r="K23" s="382">
        <v>-86.082999999999998</v>
      </c>
    </row>
    <row r="24" spans="1:11" x14ac:dyDescent="0.35">
      <c r="A24" s="172" t="s">
        <v>267</v>
      </c>
      <c r="B24" s="395"/>
      <c r="C24" s="184">
        <v>-36883</v>
      </c>
      <c r="D24" s="184">
        <v>-52788</v>
      </c>
      <c r="E24" s="184">
        <v>-41530</v>
      </c>
      <c r="F24" s="184">
        <v>-70938</v>
      </c>
      <c r="G24" s="184">
        <v>-69136</v>
      </c>
      <c r="H24" s="184">
        <v>-87903</v>
      </c>
      <c r="I24" s="184">
        <v>-77707</v>
      </c>
      <c r="J24" s="184">
        <v>-85856</v>
      </c>
      <c r="K24" s="382">
        <v>-79067.788</v>
      </c>
    </row>
    <row r="25" spans="1:11" x14ac:dyDescent="0.35">
      <c r="A25" s="172" t="s">
        <v>268</v>
      </c>
      <c r="B25" s="177"/>
      <c r="C25" s="184">
        <v>-55842</v>
      </c>
      <c r="D25" s="184">
        <v>-12256</v>
      </c>
      <c r="E25" s="184">
        <v>-44511</v>
      </c>
      <c r="F25" s="184">
        <v>-32931</v>
      </c>
      <c r="G25" s="184">
        <v>-4645</v>
      </c>
      <c r="H25" s="184">
        <v>-9248</v>
      </c>
      <c r="I25" s="184">
        <v>-36336</v>
      </c>
      <c r="J25" s="184">
        <v>-46797</v>
      </c>
      <c r="K25" s="382">
        <v>-49844.680999999997</v>
      </c>
    </row>
    <row r="26" spans="1:11" x14ac:dyDescent="0.35">
      <c r="A26" s="172" t="s">
        <v>270</v>
      </c>
      <c r="B26" s="177"/>
      <c r="C26" s="184">
        <v>-8848</v>
      </c>
      <c r="D26" s="184">
        <v>-6099</v>
      </c>
      <c r="E26" s="184">
        <v>-6453</v>
      </c>
      <c r="F26" s="184">
        <v>186</v>
      </c>
      <c r="G26" s="184">
        <v>-1814</v>
      </c>
      <c r="H26" s="184">
        <v>10022</v>
      </c>
      <c r="I26" s="184">
        <v>-203</v>
      </c>
      <c r="J26" s="184">
        <v>2300</v>
      </c>
      <c r="K26" s="382">
        <v>-16359.593000000001</v>
      </c>
    </row>
    <row r="27" spans="1:11" x14ac:dyDescent="0.35">
      <c r="A27" s="172" t="s">
        <v>271</v>
      </c>
      <c r="B27" s="169"/>
      <c r="C27" s="184">
        <v>-1478</v>
      </c>
      <c r="D27" s="184">
        <v>0</v>
      </c>
      <c r="E27" s="184">
        <v>528</v>
      </c>
      <c r="F27" s="184">
        <v>2102</v>
      </c>
      <c r="G27" s="184">
        <v>987</v>
      </c>
      <c r="H27" s="184">
        <v>-8394</v>
      </c>
      <c r="I27" s="184">
        <v>1919</v>
      </c>
      <c r="J27" s="184">
        <v>292</v>
      </c>
      <c r="K27" s="382">
        <v>-1740.6</v>
      </c>
    </row>
    <row r="28" spans="1:11" x14ac:dyDescent="0.35">
      <c r="A28" s="596" t="s">
        <v>272</v>
      </c>
      <c r="B28" s="177"/>
      <c r="C28" s="593">
        <f>C20+C21</f>
        <v>-194894</v>
      </c>
      <c r="D28" s="593">
        <f t="shared" ref="D28:J28" si="5">D20+D21</f>
        <v>255992</v>
      </c>
      <c r="E28" s="593">
        <f t="shared" si="5"/>
        <v>171420</v>
      </c>
      <c r="F28" s="593">
        <f t="shared" si="5"/>
        <v>1418</v>
      </c>
      <c r="G28" s="593">
        <f t="shared" si="5"/>
        <v>98930</v>
      </c>
      <c r="H28" s="593">
        <f t="shared" si="5"/>
        <v>146922</v>
      </c>
      <c r="I28" s="593">
        <f t="shared" si="5"/>
        <v>263812</v>
      </c>
      <c r="J28" s="593">
        <f t="shared" si="5"/>
        <v>54815</v>
      </c>
      <c r="K28" s="605">
        <f>K20+K21</f>
        <v>104190.46900000007</v>
      </c>
    </row>
    <row r="29" spans="1:11" ht="15" thickBot="1" x14ac:dyDescent="0.4">
      <c r="A29" s="172" t="s">
        <v>273</v>
      </c>
      <c r="B29" s="169"/>
      <c r="C29" s="184">
        <v>-41933</v>
      </c>
      <c r="D29" s="184">
        <v>-41796</v>
      </c>
      <c r="E29" s="184">
        <v>-41330</v>
      </c>
      <c r="F29" s="184">
        <v>-41003</v>
      </c>
      <c r="G29" s="184">
        <v>-41016</v>
      </c>
      <c r="H29" s="184">
        <v>-40992</v>
      </c>
      <c r="I29" s="184">
        <v>-40222</v>
      </c>
      <c r="J29" s="184">
        <v>-37003</v>
      </c>
      <c r="K29" s="382">
        <v>-31155.850999999999</v>
      </c>
    </row>
    <row r="30" spans="1:11" ht="15" thickBot="1" x14ac:dyDescent="0.4">
      <c r="A30" s="175" t="s">
        <v>274</v>
      </c>
      <c r="B30" s="169"/>
      <c r="C30" s="185">
        <f>C28+C29</f>
        <v>-236827</v>
      </c>
      <c r="D30" s="185">
        <f t="shared" ref="D30:J30" si="6">D28+D29</f>
        <v>214196</v>
      </c>
      <c r="E30" s="185">
        <f t="shared" si="6"/>
        <v>130090</v>
      </c>
      <c r="F30" s="185">
        <f t="shared" si="6"/>
        <v>-39585</v>
      </c>
      <c r="G30" s="185">
        <f t="shared" si="6"/>
        <v>57914</v>
      </c>
      <c r="H30" s="185">
        <f t="shared" si="6"/>
        <v>105930</v>
      </c>
      <c r="I30" s="185">
        <f t="shared" si="6"/>
        <v>223590</v>
      </c>
      <c r="J30" s="185">
        <f t="shared" si="6"/>
        <v>17812</v>
      </c>
      <c r="K30" s="384">
        <f>K28+K29</f>
        <v>73034.618000000075</v>
      </c>
    </row>
    <row r="31" spans="1:11" ht="15" thickBot="1" x14ac:dyDescent="0.4">
      <c r="A31" s="175" t="s">
        <v>277</v>
      </c>
      <c r="B31" s="169"/>
      <c r="C31" s="388">
        <f>SUM(C32:C33)</f>
        <v>-173566</v>
      </c>
      <c r="D31" s="388">
        <f t="shared" ref="D31:J31" si="7">SUM(D32:D33)</f>
        <v>134667</v>
      </c>
      <c r="E31" s="388">
        <f t="shared" si="7"/>
        <v>-113664</v>
      </c>
      <c r="F31" s="388">
        <f t="shared" si="7"/>
        <v>-59958</v>
      </c>
      <c r="G31" s="388">
        <f t="shared" si="7"/>
        <v>-68132</v>
      </c>
      <c r="H31" s="388">
        <f t="shared" si="7"/>
        <v>-278769</v>
      </c>
      <c r="I31" s="388">
        <f t="shared" si="7"/>
        <v>-182065</v>
      </c>
      <c r="J31" s="388">
        <f t="shared" si="7"/>
        <v>-177797</v>
      </c>
      <c r="K31" s="394">
        <f>SUM(K32:K33)</f>
        <v>-175179.37599999999</v>
      </c>
    </row>
    <row r="32" spans="1:11" x14ac:dyDescent="0.35">
      <c r="A32" s="172" t="s">
        <v>278</v>
      </c>
      <c r="B32" s="169"/>
      <c r="C32" s="184">
        <v>233252</v>
      </c>
      <c r="D32" s="184">
        <v>155385</v>
      </c>
      <c r="E32" s="184">
        <v>251472</v>
      </c>
      <c r="F32" s="184">
        <v>150921</v>
      </c>
      <c r="G32" s="184">
        <v>199175</v>
      </c>
      <c r="H32" s="184">
        <v>76235</v>
      </c>
      <c r="I32" s="184">
        <v>119110</v>
      </c>
      <c r="J32" s="184">
        <v>103313</v>
      </c>
      <c r="K32" s="382">
        <v>139025.43900000001</v>
      </c>
    </row>
    <row r="33" spans="1:11" ht="15" thickBot="1" x14ac:dyDescent="0.4">
      <c r="A33" s="172" t="s">
        <v>279</v>
      </c>
      <c r="B33" s="169"/>
      <c r="C33" s="184">
        <v>-406818</v>
      </c>
      <c r="D33" s="184">
        <v>-20718</v>
      </c>
      <c r="E33" s="184">
        <v>-365136</v>
      </c>
      <c r="F33" s="184">
        <v>-210879</v>
      </c>
      <c r="G33" s="184">
        <v>-267307</v>
      </c>
      <c r="H33" s="184">
        <v>-355004</v>
      </c>
      <c r="I33" s="184">
        <v>-301175</v>
      </c>
      <c r="J33" s="184">
        <v>-281110</v>
      </c>
      <c r="K33" s="382">
        <v>-314204.815</v>
      </c>
    </row>
    <row r="34" spans="1:11" ht="15" thickBot="1" x14ac:dyDescent="0.4">
      <c r="A34" s="175" t="s">
        <v>314</v>
      </c>
      <c r="B34" s="169"/>
      <c r="C34" s="185">
        <f>C30+C31</f>
        <v>-410393</v>
      </c>
      <c r="D34" s="185">
        <f t="shared" ref="D34:J34" si="8">D30+D31</f>
        <v>348863</v>
      </c>
      <c r="E34" s="185">
        <f t="shared" si="8"/>
        <v>16426</v>
      </c>
      <c r="F34" s="185">
        <f t="shared" si="8"/>
        <v>-99543</v>
      </c>
      <c r="G34" s="185">
        <f t="shared" si="8"/>
        <v>-10218</v>
      </c>
      <c r="H34" s="185">
        <f t="shared" si="8"/>
        <v>-172839</v>
      </c>
      <c r="I34" s="185">
        <f t="shared" si="8"/>
        <v>41525</v>
      </c>
      <c r="J34" s="185">
        <f t="shared" si="8"/>
        <v>-159985</v>
      </c>
      <c r="K34" s="384">
        <f>K30+K31</f>
        <v>-102144.75799999991</v>
      </c>
    </row>
    <row r="35" spans="1:11" x14ac:dyDescent="0.35">
      <c r="A35" s="172" t="s">
        <v>281</v>
      </c>
      <c r="B35" s="169"/>
      <c r="C35" s="184">
        <v>0</v>
      </c>
      <c r="D35" s="184">
        <v>0</v>
      </c>
      <c r="E35" s="184">
        <v>0</v>
      </c>
      <c r="F35" s="184">
        <v>-398</v>
      </c>
      <c r="G35" s="184">
        <v>398</v>
      </c>
      <c r="H35" s="184">
        <v>0</v>
      </c>
      <c r="I35" s="184">
        <v>-145</v>
      </c>
      <c r="J35" s="184">
        <v>145</v>
      </c>
      <c r="K35" s="382">
        <v>0</v>
      </c>
    </row>
    <row r="36" spans="1:11" x14ac:dyDescent="0.35">
      <c r="A36" s="172" t="s">
        <v>282</v>
      </c>
      <c r="B36" s="169"/>
      <c r="C36" s="184">
        <v>0</v>
      </c>
      <c r="D36" s="184">
        <v>0</v>
      </c>
      <c r="E36" s="184">
        <v>0</v>
      </c>
      <c r="F36" s="184">
        <v>-1094</v>
      </c>
      <c r="G36" s="184">
        <v>1094</v>
      </c>
      <c r="H36" s="184">
        <v>0</v>
      </c>
      <c r="I36" s="184">
        <v>-392</v>
      </c>
      <c r="J36" s="184">
        <v>392</v>
      </c>
      <c r="K36" s="382">
        <v>0</v>
      </c>
    </row>
    <row r="37" spans="1:11" x14ac:dyDescent="0.35">
      <c r="A37" s="172" t="s">
        <v>283</v>
      </c>
      <c r="B37" s="169"/>
      <c r="C37" s="184">
        <v>0</v>
      </c>
      <c r="D37" s="184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382">
        <v>0</v>
      </c>
    </row>
    <row r="38" spans="1:11" ht="15" thickBot="1" x14ac:dyDescent="0.4">
      <c r="A38" s="172" t="s">
        <v>284</v>
      </c>
      <c r="B38" s="169"/>
      <c r="C38" s="184"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382">
        <v>0</v>
      </c>
    </row>
    <row r="39" spans="1:11" ht="15" thickBot="1" x14ac:dyDescent="0.4">
      <c r="A39" s="175" t="s">
        <v>285</v>
      </c>
      <c r="B39" s="169"/>
      <c r="C39" s="392">
        <f>SUM(C34:C38)</f>
        <v>-410393</v>
      </c>
      <c r="D39" s="392">
        <f t="shared" ref="D39:J39" si="9">SUM(D34:D38)</f>
        <v>348863</v>
      </c>
      <c r="E39" s="392">
        <f t="shared" si="9"/>
        <v>16426</v>
      </c>
      <c r="F39" s="392">
        <f t="shared" si="9"/>
        <v>-101035</v>
      </c>
      <c r="G39" s="392">
        <f t="shared" si="9"/>
        <v>-8726</v>
      </c>
      <c r="H39" s="392">
        <f t="shared" si="9"/>
        <v>-172839</v>
      </c>
      <c r="I39" s="392">
        <f t="shared" si="9"/>
        <v>40988</v>
      </c>
      <c r="J39" s="392">
        <f t="shared" si="9"/>
        <v>-159448</v>
      </c>
      <c r="K39" s="392">
        <f>SUM(K34:K38)</f>
        <v>-102144.75799999991</v>
      </c>
    </row>
    <row r="42" spans="1:11" x14ac:dyDescent="0.35">
      <c r="C42" s="393"/>
      <c r="D42" s="393"/>
      <c r="E42" s="393"/>
      <c r="F42" s="393"/>
      <c r="G42" s="393"/>
      <c r="H42" s="393"/>
      <c r="I42" s="393"/>
      <c r="J42" s="393"/>
      <c r="K42" s="393"/>
    </row>
  </sheetData>
  <pageMargins left="0.511811024" right="0.511811024" top="0.78740157499999996" bottom="0.78740157499999996" header="0.31496062000000002" footer="0.3149606200000000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A608-6D7F-4033-9DDD-3EB16226446A}">
  <sheetPr>
    <tabColor theme="9" tint="0.79998168889431442"/>
  </sheetPr>
  <dimension ref="A7:M43"/>
  <sheetViews>
    <sheetView showGridLines="0" zoomScale="85" zoomScaleNormal="85" workbookViewId="0">
      <pane xSplit="1" ySplit="8" topLeftCell="B9" activePane="bottomRight" state="frozen"/>
      <selection activeCell="I26" sqref="I26"/>
      <selection pane="topRight" activeCell="I26" sqref="I26"/>
      <selection pane="bottomLeft" activeCell="I26" sqref="I26"/>
      <selection pane="bottomRight" activeCell="I15" sqref="I15"/>
    </sheetView>
  </sheetViews>
  <sheetFormatPr defaultColWidth="9.1796875" defaultRowHeight="14.5" outlineLevelCol="1" x14ac:dyDescent="0.35"/>
  <cols>
    <col min="1" max="1" width="44.54296875" style="37" customWidth="1"/>
    <col min="2" max="2" width="2" customWidth="1"/>
    <col min="3" max="4" width="9.54296875" style="37" hidden="1" customWidth="1" outlineLevel="1"/>
    <col min="5" max="5" width="2" hidden="1" customWidth="1" outlineLevel="1"/>
    <col min="6" max="6" width="9.54296875" style="37" hidden="1" customWidth="1" outlineLevel="1"/>
    <col min="7" max="7" width="9.54296875" style="37" customWidth="1" collapsed="1"/>
    <col min="8" max="13" width="9.54296875" style="37" bestFit="1" customWidth="1"/>
    <col min="14" max="16384" width="9.1796875" style="37"/>
  </cols>
  <sheetData>
    <row r="7" spans="1:13" x14ac:dyDescent="0.35">
      <c r="A7" s="41" t="s">
        <v>548</v>
      </c>
      <c r="B7" s="168"/>
      <c r="C7" s="41"/>
      <c r="D7" s="41"/>
      <c r="E7" s="168"/>
      <c r="F7" s="41"/>
      <c r="G7" s="41"/>
      <c r="H7" s="41"/>
      <c r="I7" s="41"/>
      <c r="J7" s="41"/>
      <c r="K7" s="41"/>
      <c r="L7" s="41"/>
      <c r="M7" s="41"/>
    </row>
    <row r="8" spans="1:13" ht="15" thickBot="1" x14ac:dyDescent="0.4">
      <c r="A8" s="589" t="s">
        <v>245</v>
      </c>
      <c r="B8" s="169"/>
      <c r="C8" s="591" t="s">
        <v>73</v>
      </c>
      <c r="D8" s="591" t="s">
        <v>74</v>
      </c>
      <c r="E8" s="169"/>
      <c r="F8" s="591" t="s">
        <v>76</v>
      </c>
      <c r="G8" s="591" t="s">
        <v>77</v>
      </c>
      <c r="H8" s="591" t="s">
        <v>78</v>
      </c>
      <c r="I8" s="591" t="s">
        <v>79</v>
      </c>
      <c r="J8" s="591" t="s">
        <v>80</v>
      </c>
      <c r="K8" s="591" t="s">
        <v>81</v>
      </c>
      <c r="L8" s="591" t="s">
        <v>82</v>
      </c>
      <c r="M8" s="601" t="s">
        <v>83</v>
      </c>
    </row>
    <row r="9" spans="1:13" ht="15" thickBot="1" x14ac:dyDescent="0.4">
      <c r="A9" s="175" t="s">
        <v>246</v>
      </c>
      <c r="B9" s="169"/>
      <c r="C9" s="176">
        <f>SUM(C10:C13)</f>
        <v>213114</v>
      </c>
      <c r="D9" s="176">
        <f>SUM(D10:D13)</f>
        <v>182611</v>
      </c>
      <c r="E9" s="169"/>
      <c r="F9" s="176">
        <v>698028</v>
      </c>
      <c r="G9" s="176">
        <f t="shared" ref="G9:L9" si="0">SUM(G10:G13)</f>
        <v>190941</v>
      </c>
      <c r="H9" s="176">
        <f t="shared" si="0"/>
        <v>417856</v>
      </c>
      <c r="I9" s="176">
        <f t="shared" si="0"/>
        <v>300675</v>
      </c>
      <c r="J9" s="176">
        <f t="shared" si="0"/>
        <v>590366</v>
      </c>
      <c r="K9" s="176">
        <f t="shared" si="0"/>
        <v>389201</v>
      </c>
      <c r="L9" s="176">
        <f t="shared" si="0"/>
        <v>462844</v>
      </c>
      <c r="M9" s="176">
        <f>SUM(M10:M13)</f>
        <v>431269.37199999997</v>
      </c>
    </row>
    <row r="10" spans="1:13" x14ac:dyDescent="0.35">
      <c r="A10" s="172" t="s">
        <v>247</v>
      </c>
      <c r="B10" s="169"/>
      <c r="C10" s="184">
        <v>200364</v>
      </c>
      <c r="D10" s="184">
        <v>175208</v>
      </c>
      <c r="E10" s="169"/>
      <c r="F10" s="184">
        <v>644860</v>
      </c>
      <c r="G10" s="184">
        <v>164989</v>
      </c>
      <c r="H10" s="184">
        <v>238655</v>
      </c>
      <c r="I10" s="184">
        <v>193098</v>
      </c>
      <c r="J10" s="184">
        <v>334333</v>
      </c>
      <c r="K10" s="184">
        <v>243268</v>
      </c>
      <c r="L10" s="184">
        <v>269039</v>
      </c>
      <c r="M10" s="382">
        <v>292266.59100000001</v>
      </c>
    </row>
    <row r="11" spans="1:13" x14ac:dyDescent="0.35">
      <c r="A11" s="172" t="s">
        <v>248</v>
      </c>
      <c r="B11" s="169"/>
      <c r="C11" s="184">
        <v>4600</v>
      </c>
      <c r="D11" s="184"/>
      <c r="E11" s="169"/>
      <c r="F11" s="184">
        <v>1737</v>
      </c>
      <c r="G11" s="184">
        <v>-1349</v>
      </c>
      <c r="H11" s="184">
        <v>8389</v>
      </c>
      <c r="I11" s="184">
        <v>2105</v>
      </c>
      <c r="J11" s="184">
        <v>637</v>
      </c>
      <c r="K11" s="184">
        <v>8013</v>
      </c>
      <c r="L11" s="184">
        <v>5988</v>
      </c>
      <c r="M11" s="382">
        <v>5095.826</v>
      </c>
    </row>
    <row r="12" spans="1:13" x14ac:dyDescent="0.35">
      <c r="A12" s="172" t="s">
        <v>249</v>
      </c>
      <c r="B12" s="169"/>
      <c r="C12" s="184">
        <v>0</v>
      </c>
      <c r="D12" s="184"/>
      <c r="E12" s="169"/>
      <c r="F12" s="184">
        <v>41196</v>
      </c>
      <c r="G12" s="184">
        <v>17244</v>
      </c>
      <c r="H12" s="184">
        <v>73106</v>
      </c>
      <c r="I12" s="184">
        <v>75334</v>
      </c>
      <c r="J12" s="184">
        <v>222226</v>
      </c>
      <c r="K12" s="184">
        <v>107039</v>
      </c>
      <c r="L12" s="184">
        <v>149511</v>
      </c>
      <c r="M12" s="382">
        <v>98854.544999999998</v>
      </c>
    </row>
    <row r="13" spans="1:13" ht="15" thickBot="1" x14ac:dyDescent="0.4">
      <c r="A13" s="172" t="s">
        <v>254</v>
      </c>
      <c r="B13" s="169"/>
      <c r="C13" s="184">
        <v>8150</v>
      </c>
      <c r="D13" s="184">
        <v>7403</v>
      </c>
      <c r="E13" s="169"/>
      <c r="F13" s="184">
        <v>10235</v>
      </c>
      <c r="G13" s="184">
        <v>10057</v>
      </c>
      <c r="H13" s="184">
        <v>97706</v>
      </c>
      <c r="I13" s="184">
        <v>30138</v>
      </c>
      <c r="J13" s="184">
        <v>33170</v>
      </c>
      <c r="K13" s="184">
        <v>30881</v>
      </c>
      <c r="L13" s="184">
        <v>38306</v>
      </c>
      <c r="M13" s="382">
        <v>35052.410000000003</v>
      </c>
    </row>
    <row r="14" spans="1:13" ht="15" thickBot="1" x14ac:dyDescent="0.4">
      <c r="A14" s="175" t="s">
        <v>305</v>
      </c>
      <c r="B14" s="169"/>
      <c r="C14" s="185">
        <v>-37109</v>
      </c>
      <c r="D14" s="185">
        <v>-40165</v>
      </c>
      <c r="E14" s="169"/>
      <c r="F14" s="185">
        <v>-67897</v>
      </c>
      <c r="G14" s="185">
        <v>-73588</v>
      </c>
      <c r="H14" s="185">
        <v>-52870</v>
      </c>
      <c r="I14" s="185">
        <v>-63276</v>
      </c>
      <c r="J14" s="185">
        <v>-142554</v>
      </c>
      <c r="K14" s="185">
        <v>-71302</v>
      </c>
      <c r="L14" s="185">
        <v>-87249</v>
      </c>
      <c r="M14" s="384">
        <v>-92613.144</v>
      </c>
    </row>
    <row r="15" spans="1:13" ht="15" thickBot="1" x14ac:dyDescent="0.4">
      <c r="A15" s="175" t="s">
        <v>256</v>
      </c>
      <c r="B15" s="177"/>
      <c r="C15" s="396">
        <f>C9+C14</f>
        <v>176005</v>
      </c>
      <c r="D15" s="396">
        <f>D9+D14</f>
        <v>142446</v>
      </c>
      <c r="E15" s="177"/>
      <c r="F15" s="396">
        <v>630131</v>
      </c>
      <c r="G15" s="396">
        <f t="shared" ref="G15:L15" si="1">G9+G14</f>
        <v>117353</v>
      </c>
      <c r="H15" s="396">
        <f t="shared" si="1"/>
        <v>364986</v>
      </c>
      <c r="I15" s="396">
        <f t="shared" si="1"/>
        <v>237399</v>
      </c>
      <c r="J15" s="396">
        <f t="shared" si="1"/>
        <v>447812</v>
      </c>
      <c r="K15" s="396">
        <f t="shared" si="1"/>
        <v>317899</v>
      </c>
      <c r="L15" s="396">
        <f t="shared" si="1"/>
        <v>375595</v>
      </c>
      <c r="M15" s="396">
        <f>M9+M14</f>
        <v>338656.228</v>
      </c>
    </row>
    <row r="16" spans="1:13" ht="15" thickBot="1" x14ac:dyDescent="0.4">
      <c r="A16" s="175" t="s">
        <v>257</v>
      </c>
      <c r="B16" s="177"/>
      <c r="C16" s="389">
        <f>SUM(C17:C19)</f>
        <v>-156036</v>
      </c>
      <c r="D16" s="389">
        <f>SUM(D17:D19)</f>
        <v>-131076</v>
      </c>
      <c r="E16" s="177"/>
      <c r="F16" s="389">
        <v>-221943</v>
      </c>
      <c r="G16" s="389">
        <f t="shared" ref="G16:L16" si="2">SUM(G17:G19)</f>
        <v>-109934</v>
      </c>
      <c r="H16" s="389">
        <f t="shared" si="2"/>
        <v>-214350</v>
      </c>
      <c r="I16" s="389">
        <f t="shared" si="2"/>
        <v>-185983</v>
      </c>
      <c r="J16" s="389">
        <f t="shared" si="2"/>
        <v>-343909</v>
      </c>
      <c r="K16" s="389">
        <f t="shared" si="2"/>
        <v>-231024</v>
      </c>
      <c r="L16" s="389">
        <f t="shared" si="2"/>
        <v>-279128</v>
      </c>
      <c r="M16" s="389">
        <f>SUM(M17:M19)</f>
        <v>-226071.503</v>
      </c>
    </row>
    <row r="17" spans="1:13" x14ac:dyDescent="0.35">
      <c r="A17" s="172" t="s">
        <v>258</v>
      </c>
      <c r="B17" s="177"/>
      <c r="C17" s="184">
        <v>-156036</v>
      </c>
      <c r="D17" s="184">
        <v>-131076</v>
      </c>
      <c r="E17" s="177"/>
      <c r="F17" s="184">
        <v>-39833</v>
      </c>
      <c r="G17" s="184">
        <v>-92690</v>
      </c>
      <c r="H17" s="184">
        <v>-140926</v>
      </c>
      <c r="I17" s="184">
        <v>-42064</v>
      </c>
      <c r="J17" s="184">
        <v>-54634</v>
      </c>
      <c r="K17" s="184">
        <v>-42243</v>
      </c>
      <c r="L17" s="184">
        <v>-46084</v>
      </c>
      <c r="M17" s="382">
        <v>-39671.879000000001</v>
      </c>
    </row>
    <row r="18" spans="1:13" x14ac:dyDescent="0.35">
      <c r="A18" s="172" t="s">
        <v>260</v>
      </c>
      <c r="B18" s="177"/>
      <c r="C18" s="184">
        <v>0</v>
      </c>
      <c r="D18" s="184"/>
      <c r="E18" s="177"/>
      <c r="F18" s="184">
        <v>-140914</v>
      </c>
      <c r="G18" s="184">
        <v>0</v>
      </c>
      <c r="H18" s="184">
        <v>-318</v>
      </c>
      <c r="I18" s="184">
        <v>-68585</v>
      </c>
      <c r="J18" s="184">
        <v>-67049</v>
      </c>
      <c r="K18" s="184">
        <v>-81742</v>
      </c>
      <c r="L18" s="184">
        <v>-83533</v>
      </c>
      <c r="M18" s="382">
        <v>-87545.078999999998</v>
      </c>
    </row>
    <row r="19" spans="1:13" ht="15" thickBot="1" x14ac:dyDescent="0.4">
      <c r="A19" s="172" t="s">
        <v>261</v>
      </c>
      <c r="B19" s="177"/>
      <c r="C19" s="184">
        <v>0</v>
      </c>
      <c r="D19" s="184"/>
      <c r="E19" s="177"/>
      <c r="F19" s="184">
        <v>-41196</v>
      </c>
      <c r="G19" s="184">
        <v>-17244</v>
      </c>
      <c r="H19" s="184">
        <v>-73106</v>
      </c>
      <c r="I19" s="184">
        <v>-75334</v>
      </c>
      <c r="J19" s="184">
        <v>-222226</v>
      </c>
      <c r="K19" s="184">
        <v>-107039</v>
      </c>
      <c r="L19" s="184">
        <v>-149511</v>
      </c>
      <c r="M19" s="382">
        <v>-98854.544999999998</v>
      </c>
    </row>
    <row r="20" spans="1:13" ht="15" thickBot="1" x14ac:dyDescent="0.4">
      <c r="A20" s="175" t="s">
        <v>263</v>
      </c>
      <c r="B20" s="177"/>
      <c r="C20" s="176">
        <f>C15+C16</f>
        <v>19969</v>
      </c>
      <c r="D20" s="176">
        <f>D15+D16</f>
        <v>11370</v>
      </c>
      <c r="E20" s="177"/>
      <c r="F20" s="176">
        <v>408188</v>
      </c>
      <c r="G20" s="176">
        <f t="shared" ref="G20:L20" si="3">G15+G16</f>
        <v>7419</v>
      </c>
      <c r="H20" s="176">
        <f t="shared" si="3"/>
        <v>150636</v>
      </c>
      <c r="I20" s="176">
        <f t="shared" si="3"/>
        <v>51416</v>
      </c>
      <c r="J20" s="176">
        <f t="shared" si="3"/>
        <v>103903</v>
      </c>
      <c r="K20" s="176">
        <f t="shared" si="3"/>
        <v>86875</v>
      </c>
      <c r="L20" s="176">
        <f t="shared" si="3"/>
        <v>96467</v>
      </c>
      <c r="M20" s="176">
        <f>M15+M16</f>
        <v>112584.72500000001</v>
      </c>
    </row>
    <row r="21" spans="1:13" ht="15" thickBot="1" x14ac:dyDescent="0.4">
      <c r="A21" s="175" t="s">
        <v>264</v>
      </c>
      <c r="B21" s="177"/>
      <c r="C21" s="176">
        <f>SUM(C22:C28)</f>
        <v>-53226</v>
      </c>
      <c r="D21" s="176">
        <f>SUM(D22:D28)</f>
        <v>-36722</v>
      </c>
      <c r="E21" s="177"/>
      <c r="F21" s="176">
        <v>-187003</v>
      </c>
      <c r="G21" s="176">
        <f t="shared" ref="G21:L21" si="4">SUM(G22:G28)</f>
        <v>-892</v>
      </c>
      <c r="H21" s="176">
        <f t="shared" si="4"/>
        <v>-30482</v>
      </c>
      <c r="I21" s="176">
        <f t="shared" si="4"/>
        <v>16929</v>
      </c>
      <c r="J21" s="176">
        <f t="shared" si="4"/>
        <v>-38891</v>
      </c>
      <c r="K21" s="176">
        <f t="shared" si="4"/>
        <v>-39007</v>
      </c>
      <c r="L21" s="176">
        <f t="shared" si="4"/>
        <v>-47379</v>
      </c>
      <c r="M21" s="176">
        <f>SUM(M22:M28)</f>
        <v>-34498.051999999996</v>
      </c>
    </row>
    <row r="22" spans="1:13" x14ac:dyDescent="0.35">
      <c r="A22" s="172" t="s">
        <v>265</v>
      </c>
      <c r="B22" s="177"/>
      <c r="C22" s="184">
        <v>-17776</v>
      </c>
      <c r="D22" s="184">
        <v>-19437</v>
      </c>
      <c r="E22" s="177"/>
      <c r="F22" s="184">
        <v>-16122</v>
      </c>
      <c r="G22" s="184">
        <v>-36202</v>
      </c>
      <c r="H22" s="184">
        <v>-2969</v>
      </c>
      <c r="I22" s="184">
        <v>11742</v>
      </c>
      <c r="J22" s="184">
        <v>-8630</v>
      </c>
      <c r="K22" s="184">
        <v>-8757</v>
      </c>
      <c r="L22" s="184">
        <v>-9531</v>
      </c>
      <c r="M22" s="382">
        <v>-7419.1229999999996</v>
      </c>
    </row>
    <row r="23" spans="1:13" x14ac:dyDescent="0.35">
      <c r="A23" s="172" t="s">
        <v>266</v>
      </c>
      <c r="B23" s="177"/>
      <c r="C23" s="184">
        <v>-86</v>
      </c>
      <c r="D23" s="184">
        <v>-382</v>
      </c>
      <c r="E23" s="177"/>
      <c r="F23" s="184">
        <v>-105</v>
      </c>
      <c r="G23" s="184">
        <v>-132</v>
      </c>
      <c r="H23" s="184">
        <v>-1634</v>
      </c>
      <c r="I23" s="184">
        <v>-2791</v>
      </c>
      <c r="J23" s="184">
        <v>-513</v>
      </c>
      <c r="K23" s="184">
        <v>-1042</v>
      </c>
      <c r="L23" s="184">
        <v>577</v>
      </c>
      <c r="M23" s="382">
        <v>149.209</v>
      </c>
    </row>
    <row r="24" spans="1:13" x14ac:dyDescent="0.35">
      <c r="A24" s="172" t="s">
        <v>267</v>
      </c>
      <c r="B24" s="395"/>
      <c r="C24" s="184">
        <v>-16644</v>
      </c>
      <c r="D24" s="184">
        <v>-12786</v>
      </c>
      <c r="E24" s="395"/>
      <c r="F24" s="184">
        <v>-20580</v>
      </c>
      <c r="G24" s="184">
        <v>-8284</v>
      </c>
      <c r="H24" s="184">
        <v>-20672</v>
      </c>
      <c r="I24" s="184">
        <v>34612</v>
      </c>
      <c r="J24" s="184">
        <v>-21901</v>
      </c>
      <c r="K24" s="184">
        <v>-26480</v>
      </c>
      <c r="L24" s="184">
        <v>-22797</v>
      </c>
      <c r="M24" s="382">
        <v>-25107.77</v>
      </c>
    </row>
    <row r="25" spans="1:13" x14ac:dyDescent="0.35">
      <c r="A25" s="172" t="s">
        <v>268</v>
      </c>
      <c r="B25" s="177"/>
      <c r="C25" s="184">
        <v>-12154</v>
      </c>
      <c r="D25" s="184">
        <v>-25894</v>
      </c>
      <c r="E25" s="177"/>
      <c r="F25" s="184">
        <v>-57029</v>
      </c>
      <c r="G25" s="184">
        <v>9699</v>
      </c>
      <c r="H25" s="184">
        <v>16743</v>
      </c>
      <c r="I25" s="184">
        <v>5920</v>
      </c>
      <c r="J25" s="184">
        <v>-1857</v>
      </c>
      <c r="K25" s="184">
        <v>2577</v>
      </c>
      <c r="L25" s="184">
        <v>8614</v>
      </c>
      <c r="M25" s="382">
        <v>1600.067</v>
      </c>
    </row>
    <row r="26" spans="1:13" x14ac:dyDescent="0.35">
      <c r="A26" s="172" t="s">
        <v>270</v>
      </c>
      <c r="B26" s="177"/>
      <c r="C26" s="184">
        <v>-6553</v>
      </c>
      <c r="D26" s="184">
        <v>-5754</v>
      </c>
      <c r="E26" s="177"/>
      <c r="F26" s="184">
        <v>-15471</v>
      </c>
      <c r="G26" s="184">
        <v>-969</v>
      </c>
      <c r="H26" s="184">
        <v>79</v>
      </c>
      <c r="I26" s="184">
        <v>3309</v>
      </c>
      <c r="J26" s="184">
        <v>-618</v>
      </c>
      <c r="K26" s="184">
        <v>-683</v>
      </c>
      <c r="L26" s="184">
        <v>136</v>
      </c>
      <c r="M26" s="382">
        <v>-55.688000000000002</v>
      </c>
    </row>
    <row r="27" spans="1:13" x14ac:dyDescent="0.35">
      <c r="A27" s="172" t="s">
        <v>269</v>
      </c>
      <c r="B27" s="177"/>
      <c r="C27" s="184">
        <v>0</v>
      </c>
      <c r="D27" s="184">
        <v>27480</v>
      </c>
      <c r="E27" s="177"/>
      <c r="F27" s="184">
        <v>-77854</v>
      </c>
      <c r="G27" s="184">
        <v>34347</v>
      </c>
      <c r="H27" s="184">
        <v>-21851</v>
      </c>
      <c r="I27" s="184">
        <v>-1791</v>
      </c>
      <c r="J27" s="184">
        <v>3655</v>
      </c>
      <c r="K27" s="184">
        <v>-2808</v>
      </c>
      <c r="L27" s="184">
        <v>-2995</v>
      </c>
      <c r="M27" s="382">
        <v>-3320.8249999999998</v>
      </c>
    </row>
    <row r="28" spans="1:13" x14ac:dyDescent="0.35">
      <c r="A28" s="172" t="s">
        <v>271</v>
      </c>
      <c r="B28" s="169"/>
      <c r="C28" s="184">
        <v>-13</v>
      </c>
      <c r="D28" s="184">
        <v>51</v>
      </c>
      <c r="E28" s="169"/>
      <c r="F28" s="184">
        <v>158</v>
      </c>
      <c r="G28" s="184">
        <v>649</v>
      </c>
      <c r="H28" s="184">
        <v>-178</v>
      </c>
      <c r="I28" s="184">
        <v>-34072</v>
      </c>
      <c r="J28" s="184">
        <v>-9027</v>
      </c>
      <c r="K28" s="184">
        <v>-1814</v>
      </c>
      <c r="L28" s="184">
        <v>-21383</v>
      </c>
      <c r="M28" s="382">
        <v>-343.92200000000003</v>
      </c>
    </row>
    <row r="29" spans="1:13" x14ac:dyDescent="0.35">
      <c r="A29" s="596" t="s">
        <v>272</v>
      </c>
      <c r="B29" s="177"/>
      <c r="C29" s="603">
        <f>C15+C16+C21</f>
        <v>-33257</v>
      </c>
      <c r="D29" s="603">
        <f>D15+D16+D21</f>
        <v>-25352</v>
      </c>
      <c r="E29" s="177"/>
      <c r="F29" s="603">
        <f t="shared" ref="F29:I29" si="5">F15+F16+F21</f>
        <v>221185</v>
      </c>
      <c r="G29" s="603">
        <f t="shared" si="5"/>
        <v>6527</v>
      </c>
      <c r="H29" s="603">
        <f t="shared" si="5"/>
        <v>120154</v>
      </c>
      <c r="I29" s="603">
        <f t="shared" si="5"/>
        <v>68345</v>
      </c>
      <c r="J29" s="603">
        <f>J15+J16+J21</f>
        <v>65012</v>
      </c>
      <c r="K29" s="603">
        <f>K15+K16+K21</f>
        <v>47868</v>
      </c>
      <c r="L29" s="603">
        <f>L15+L16+L21</f>
        <v>49088</v>
      </c>
      <c r="M29" s="604">
        <f>M15+M16+M21</f>
        <v>78086.67300000001</v>
      </c>
    </row>
    <row r="30" spans="1:13" ht="15" thickBot="1" x14ac:dyDescent="0.4">
      <c r="A30" s="172" t="s">
        <v>273</v>
      </c>
      <c r="B30" s="169"/>
      <c r="C30" s="184">
        <v>-6491</v>
      </c>
      <c r="D30" s="184">
        <v>-6447</v>
      </c>
      <c r="E30" s="169"/>
      <c r="F30" s="184">
        <v>-7397</v>
      </c>
      <c r="G30" s="184">
        <v>-4792</v>
      </c>
      <c r="H30" s="184">
        <v>-4874</v>
      </c>
      <c r="I30" s="184">
        <v>-5080</v>
      </c>
      <c r="J30" s="184">
        <v>-8960</v>
      </c>
      <c r="K30" s="184">
        <v>-5717</v>
      </c>
      <c r="L30" s="184">
        <v>-10534</v>
      </c>
      <c r="M30" s="382">
        <v>-9237.5949999999993</v>
      </c>
    </row>
    <row r="31" spans="1:13" ht="15" thickBot="1" x14ac:dyDescent="0.4">
      <c r="A31" s="175" t="s">
        <v>274</v>
      </c>
      <c r="B31" s="169"/>
      <c r="C31" s="176">
        <f>SUM(C29:C30)</f>
        <v>-39748</v>
      </c>
      <c r="D31" s="176">
        <f>SUM(D29:D30)</f>
        <v>-31799</v>
      </c>
      <c r="E31" s="169"/>
      <c r="F31" s="176">
        <f t="shared" ref="F31:I31" si="6">SUM(F29:F30)</f>
        <v>213788</v>
      </c>
      <c r="G31" s="176">
        <f t="shared" si="6"/>
        <v>1735</v>
      </c>
      <c r="H31" s="176">
        <f t="shared" si="6"/>
        <v>115280</v>
      </c>
      <c r="I31" s="176">
        <f t="shared" si="6"/>
        <v>63265</v>
      </c>
      <c r="J31" s="176">
        <f>SUM(J29:J30)</f>
        <v>56052</v>
      </c>
      <c r="K31" s="176">
        <f>SUM(K29:K30)</f>
        <v>42151</v>
      </c>
      <c r="L31" s="176">
        <f>SUM(L29:L30)</f>
        <v>38554</v>
      </c>
      <c r="M31" s="176">
        <f>SUM(M29:M30)</f>
        <v>68849.078000000009</v>
      </c>
    </row>
    <row r="32" spans="1:13" ht="15" thickBot="1" x14ac:dyDescent="0.4">
      <c r="A32" s="175" t="s">
        <v>277</v>
      </c>
      <c r="B32" s="169"/>
      <c r="C32" s="389">
        <f>C33+C34</f>
        <v>-16155</v>
      </c>
      <c r="D32" s="389">
        <f>D33+D34</f>
        <v>-26261</v>
      </c>
      <c r="E32" s="169"/>
      <c r="F32" s="389">
        <f t="shared" ref="F32:I32" si="7">F33+F34</f>
        <v>51102</v>
      </c>
      <c r="G32" s="389">
        <f t="shared" si="7"/>
        <v>169205</v>
      </c>
      <c r="H32" s="389">
        <f t="shared" si="7"/>
        <v>299</v>
      </c>
      <c r="I32" s="389">
        <f t="shared" si="7"/>
        <v>151070</v>
      </c>
      <c r="J32" s="389">
        <f>J33+J34</f>
        <v>-56816</v>
      </c>
      <c r="K32" s="389">
        <f>K33+K34</f>
        <v>-46466</v>
      </c>
      <c r="L32" s="389">
        <f>L33+L34</f>
        <v>-45019</v>
      </c>
      <c r="M32" s="389">
        <f>M33+M34</f>
        <v>-65834.861999999994</v>
      </c>
    </row>
    <row r="33" spans="1:13" x14ac:dyDescent="0.35">
      <c r="A33" s="172" t="s">
        <v>278</v>
      </c>
      <c r="B33" s="169"/>
      <c r="C33" s="184">
        <v>172</v>
      </c>
      <c r="D33" s="184">
        <v>374</v>
      </c>
      <c r="E33" s="169"/>
      <c r="F33" s="184">
        <v>196928</v>
      </c>
      <c r="G33" s="184">
        <v>280963</v>
      </c>
      <c r="H33" s="184">
        <v>119066</v>
      </c>
      <c r="I33" s="184">
        <v>235535</v>
      </c>
      <c r="J33" s="184">
        <v>24086</v>
      </c>
      <c r="K33" s="184">
        <v>71213</v>
      </c>
      <c r="L33" s="184">
        <v>53907</v>
      </c>
      <c r="M33" s="382">
        <v>-18306.427</v>
      </c>
    </row>
    <row r="34" spans="1:13" ht="15" thickBot="1" x14ac:dyDescent="0.4">
      <c r="A34" s="172" t="s">
        <v>279</v>
      </c>
      <c r="B34" s="169"/>
      <c r="C34" s="184">
        <v>-16327</v>
      </c>
      <c r="D34" s="184">
        <v>-26635</v>
      </c>
      <c r="E34" s="169"/>
      <c r="F34" s="184">
        <v>-145826</v>
      </c>
      <c r="G34" s="184">
        <v>-111758</v>
      </c>
      <c r="H34" s="184">
        <v>-118767</v>
      </c>
      <c r="I34" s="184">
        <v>-84465</v>
      </c>
      <c r="J34" s="184">
        <v>-80902</v>
      </c>
      <c r="K34" s="184">
        <v>-117679</v>
      </c>
      <c r="L34" s="184">
        <v>-98926</v>
      </c>
      <c r="M34" s="382">
        <v>-47528.434999999998</v>
      </c>
    </row>
    <row r="35" spans="1:13" ht="15" thickBot="1" x14ac:dyDescent="0.4">
      <c r="A35" s="175" t="s">
        <v>314</v>
      </c>
      <c r="B35" s="169"/>
      <c r="C35" s="176">
        <f>C31+C32</f>
        <v>-55903</v>
      </c>
      <c r="D35" s="176">
        <f>D31+D32</f>
        <v>-58060</v>
      </c>
      <c r="E35" s="169"/>
      <c r="F35" s="176">
        <f t="shared" ref="F35:I35" si="8">F31+F32</f>
        <v>264890</v>
      </c>
      <c r="G35" s="176">
        <f t="shared" si="8"/>
        <v>170940</v>
      </c>
      <c r="H35" s="176">
        <f t="shared" si="8"/>
        <v>115579</v>
      </c>
      <c r="I35" s="176">
        <f t="shared" si="8"/>
        <v>214335</v>
      </c>
      <c r="J35" s="176">
        <f>J31+J32</f>
        <v>-764</v>
      </c>
      <c r="K35" s="176">
        <f>K31+K32</f>
        <v>-4315</v>
      </c>
      <c r="L35" s="176">
        <f>L31+L32</f>
        <v>-6465</v>
      </c>
      <c r="M35" s="176">
        <f>M31+M32</f>
        <v>3014.2160000000149</v>
      </c>
    </row>
    <row r="36" spans="1:13" x14ac:dyDescent="0.35">
      <c r="A36" s="172" t="s">
        <v>281</v>
      </c>
      <c r="B36" s="169"/>
      <c r="C36" s="184">
        <v>0</v>
      </c>
      <c r="D36" s="184"/>
      <c r="E36" s="169"/>
      <c r="F36" s="184">
        <v>-14983</v>
      </c>
      <c r="G36" s="184">
        <v>-11317</v>
      </c>
      <c r="H36" s="184">
        <v>-7012</v>
      </c>
      <c r="I36" s="184">
        <v>-12773</v>
      </c>
      <c r="J36" s="184">
        <v>1460</v>
      </c>
      <c r="K36" s="184">
        <v>-511</v>
      </c>
      <c r="L36" s="184">
        <v>-1123</v>
      </c>
      <c r="M36" s="382">
        <v>1175.991</v>
      </c>
    </row>
    <row r="37" spans="1:13" x14ac:dyDescent="0.35">
      <c r="A37" s="172" t="s">
        <v>282</v>
      </c>
      <c r="B37" s="169"/>
      <c r="C37" s="184">
        <v>0</v>
      </c>
      <c r="D37" s="184"/>
      <c r="E37" s="169"/>
      <c r="F37" s="184">
        <v>-40597</v>
      </c>
      <c r="G37" s="184">
        <v>-31429</v>
      </c>
      <c r="H37" s="184">
        <v>-18446</v>
      </c>
      <c r="I37" s="184">
        <v>-30582</v>
      </c>
      <c r="J37" s="184">
        <v>-923</v>
      </c>
      <c r="K37" s="184">
        <v>-1428</v>
      </c>
      <c r="L37" s="184">
        <v>-3169</v>
      </c>
      <c r="M37" s="382">
        <v>3144.2840000000001</v>
      </c>
    </row>
    <row r="38" spans="1:13" x14ac:dyDescent="0.35">
      <c r="A38" s="172" t="s">
        <v>283</v>
      </c>
      <c r="B38" s="169"/>
      <c r="C38" s="184">
        <v>0</v>
      </c>
      <c r="D38" s="184"/>
      <c r="E38" s="169"/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382">
        <v>0</v>
      </c>
    </row>
    <row r="39" spans="1:13" ht="15" thickBot="1" x14ac:dyDescent="0.4">
      <c r="A39" s="172" t="s">
        <v>284</v>
      </c>
      <c r="B39" s="169"/>
      <c r="C39" s="184">
        <v>0</v>
      </c>
      <c r="D39" s="184"/>
      <c r="E39" s="169"/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382">
        <v>0</v>
      </c>
    </row>
    <row r="40" spans="1:13" ht="15" thickBot="1" x14ac:dyDescent="0.4">
      <c r="A40" s="175" t="s">
        <v>285</v>
      </c>
      <c r="B40" s="169"/>
      <c r="C40" s="391">
        <f>SUM(C35:C39)</f>
        <v>-55903</v>
      </c>
      <c r="D40" s="391">
        <f>SUM(D35:D39)</f>
        <v>-58060</v>
      </c>
      <c r="E40" s="169"/>
      <c r="F40" s="391">
        <f t="shared" ref="F40:I40" si="9">SUM(F35:F39)</f>
        <v>209310</v>
      </c>
      <c r="G40" s="391">
        <f t="shared" si="9"/>
        <v>128194</v>
      </c>
      <c r="H40" s="391">
        <f t="shared" si="9"/>
        <v>90121</v>
      </c>
      <c r="I40" s="391">
        <f t="shared" si="9"/>
        <v>170980</v>
      </c>
      <c r="J40" s="391">
        <f>SUM(J35:J39)</f>
        <v>-227</v>
      </c>
      <c r="K40" s="391">
        <f>SUM(K35:K39)</f>
        <v>-6254</v>
      </c>
      <c r="L40" s="391">
        <f>SUM(L35:L39)</f>
        <v>-10757</v>
      </c>
      <c r="M40" s="391">
        <f>SUM(M35:M39)</f>
        <v>7334.4910000000145</v>
      </c>
    </row>
    <row r="43" spans="1:13" x14ac:dyDescent="0.35">
      <c r="C43" s="393"/>
      <c r="D43" s="393"/>
      <c r="F43" s="393"/>
      <c r="G43" s="393"/>
      <c r="H43" s="393"/>
      <c r="I43" s="393"/>
      <c r="J43" s="393"/>
      <c r="K43" s="393"/>
      <c r="L43" s="393"/>
      <c r="M43" s="393"/>
    </row>
  </sheetData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C940-D5E8-4B8B-AA6C-F767E5B36ECC}">
  <sheetPr>
    <tabColor theme="9" tint="0.79998168889431442"/>
  </sheetPr>
  <dimension ref="A7:I46"/>
  <sheetViews>
    <sheetView showGridLines="0" zoomScale="85" zoomScaleNormal="85" workbookViewId="0">
      <pane xSplit="1" ySplit="8" topLeftCell="B9" activePane="bottomRight" state="frozen"/>
      <selection activeCell="I26" sqref="I26"/>
      <selection pane="topRight" activeCell="I26" sqref="I26"/>
      <selection pane="bottomLeft" activeCell="I26" sqref="I26"/>
      <selection pane="bottomRight" activeCell="L13" sqref="L13"/>
    </sheetView>
  </sheetViews>
  <sheetFormatPr defaultRowHeight="14.5" x14ac:dyDescent="0.35"/>
  <cols>
    <col min="1" max="1" width="44.453125" style="37" bestFit="1" customWidth="1"/>
    <col min="2" max="2" width="1.36328125" customWidth="1"/>
    <col min="3" max="5" width="8.7265625" style="37"/>
    <col min="6" max="6" width="1.36328125" customWidth="1"/>
    <col min="7" max="9" width="8.7265625" style="37"/>
  </cols>
  <sheetData>
    <row r="7" spans="1:9" x14ac:dyDescent="0.35">
      <c r="A7" s="41" t="s">
        <v>549</v>
      </c>
      <c r="C7" s="41"/>
      <c r="D7" s="41"/>
      <c r="E7" s="41"/>
      <c r="G7" s="41"/>
      <c r="H7" s="41"/>
      <c r="I7" s="41"/>
    </row>
    <row r="8" spans="1:9" ht="15" thickBot="1" x14ac:dyDescent="0.4">
      <c r="A8" s="589" t="s">
        <v>245</v>
      </c>
      <c r="C8" s="591" t="s">
        <v>77</v>
      </c>
      <c r="D8" s="591" t="s">
        <v>78</v>
      </c>
      <c r="E8" s="601" t="s">
        <v>79</v>
      </c>
      <c r="G8" s="591" t="s">
        <v>81</v>
      </c>
      <c r="H8" s="591" t="s">
        <v>82</v>
      </c>
      <c r="I8" s="601" t="s">
        <v>83</v>
      </c>
    </row>
    <row r="9" spans="1:9" ht="15" thickBot="1" x14ac:dyDescent="0.4">
      <c r="A9" s="175" t="s">
        <v>246</v>
      </c>
      <c r="C9" s="357">
        <f>SUM(C10:C13)</f>
        <v>4098553</v>
      </c>
      <c r="D9" s="357">
        <f>SUM(D10:D13)</f>
        <v>3318478.6150000002</v>
      </c>
      <c r="E9" s="357">
        <f>SUM(E10:E13)</f>
        <v>3173426.3260000004</v>
      </c>
      <c r="G9" s="357">
        <f>SUM(G10:G13)</f>
        <v>3600945</v>
      </c>
      <c r="H9" s="357">
        <f>SUM(H10:H13)</f>
        <v>2660803.233</v>
      </c>
      <c r="I9" s="357">
        <f>SUM(I10:I13)</f>
        <v>3060795.0379999997</v>
      </c>
    </row>
    <row r="10" spans="1:9" x14ac:dyDescent="0.35">
      <c r="A10" s="172" t="s">
        <v>247</v>
      </c>
      <c r="C10" s="359">
        <v>3105387</v>
      </c>
      <c r="D10" s="359">
        <v>2382105.9530000002</v>
      </c>
      <c r="E10" s="372">
        <v>2169994.2740000002</v>
      </c>
      <c r="G10" s="360">
        <v>2265091</v>
      </c>
      <c r="H10" s="360">
        <v>1944761.648</v>
      </c>
      <c r="I10" s="361">
        <v>2183220.085</v>
      </c>
    </row>
    <row r="11" spans="1:9" x14ac:dyDescent="0.35">
      <c r="A11" s="172" t="s">
        <v>248</v>
      </c>
      <c r="C11" s="359">
        <v>88630</v>
      </c>
      <c r="D11" s="359">
        <v>68321.561000000002</v>
      </c>
      <c r="E11" s="372">
        <v>83679.679000000004</v>
      </c>
      <c r="G11" s="360">
        <v>35569</v>
      </c>
      <c r="H11" s="360">
        <v>59643.712</v>
      </c>
      <c r="I11" s="361">
        <v>24497.641</v>
      </c>
    </row>
    <row r="12" spans="1:9" x14ac:dyDescent="0.35">
      <c r="A12" s="172" t="s">
        <v>249</v>
      </c>
      <c r="C12" s="359">
        <v>564973</v>
      </c>
      <c r="D12" s="359">
        <v>484701.89199999999</v>
      </c>
      <c r="E12" s="372">
        <v>541859.22499999998</v>
      </c>
      <c r="G12" s="360">
        <v>902134</v>
      </c>
      <c r="H12" s="360">
        <v>245617.82900000003</v>
      </c>
      <c r="I12" s="361">
        <v>385922.05</v>
      </c>
    </row>
    <row r="13" spans="1:9" ht="15" thickBot="1" x14ac:dyDescent="0.4">
      <c r="A13" s="172" t="s">
        <v>254</v>
      </c>
      <c r="C13" s="359">
        <v>339563</v>
      </c>
      <c r="D13" s="359">
        <v>383349.20899999997</v>
      </c>
      <c r="E13" s="372">
        <v>377893.14799999999</v>
      </c>
      <c r="G13" s="360">
        <v>398151</v>
      </c>
      <c r="H13" s="360">
        <v>410780.04399999999</v>
      </c>
      <c r="I13" s="361">
        <v>467155.26199999999</v>
      </c>
    </row>
    <row r="14" spans="1:9" ht="15" thickBot="1" x14ac:dyDescent="0.4">
      <c r="A14" s="175" t="s">
        <v>305</v>
      </c>
      <c r="C14" s="364">
        <v>-1790727</v>
      </c>
      <c r="D14" s="364">
        <v>-1343851.081</v>
      </c>
      <c r="E14" s="365">
        <v>-911601.54</v>
      </c>
      <c r="G14" s="364">
        <v>-854261</v>
      </c>
      <c r="H14" s="364">
        <v>-980460.12300000002</v>
      </c>
      <c r="I14" s="365">
        <v>-902727.77399999998</v>
      </c>
    </row>
    <row r="15" spans="1:9" ht="15" thickBot="1" x14ac:dyDescent="0.4">
      <c r="A15" s="175" t="s">
        <v>256</v>
      </c>
      <c r="C15" s="357">
        <f>C14+C9</f>
        <v>2307826</v>
      </c>
      <c r="D15" s="357">
        <f>D14+D9</f>
        <v>1974627.5340000002</v>
      </c>
      <c r="E15" s="357">
        <f>E14+E9</f>
        <v>2261824.7860000003</v>
      </c>
      <c r="G15" s="357">
        <f>G14+G9</f>
        <v>2746684</v>
      </c>
      <c r="H15" s="357">
        <f>H14+H9</f>
        <v>1680343.1099999999</v>
      </c>
      <c r="I15" s="357">
        <f>I14+I9</f>
        <v>2158067.2639999995</v>
      </c>
    </row>
    <row r="16" spans="1:9" ht="15" thickBot="1" x14ac:dyDescent="0.4">
      <c r="A16" s="175" t="s">
        <v>257</v>
      </c>
      <c r="C16" s="357">
        <f>SUM(C17:C19)</f>
        <v>-1731236</v>
      </c>
      <c r="D16" s="357">
        <f>SUM(D17:D19)</f>
        <v>-1453767.9810000001</v>
      </c>
      <c r="E16" s="357">
        <f>SUM(E17:E19)</f>
        <v>-1713857.4419999998</v>
      </c>
      <c r="G16" s="357">
        <f>SUM(G17:G19)</f>
        <v>-2008471</v>
      </c>
      <c r="H16" s="357">
        <f>SUM(H17:H19)</f>
        <v>-1222665.6529999999</v>
      </c>
      <c r="I16" s="357">
        <f>SUM(I17:I19)</f>
        <v>-1423340.9029999999</v>
      </c>
    </row>
    <row r="17" spans="1:9" x14ac:dyDescent="0.35">
      <c r="A17" s="172" t="s">
        <v>258</v>
      </c>
      <c r="C17" s="362">
        <v>-998223</v>
      </c>
      <c r="D17" s="362">
        <v>-798820.875</v>
      </c>
      <c r="E17" s="376">
        <v>-955071.625</v>
      </c>
      <c r="G17" s="366">
        <v>-891216</v>
      </c>
      <c r="H17" s="366">
        <v>-767214.35199999996</v>
      </c>
      <c r="I17" s="367">
        <v>-776359.03</v>
      </c>
    </row>
    <row r="18" spans="1:9" x14ac:dyDescent="0.35">
      <c r="A18" s="172" t="s">
        <v>260</v>
      </c>
      <c r="C18" s="362">
        <v>-168040</v>
      </c>
      <c r="D18" s="362">
        <v>-170245.21400000001</v>
      </c>
      <c r="E18" s="376">
        <v>-216926.592</v>
      </c>
      <c r="G18" s="366">
        <v>-215121</v>
      </c>
      <c r="H18" s="366">
        <v>-209833.47200000001</v>
      </c>
      <c r="I18" s="367">
        <v>-261059.823</v>
      </c>
    </row>
    <row r="19" spans="1:9" ht="15" thickBot="1" x14ac:dyDescent="0.4">
      <c r="A19" s="172" t="s">
        <v>261</v>
      </c>
      <c r="C19" s="362">
        <v>-564973</v>
      </c>
      <c r="D19" s="362">
        <v>-484701.89199999999</v>
      </c>
      <c r="E19" s="376">
        <v>-541859.22499999998</v>
      </c>
      <c r="G19" s="366">
        <v>-902134</v>
      </c>
      <c r="H19" s="366">
        <v>-245617.82900000003</v>
      </c>
      <c r="I19" s="367">
        <v>-385922.05</v>
      </c>
    </row>
    <row r="20" spans="1:9" ht="15" thickBot="1" x14ac:dyDescent="0.4">
      <c r="A20" s="175" t="s">
        <v>263</v>
      </c>
      <c r="C20" s="357">
        <f>SUM(C16,C15)</f>
        <v>576590</v>
      </c>
      <c r="D20" s="357">
        <f>SUM(D16,D15)</f>
        <v>520859.55300000007</v>
      </c>
      <c r="E20" s="357">
        <f>SUM(E16,E15)</f>
        <v>547967.34400000051</v>
      </c>
      <c r="G20" s="357">
        <f>SUM(G16,G15)</f>
        <v>738213</v>
      </c>
      <c r="H20" s="357">
        <f>SUM(H16,H15)</f>
        <v>457677.45699999994</v>
      </c>
      <c r="I20" s="357">
        <f>SUM(I16,I15)</f>
        <v>734726.36099999957</v>
      </c>
    </row>
    <row r="21" spans="1:9" ht="15" thickBot="1" x14ac:dyDescent="0.4">
      <c r="A21" s="175" t="s">
        <v>264</v>
      </c>
      <c r="C21" s="357">
        <f>SUM(C22:C27)</f>
        <v>-359539</v>
      </c>
      <c r="D21" s="357">
        <f>SUM(D22:D27)</f>
        <v>-389509.95</v>
      </c>
      <c r="E21" s="357">
        <f>SUM(E22:E27)</f>
        <v>-337785.71099999995</v>
      </c>
      <c r="G21" s="357">
        <f>SUM(G22:G27)</f>
        <v>-372083</v>
      </c>
      <c r="H21" s="357">
        <f>SUM(H22:H27)</f>
        <v>-482016.13699999999</v>
      </c>
      <c r="I21" s="357">
        <f>SUM(I22:I27)</f>
        <v>-372246.049</v>
      </c>
    </row>
    <row r="22" spans="1:9" x14ac:dyDescent="0.35">
      <c r="A22" s="172" t="s">
        <v>265</v>
      </c>
      <c r="C22" s="359">
        <v>-31551</v>
      </c>
      <c r="D22" s="359">
        <v>-40340.195</v>
      </c>
      <c r="E22" s="376">
        <v>-39696.866000000002</v>
      </c>
      <c r="G22" s="360">
        <v>-70407</v>
      </c>
      <c r="H22" s="360">
        <v>-56770.048000000003</v>
      </c>
      <c r="I22" s="367">
        <v>-36516.428999999996</v>
      </c>
    </row>
    <row r="23" spans="1:9" x14ac:dyDescent="0.35">
      <c r="A23" s="172" t="s">
        <v>266</v>
      </c>
      <c r="C23" s="359">
        <v>-11515</v>
      </c>
      <c r="D23" s="359">
        <v>2735.828</v>
      </c>
      <c r="E23" s="376">
        <v>-6988.2759999999998</v>
      </c>
      <c r="G23" s="360">
        <v>-17471</v>
      </c>
      <c r="H23" s="360">
        <v>8446.1350000000002</v>
      </c>
      <c r="I23" s="367">
        <v>-19340.683000000001</v>
      </c>
    </row>
    <row r="24" spans="1:9" x14ac:dyDescent="0.35">
      <c r="A24" s="172" t="s">
        <v>267</v>
      </c>
      <c r="C24" s="359">
        <v>-260243</v>
      </c>
      <c r="D24" s="359">
        <v>-203707.75599999999</v>
      </c>
      <c r="E24" s="376">
        <v>-209456.29699999999</v>
      </c>
      <c r="G24" s="360">
        <v>-273483</v>
      </c>
      <c r="H24" s="360">
        <v>-179443.60699999999</v>
      </c>
      <c r="I24" s="367">
        <v>-229681.91099999999</v>
      </c>
    </row>
    <row r="25" spans="1:9" x14ac:dyDescent="0.35">
      <c r="A25" s="172" t="s">
        <v>268</v>
      </c>
      <c r="C25" s="359">
        <v>-34689</v>
      </c>
      <c r="D25" s="359">
        <v>-47765.748</v>
      </c>
      <c r="E25" s="376">
        <v>-52957.341</v>
      </c>
      <c r="G25" s="360">
        <v>-28250</v>
      </c>
      <c r="H25" s="360">
        <v>-210342.55799999999</v>
      </c>
      <c r="I25" s="367">
        <v>-58609.07</v>
      </c>
    </row>
    <row r="26" spans="1:9" x14ac:dyDescent="0.35">
      <c r="A26" s="172" t="s">
        <v>270</v>
      </c>
      <c r="C26" s="359">
        <v>-29852</v>
      </c>
      <c r="D26" s="359">
        <v>-95615.623999999996</v>
      </c>
      <c r="E26" s="376">
        <v>-14543.073</v>
      </c>
      <c r="G26" s="360">
        <v>-30944</v>
      </c>
      <c r="H26" s="360">
        <v>14507.562</v>
      </c>
      <c r="I26" s="367">
        <v>-7816.2830000000004</v>
      </c>
    </row>
    <row r="27" spans="1:9" x14ac:dyDescent="0.35">
      <c r="A27" s="172" t="s">
        <v>271</v>
      </c>
      <c r="C27" s="359">
        <v>8311</v>
      </c>
      <c r="D27" s="359">
        <v>-4816.4549999999999</v>
      </c>
      <c r="E27" s="376">
        <v>-14143.858</v>
      </c>
      <c r="G27" s="360">
        <v>48472</v>
      </c>
      <c r="H27" s="360">
        <v>-58413.620999999999</v>
      </c>
      <c r="I27" s="367">
        <v>-20281.672999999999</v>
      </c>
    </row>
    <row r="28" spans="1:9" x14ac:dyDescent="0.35">
      <c r="A28" s="596" t="s">
        <v>272</v>
      </c>
      <c r="C28" s="602">
        <f>SUM(C20:C21)</f>
        <v>217051</v>
      </c>
      <c r="D28" s="602">
        <f>SUM(D20:D21)</f>
        <v>131349.60300000006</v>
      </c>
      <c r="E28" s="602">
        <f>SUM(E20:E21)</f>
        <v>210181.63300000055</v>
      </c>
      <c r="G28" s="602">
        <f>SUM(G20:G21)</f>
        <v>366130</v>
      </c>
      <c r="H28" s="602">
        <f>SUM(H20:H21)</f>
        <v>-24338.680000000051</v>
      </c>
      <c r="I28" s="602">
        <f>SUM(I20:I21)</f>
        <v>362480.31199999957</v>
      </c>
    </row>
    <row r="29" spans="1:9" ht="15" thickBot="1" x14ac:dyDescent="0.4">
      <c r="A29" s="172" t="s">
        <v>273</v>
      </c>
      <c r="C29" s="359">
        <v>-106520</v>
      </c>
      <c r="D29" s="359">
        <v>-104273.38</v>
      </c>
      <c r="E29" s="372">
        <v>-102419.67600000001</v>
      </c>
      <c r="G29" s="360">
        <v>-119028</v>
      </c>
      <c r="H29" s="360">
        <v>-95964.873000000007</v>
      </c>
      <c r="I29" s="361">
        <v>-153267.81099999999</v>
      </c>
    </row>
    <row r="30" spans="1:9" ht="15" thickBot="1" x14ac:dyDescent="0.4">
      <c r="A30" s="175" t="s">
        <v>274</v>
      </c>
      <c r="C30" s="357">
        <f>SUM(C28:C29)</f>
        <v>110531</v>
      </c>
      <c r="D30" s="357">
        <f>SUM(D28:D29)</f>
        <v>27076.223000000056</v>
      </c>
      <c r="E30" s="357">
        <f>SUM(E28:E29)</f>
        <v>107761.95700000055</v>
      </c>
      <c r="G30" s="357">
        <f>SUM(G28:G29)</f>
        <v>247102</v>
      </c>
      <c r="H30" s="357">
        <f>SUM(H28:H29)</f>
        <v>-120303.55300000006</v>
      </c>
      <c r="I30" s="357">
        <f>SUM(I28:I29)</f>
        <v>209212.50099999958</v>
      </c>
    </row>
    <row r="31" spans="1:9" ht="15" thickBot="1" x14ac:dyDescent="0.4">
      <c r="A31" s="175" t="s">
        <v>277</v>
      </c>
      <c r="C31" s="370">
        <f>SUM(C32:C33)</f>
        <v>-183770</v>
      </c>
      <c r="D31" s="370">
        <f>SUM(D32:D33)</f>
        <v>-204973.86300000001</v>
      </c>
      <c r="E31" s="370">
        <f>SUM(E32:E33)</f>
        <v>-323852.96599999996</v>
      </c>
      <c r="G31" s="370">
        <f>SUM(G32:G33)</f>
        <v>-276986</v>
      </c>
      <c r="H31" s="370">
        <f>SUM(H32:H33)</f>
        <v>-506712.86700000003</v>
      </c>
      <c r="I31" s="370">
        <f>SUM(I32:I33)</f>
        <v>-327865.06400000001</v>
      </c>
    </row>
    <row r="32" spans="1:9" x14ac:dyDescent="0.35">
      <c r="A32" s="172" t="s">
        <v>278</v>
      </c>
      <c r="C32" s="362">
        <v>330342</v>
      </c>
      <c r="D32" s="362">
        <v>52709.468000000001</v>
      </c>
      <c r="E32" s="376">
        <v>298096.08</v>
      </c>
      <c r="G32" s="366">
        <v>165073</v>
      </c>
      <c r="H32" s="366">
        <v>112476.14599999999</v>
      </c>
      <c r="I32" s="367">
        <v>58219.453999999998</v>
      </c>
    </row>
    <row r="33" spans="1:9" ht="15" thickBot="1" x14ac:dyDescent="0.4">
      <c r="A33" s="172" t="s">
        <v>279</v>
      </c>
      <c r="C33" s="362">
        <v>-514112</v>
      </c>
      <c r="D33" s="362">
        <v>-257683.33100000001</v>
      </c>
      <c r="E33" s="376">
        <v>-621949.04599999997</v>
      </c>
      <c r="G33" s="366">
        <v>-442059</v>
      </c>
      <c r="H33" s="366">
        <v>-619189.01300000004</v>
      </c>
      <c r="I33" s="367">
        <v>-386084.51799999998</v>
      </c>
    </row>
    <row r="34" spans="1:9" ht="15" thickBot="1" x14ac:dyDescent="0.4">
      <c r="A34" s="175" t="s">
        <v>314</v>
      </c>
      <c r="C34" s="357">
        <f>SUM(C30:C31)</f>
        <v>-73239</v>
      </c>
      <c r="D34" s="357">
        <f>SUM(D30:D31)</f>
        <v>-177897.63999999996</v>
      </c>
      <c r="E34" s="357">
        <f>SUM(E30:E31)</f>
        <v>-216091.00899999941</v>
      </c>
      <c r="G34" s="357">
        <f>SUM(G30:G31)</f>
        <v>-29884</v>
      </c>
      <c r="H34" s="357">
        <f>SUM(H30:H31)</f>
        <v>-627016.42000000004</v>
      </c>
      <c r="I34" s="357">
        <f>SUM(I30:I31)</f>
        <v>-118652.56300000043</v>
      </c>
    </row>
    <row r="35" spans="1:9" x14ac:dyDescent="0.35">
      <c r="A35" s="172" t="s">
        <v>281</v>
      </c>
      <c r="C35" s="362">
        <v>220</v>
      </c>
      <c r="D35" s="362">
        <v>-1955.827</v>
      </c>
      <c r="E35" s="376">
        <v>2444.2530000000002</v>
      </c>
      <c r="G35" s="366">
        <v>-10934</v>
      </c>
      <c r="H35" s="366">
        <v>5139.2879999999996</v>
      </c>
      <c r="I35" s="367">
        <v>0</v>
      </c>
    </row>
    <row r="36" spans="1:9" x14ac:dyDescent="0.35">
      <c r="A36" s="172" t="s">
        <v>282</v>
      </c>
      <c r="C36" s="359">
        <v>1542</v>
      </c>
      <c r="D36" s="359">
        <v>-5209.4830000000002</v>
      </c>
      <c r="E36" s="376">
        <v>6548.558</v>
      </c>
      <c r="G36" s="366">
        <v>-30339</v>
      </c>
      <c r="H36" s="366">
        <v>14241.407999999999</v>
      </c>
      <c r="I36" s="367">
        <v>0</v>
      </c>
    </row>
    <row r="37" spans="1:9" x14ac:dyDescent="0.35">
      <c r="A37" s="172" t="s">
        <v>283</v>
      </c>
      <c r="C37" s="362">
        <v>19842</v>
      </c>
      <c r="D37" s="362">
        <v>65671.423999999999</v>
      </c>
      <c r="E37" s="376">
        <v>61151.951999999997</v>
      </c>
      <c r="G37" s="366">
        <v>11034</v>
      </c>
      <c r="H37" s="366">
        <v>184962.44699999999</v>
      </c>
      <c r="I37" s="367">
        <v>39953.821000000004</v>
      </c>
    </row>
    <row r="38" spans="1:9" ht="15" thickBot="1" x14ac:dyDescent="0.4">
      <c r="A38" s="172" t="s">
        <v>284</v>
      </c>
      <c r="C38" s="359">
        <v>0</v>
      </c>
      <c r="D38" s="359">
        <v>0</v>
      </c>
      <c r="E38" s="376">
        <v>0</v>
      </c>
      <c r="G38" s="366">
        <v>0</v>
      </c>
      <c r="H38" s="366">
        <v>0</v>
      </c>
      <c r="I38" s="367">
        <v>0</v>
      </c>
    </row>
    <row r="39" spans="1:9" ht="15" thickBot="1" x14ac:dyDescent="0.4">
      <c r="A39" s="175" t="s">
        <v>285</v>
      </c>
      <c r="C39" s="357">
        <f>SUM(C34:C38)</f>
        <v>-51635</v>
      </c>
      <c r="D39" s="357">
        <f>SUM(D34:D38)</f>
        <v>-119391.52599999995</v>
      </c>
      <c r="E39" s="357">
        <f>SUM(E34:E38)</f>
        <v>-145946.24599999943</v>
      </c>
      <c r="G39" s="357">
        <f>SUM(G34:G38)</f>
        <v>-60123</v>
      </c>
      <c r="H39" s="357">
        <f>SUM(H34:H38)</f>
        <v>-422673.27700000006</v>
      </c>
      <c r="I39" s="357">
        <f>SUM(I34:I38)</f>
        <v>-78698.742000000435</v>
      </c>
    </row>
    <row r="40" spans="1:9" x14ac:dyDescent="0.35">
      <c r="G40" s="371"/>
      <c r="H40" s="371"/>
      <c r="I40" s="371"/>
    </row>
    <row r="41" spans="1:9" x14ac:dyDescent="0.35">
      <c r="G41" s="371"/>
      <c r="H41" s="371"/>
      <c r="I41" s="371"/>
    </row>
    <row r="42" spans="1:9" x14ac:dyDescent="0.35">
      <c r="G42" s="371"/>
      <c r="H42" s="371"/>
      <c r="I42" s="371"/>
    </row>
    <row r="43" spans="1:9" x14ac:dyDescent="0.35">
      <c r="G43" s="371"/>
      <c r="H43" s="371"/>
      <c r="I43" s="371"/>
    </row>
    <row r="44" spans="1:9" x14ac:dyDescent="0.35">
      <c r="G44" s="371"/>
      <c r="H44" s="371"/>
      <c r="I44" s="371"/>
    </row>
    <row r="45" spans="1:9" x14ac:dyDescent="0.35">
      <c r="G45" s="371"/>
      <c r="H45" s="371"/>
      <c r="I45" s="371"/>
    </row>
    <row r="46" spans="1:9" x14ac:dyDescent="0.35">
      <c r="G46" s="371"/>
      <c r="H46" s="371"/>
      <c r="I46" s="371"/>
    </row>
  </sheetData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0B50C-5666-400F-84A4-C911E494EDFC}">
  <sheetPr>
    <tabColor theme="9" tint="0.79998168889431442"/>
  </sheetPr>
  <dimension ref="A7:AC38"/>
  <sheetViews>
    <sheetView showGridLines="0" zoomScale="85" zoomScaleNormal="85" workbookViewId="0">
      <pane xSplit="1" ySplit="8" topLeftCell="B9" activePane="bottomRight" state="frozen"/>
      <selection activeCell="Z25" sqref="Z25"/>
      <selection pane="topRight" activeCell="Z25" sqref="Z25"/>
      <selection pane="bottomLeft" activeCell="Z25" sqref="Z25"/>
      <selection pane="bottomRight" activeCell="V1" sqref="C1:V1048576"/>
    </sheetView>
  </sheetViews>
  <sheetFormatPr defaultColWidth="9.1796875" defaultRowHeight="14.5" outlineLevelCol="1" x14ac:dyDescent="0.35"/>
  <cols>
    <col min="1" max="1" width="44.453125" style="37" bestFit="1" customWidth="1"/>
    <col min="2" max="2" width="2.36328125" customWidth="1"/>
    <col min="3" max="8" width="0" style="37" hidden="1" customWidth="1" outlineLevel="1"/>
    <col min="9" max="10" width="9.26953125" style="37" hidden="1" customWidth="1" outlineLevel="1"/>
    <col min="11" max="22" width="0" style="37" hidden="1" customWidth="1" outlineLevel="1"/>
    <col min="23" max="23" width="9.1796875" style="37" collapsed="1"/>
    <col min="24" max="16384" width="9.1796875" style="37"/>
  </cols>
  <sheetData>
    <row r="7" spans="1:29" x14ac:dyDescent="0.35">
      <c r="A7" s="41" t="s">
        <v>626</v>
      </c>
      <c r="B7" s="168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 ht="15" thickBot="1" x14ac:dyDescent="0.4">
      <c r="A8" s="589" t="s">
        <v>245</v>
      </c>
      <c r="B8" s="169"/>
      <c r="C8" s="590" t="s">
        <v>57</v>
      </c>
      <c r="D8" s="590" t="s">
        <v>58</v>
      </c>
      <c r="E8" s="590" t="s">
        <v>59</v>
      </c>
      <c r="F8" s="590" t="s">
        <v>60</v>
      </c>
      <c r="G8" s="590" t="s">
        <v>61</v>
      </c>
      <c r="H8" s="590" t="s">
        <v>62</v>
      </c>
      <c r="I8" s="590" t="s">
        <v>63</v>
      </c>
      <c r="J8" s="590" t="s">
        <v>64</v>
      </c>
      <c r="K8" s="590" t="s">
        <v>65</v>
      </c>
      <c r="L8" s="590" t="s">
        <v>66</v>
      </c>
      <c r="M8" s="590" t="s">
        <v>67</v>
      </c>
      <c r="N8" s="590" t="s">
        <v>68</v>
      </c>
      <c r="O8" s="590" t="s">
        <v>69</v>
      </c>
      <c r="P8" s="590" t="s">
        <v>70</v>
      </c>
      <c r="Q8" s="590" t="s">
        <v>71</v>
      </c>
      <c r="R8" s="590" t="s">
        <v>72</v>
      </c>
      <c r="S8" s="590" t="s">
        <v>73</v>
      </c>
      <c r="T8" s="590" t="s">
        <v>74</v>
      </c>
      <c r="U8" s="590" t="s">
        <v>75</v>
      </c>
      <c r="V8" s="590" t="s">
        <v>76</v>
      </c>
      <c r="W8" s="590" t="s">
        <v>77</v>
      </c>
      <c r="X8" s="590" t="s">
        <v>78</v>
      </c>
      <c r="Y8" s="590" t="s">
        <v>79</v>
      </c>
      <c r="Z8" s="590" t="s">
        <v>80</v>
      </c>
      <c r="AA8" s="590" t="s">
        <v>81</v>
      </c>
      <c r="AB8" s="590" t="s">
        <v>82</v>
      </c>
      <c r="AC8" s="594" t="s">
        <v>83</v>
      </c>
    </row>
    <row r="9" spans="1:29" ht="15" thickBot="1" x14ac:dyDescent="0.4">
      <c r="A9" s="175" t="s">
        <v>246</v>
      </c>
      <c r="B9" s="169"/>
      <c r="C9" s="176">
        <f>SUM(C10:C17)</f>
        <v>31842.022980000002</v>
      </c>
      <c r="D9" s="176">
        <f t="shared" ref="D9:X9" si="0">SUM(D10:D17)</f>
        <v>32331</v>
      </c>
      <c r="E9" s="176">
        <f t="shared" si="0"/>
        <v>32114.903379999996</v>
      </c>
      <c r="F9" s="176">
        <f t="shared" si="0"/>
        <v>48440.278330000016</v>
      </c>
      <c r="G9" s="176">
        <f t="shared" si="0"/>
        <v>44413.377119999997</v>
      </c>
      <c r="H9" s="176">
        <f t="shared" si="0"/>
        <v>46974</v>
      </c>
      <c r="I9" s="176">
        <f t="shared" si="0"/>
        <v>47646.775379999999</v>
      </c>
      <c r="J9" s="176">
        <f t="shared" si="0"/>
        <v>94181.278309999965</v>
      </c>
      <c r="K9" s="176">
        <f t="shared" si="0"/>
        <v>55341.709849999999</v>
      </c>
      <c r="L9" s="176">
        <f t="shared" si="0"/>
        <v>94695.691049999994</v>
      </c>
      <c r="M9" s="176">
        <f t="shared" si="0"/>
        <v>39370.182249999998</v>
      </c>
      <c r="N9" s="176">
        <f t="shared" si="0"/>
        <v>371443.02332000004</v>
      </c>
      <c r="O9" s="176">
        <f t="shared" si="0"/>
        <v>39386</v>
      </c>
      <c r="P9" s="176">
        <f t="shared" si="0"/>
        <v>38191.880619999996</v>
      </c>
      <c r="Q9" s="176">
        <f t="shared" si="0"/>
        <v>41899</v>
      </c>
      <c r="R9" s="176">
        <f t="shared" si="0"/>
        <v>15273</v>
      </c>
      <c r="S9" s="176">
        <f t="shared" si="0"/>
        <v>37173.375150000007</v>
      </c>
      <c r="T9" s="176">
        <f t="shared" si="0"/>
        <v>38231.880619999996</v>
      </c>
      <c r="U9" s="176">
        <f t="shared" si="0"/>
        <v>44463.173049999983</v>
      </c>
      <c r="V9" s="176">
        <f t="shared" si="0"/>
        <v>48484</v>
      </c>
      <c r="W9" s="176">
        <f t="shared" si="0"/>
        <v>45236</v>
      </c>
      <c r="X9" s="176">
        <f t="shared" si="0"/>
        <v>43623</v>
      </c>
      <c r="Y9" s="176">
        <f>SUM(Y10:Y17)</f>
        <v>46929</v>
      </c>
      <c r="Z9" s="176">
        <f>SUM(Z10:Z17)</f>
        <v>31019.330103799999</v>
      </c>
      <c r="AA9" s="176">
        <f>SUM(AA10:AA17)</f>
        <v>32978.28613</v>
      </c>
      <c r="AB9" s="176">
        <f>SUM(AB10:AB17)</f>
        <v>48265.042633550009</v>
      </c>
      <c r="AC9" s="176">
        <f>SUM(AC10:AC17)</f>
        <v>45496.302299999996</v>
      </c>
    </row>
    <row r="10" spans="1:29" x14ac:dyDescent="0.35">
      <c r="A10" s="172" t="s">
        <v>627</v>
      </c>
      <c r="B10" s="169"/>
      <c r="C10" s="441"/>
      <c r="D10" s="441"/>
      <c r="E10" s="441"/>
      <c r="F10" s="441">
        <v>0</v>
      </c>
      <c r="G10" s="441"/>
      <c r="H10" s="441"/>
      <c r="I10" s="441"/>
      <c r="J10" s="441">
        <v>7517.6945199999955</v>
      </c>
      <c r="K10" s="441">
        <v>1277</v>
      </c>
      <c r="L10" s="441">
        <v>1700.7818099999997</v>
      </c>
      <c r="M10" s="441">
        <v>1403.0583499999939</v>
      </c>
      <c r="N10" s="441">
        <v>2287.0233200000002</v>
      </c>
      <c r="O10" s="441">
        <v>1566</v>
      </c>
      <c r="P10" s="441"/>
      <c r="Q10" s="441">
        <v>351</v>
      </c>
      <c r="R10" s="441">
        <v>-93</v>
      </c>
      <c r="S10" s="441">
        <v>353.15982999999824</v>
      </c>
      <c r="T10" s="441">
        <v>0</v>
      </c>
      <c r="U10" s="441">
        <v>-704.10499000000959</v>
      </c>
      <c r="V10" s="441"/>
      <c r="W10" s="441"/>
      <c r="X10" s="441">
        <v>0</v>
      </c>
      <c r="Y10" s="441">
        <v>0</v>
      </c>
      <c r="Z10" s="441">
        <v>0</v>
      </c>
      <c r="AA10" s="441">
        <v>0</v>
      </c>
      <c r="AB10" s="441">
        <v>0</v>
      </c>
      <c r="AC10" s="441"/>
    </row>
    <row r="11" spans="1:29" x14ac:dyDescent="0.35">
      <c r="A11" s="172" t="s">
        <v>251</v>
      </c>
      <c r="B11" s="169"/>
      <c r="C11" s="441">
        <v>3131.3578799999996</v>
      </c>
      <c r="D11" s="441">
        <v>3397</v>
      </c>
      <c r="E11" s="441"/>
      <c r="F11" s="441">
        <v>3464.1586299999999</v>
      </c>
      <c r="G11" s="441">
        <v>3284.5609399999998</v>
      </c>
      <c r="H11" s="441">
        <v>3459</v>
      </c>
      <c r="I11" s="441">
        <v>3597.9925499999999</v>
      </c>
      <c r="J11" s="441">
        <v>21300.29477</v>
      </c>
      <c r="K11" s="441">
        <v>8525.7098499999993</v>
      </c>
      <c r="L11" s="441">
        <v>7222.7429399999992</v>
      </c>
      <c r="M11" s="441">
        <v>11278.547210000001</v>
      </c>
      <c r="N11" s="441">
        <v>-9591</v>
      </c>
      <c r="O11" s="441">
        <v>4479</v>
      </c>
      <c r="P11" s="441">
        <v>4386.3185300000005</v>
      </c>
      <c r="Q11" s="441">
        <v>4409</v>
      </c>
      <c r="R11" s="441">
        <v>-2382.8763200000003</v>
      </c>
      <c r="S11" s="441">
        <v>2846.5230899999997</v>
      </c>
      <c r="T11" s="441">
        <v>4386.3185300000005</v>
      </c>
      <c r="U11" s="441">
        <v>2543.9808300000004</v>
      </c>
      <c r="V11" s="441">
        <v>4471</v>
      </c>
      <c r="W11" s="441">
        <v>4298</v>
      </c>
      <c r="X11" s="441">
        <v>2434</v>
      </c>
      <c r="Y11" s="441">
        <v>7409</v>
      </c>
      <c r="Z11" s="441">
        <v>6613.9940600000009</v>
      </c>
      <c r="AA11" s="441">
        <v>3194.2189700000004</v>
      </c>
      <c r="AB11" s="441">
        <v>3226.1579999999999</v>
      </c>
      <c r="AC11" s="441">
        <v>2799.902</v>
      </c>
    </row>
    <row r="12" spans="1:29" x14ac:dyDescent="0.35">
      <c r="A12" s="172" t="s">
        <v>249</v>
      </c>
      <c r="B12" s="169"/>
      <c r="C12" s="441">
        <v>1518.0959399999999</v>
      </c>
      <c r="D12" s="441">
        <v>1798</v>
      </c>
      <c r="E12" s="441"/>
      <c r="F12" s="441">
        <v>21006.587340000002</v>
      </c>
      <c r="G12" s="441">
        <v>9752.8579200000004</v>
      </c>
      <c r="H12" s="441">
        <v>9510</v>
      </c>
      <c r="I12" s="441">
        <v>13052.73272</v>
      </c>
      <c r="J12" s="441">
        <v>45272.180239999951</v>
      </c>
      <c r="K12" s="441">
        <v>21762</v>
      </c>
      <c r="L12" s="441">
        <v>55559.120990000003</v>
      </c>
      <c r="M12" s="441">
        <v>3392.0522999999957</v>
      </c>
      <c r="N12" s="441">
        <v>-12503</v>
      </c>
      <c r="O12" s="441">
        <v>70915</v>
      </c>
      <c r="P12" s="441">
        <v>16660.057679999998</v>
      </c>
      <c r="Q12" s="441">
        <v>25013</v>
      </c>
      <c r="R12" s="441">
        <v>29440.541119999998</v>
      </c>
      <c r="S12" s="441">
        <v>6236.4387400000005</v>
      </c>
      <c r="T12" s="441">
        <v>16660.057679999998</v>
      </c>
      <c r="U12" s="441">
        <v>2876.8540899999998</v>
      </c>
      <c r="V12" s="441">
        <v>4481</v>
      </c>
      <c r="W12" s="441">
        <v>447</v>
      </c>
      <c r="X12" s="441">
        <v>-12</v>
      </c>
      <c r="Y12" s="441">
        <v>0</v>
      </c>
      <c r="Z12" s="441">
        <v>-0.14265000000000327</v>
      </c>
      <c r="AA12" s="441">
        <v>0</v>
      </c>
      <c r="AB12" s="441">
        <v>-0.33400000000000002</v>
      </c>
      <c r="AC12" s="441"/>
    </row>
    <row r="13" spans="1:29" x14ac:dyDescent="0.35">
      <c r="A13" s="172" t="s">
        <v>628</v>
      </c>
      <c r="B13" s="169"/>
      <c r="C13" s="441">
        <v>26065.463100000001</v>
      </c>
      <c r="D13" s="441">
        <v>26009</v>
      </c>
      <c r="E13" s="441">
        <v>31606.903379999996</v>
      </c>
      <c r="F13" s="441">
        <v>22762.532360000012</v>
      </c>
      <c r="G13" s="441">
        <v>30248.852200000001</v>
      </c>
      <c r="H13" s="441">
        <v>32878</v>
      </c>
      <c r="I13" s="441">
        <v>29869.05011</v>
      </c>
      <c r="J13" s="441">
        <v>10783.705739999998</v>
      </c>
      <c r="K13" s="441">
        <v>22419</v>
      </c>
      <c r="L13" s="441">
        <v>26902.724129999995</v>
      </c>
      <c r="M13" s="441">
        <v>20298.929590000007</v>
      </c>
      <c r="N13" s="441">
        <v>-69621</v>
      </c>
      <c r="O13" s="441">
        <v>0</v>
      </c>
      <c r="P13" s="441"/>
      <c r="Q13" s="441"/>
      <c r="R13" s="441">
        <v>75527.47606999999</v>
      </c>
      <c r="S13" s="441">
        <v>0</v>
      </c>
      <c r="T13" s="441">
        <v>0</v>
      </c>
      <c r="U13" s="441">
        <v>0</v>
      </c>
      <c r="V13" s="441"/>
      <c r="W13" s="441"/>
      <c r="X13" s="441">
        <v>0</v>
      </c>
      <c r="Y13" s="441">
        <v>0</v>
      </c>
      <c r="Z13" s="441">
        <v>0</v>
      </c>
      <c r="AA13" s="441">
        <v>0</v>
      </c>
      <c r="AB13" s="441">
        <v>0</v>
      </c>
      <c r="AC13" s="441"/>
    </row>
    <row r="14" spans="1:29" x14ac:dyDescent="0.35">
      <c r="A14" s="172" t="s">
        <v>629</v>
      </c>
      <c r="B14" s="169"/>
      <c r="C14" s="441"/>
      <c r="D14" s="441"/>
      <c r="E14" s="441"/>
      <c r="F14" s="441"/>
      <c r="G14" s="441"/>
      <c r="H14" s="441"/>
      <c r="I14" s="441"/>
      <c r="J14" s="441">
        <v>8487.4030399999992</v>
      </c>
      <c r="K14" s="441">
        <v>538</v>
      </c>
      <c r="L14" s="441">
        <v>2455.3211800000004</v>
      </c>
      <c r="M14" s="441">
        <v>2167.5947999999999</v>
      </c>
      <c r="N14" s="441">
        <v>125728</v>
      </c>
      <c r="O14" s="441">
        <f>34754-72949</f>
        <v>-38195</v>
      </c>
      <c r="P14" s="441">
        <v>35510.504410000001</v>
      </c>
      <c r="Q14" s="441">
        <v>8599</v>
      </c>
      <c r="R14" s="441">
        <v>-57.756770000000017</v>
      </c>
      <c r="S14" s="441">
        <v>0</v>
      </c>
      <c r="T14" s="441">
        <v>35510.504410000001</v>
      </c>
      <c r="U14" s="441">
        <v>36940</v>
      </c>
      <c r="V14" s="441">
        <v>36984</v>
      </c>
      <c r="W14" s="441">
        <v>37533</v>
      </c>
      <c r="X14" s="441">
        <v>37138</v>
      </c>
      <c r="Y14" s="441">
        <v>37133</v>
      </c>
      <c r="Z14" s="441">
        <v>30502.081453799998</v>
      </c>
      <c r="AA14" s="441">
        <v>0</v>
      </c>
      <c r="AB14" s="441">
        <v>44207.147633550005</v>
      </c>
      <c r="AC14" s="441">
        <v>41791.137299999995</v>
      </c>
    </row>
    <row r="15" spans="1:29" x14ac:dyDescent="0.35">
      <c r="A15" s="172" t="s">
        <v>630</v>
      </c>
      <c r="B15" s="169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>
        <v>-20300</v>
      </c>
      <c r="Q15" s="441"/>
      <c r="R15" s="441">
        <v>-89584.302650000012</v>
      </c>
      <c r="S15" s="441">
        <v>-15030.48518</v>
      </c>
      <c r="T15" s="441">
        <v>-20300</v>
      </c>
      <c r="U15" s="441">
        <v>0</v>
      </c>
      <c r="V15" s="441"/>
      <c r="W15" s="441"/>
      <c r="X15" s="441">
        <v>0</v>
      </c>
      <c r="Y15" s="441">
        <v>0</v>
      </c>
      <c r="Z15" s="441">
        <v>0</v>
      </c>
      <c r="AA15" s="441">
        <v>0</v>
      </c>
      <c r="AB15" s="441">
        <v>0</v>
      </c>
      <c r="AC15" s="441"/>
    </row>
    <row r="16" spans="1:29" x14ac:dyDescent="0.35">
      <c r="A16" s="172" t="s">
        <v>254</v>
      </c>
      <c r="B16" s="169"/>
      <c r="C16" s="441">
        <v>1127.1060600000001</v>
      </c>
      <c r="D16" s="441">
        <v>1127</v>
      </c>
      <c r="E16" s="441">
        <v>508</v>
      </c>
      <c r="F16" s="441">
        <v>1207</v>
      </c>
      <c r="G16" s="441">
        <v>1127.1060600000001</v>
      </c>
      <c r="H16" s="441">
        <v>1127</v>
      </c>
      <c r="I16" s="441">
        <v>1127</v>
      </c>
      <c r="J16" s="441">
        <v>820</v>
      </c>
      <c r="K16" s="441">
        <v>820</v>
      </c>
      <c r="L16" s="441">
        <v>855</v>
      </c>
      <c r="M16" s="441">
        <v>830</v>
      </c>
      <c r="N16" s="441">
        <v>335143</v>
      </c>
      <c r="O16" s="441">
        <v>621</v>
      </c>
      <c r="P16" s="441">
        <v>1935</v>
      </c>
      <c r="Q16" s="441">
        <v>3527</v>
      </c>
      <c r="R16" s="441">
        <v>2422.9185500000312</v>
      </c>
      <c r="S16" s="441">
        <v>2179.1868999999997</v>
      </c>
      <c r="T16" s="441">
        <v>1975</v>
      </c>
      <c r="U16" s="441">
        <v>2806.4431199999999</v>
      </c>
      <c r="V16" s="441">
        <v>2548</v>
      </c>
      <c r="W16" s="441">
        <v>2958</v>
      </c>
      <c r="X16" s="441">
        <v>4063</v>
      </c>
      <c r="Y16" s="441">
        <v>2387</v>
      </c>
      <c r="Z16" s="441">
        <v>-6096.6027599999998</v>
      </c>
      <c r="AA16" s="441">
        <v>832.06715999999938</v>
      </c>
      <c r="AB16" s="441">
        <v>832.07100000000003</v>
      </c>
      <c r="AC16" s="441">
        <v>905.26300000000003</v>
      </c>
    </row>
    <row r="17" spans="1:29" ht="15" thickBot="1" x14ac:dyDescent="0.4">
      <c r="A17" s="172" t="s">
        <v>631</v>
      </c>
      <c r="B17" s="169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>
        <v>40588.551770000005</v>
      </c>
      <c r="T17" s="441"/>
      <c r="U17" s="441"/>
      <c r="V17" s="441"/>
      <c r="W17" s="441"/>
      <c r="X17" s="441">
        <v>0</v>
      </c>
      <c r="Y17" s="441">
        <v>0</v>
      </c>
      <c r="Z17" s="441">
        <v>0</v>
      </c>
      <c r="AA17" s="441">
        <v>28952</v>
      </c>
      <c r="AB17" s="441">
        <v>0</v>
      </c>
      <c r="AC17" s="441"/>
    </row>
    <row r="18" spans="1:29" ht="15" thickBot="1" x14ac:dyDescent="0.4">
      <c r="A18" s="175" t="s">
        <v>305</v>
      </c>
      <c r="B18" s="169"/>
      <c r="C18" s="176">
        <v>-4005.18343</v>
      </c>
      <c r="D18" s="176">
        <v>-4058</v>
      </c>
      <c r="E18" s="176">
        <v>-4359</v>
      </c>
      <c r="F18" s="176">
        <v>-3958.5506599999999</v>
      </c>
      <c r="G18" s="176">
        <v>-3896.70147</v>
      </c>
      <c r="H18" s="176">
        <v>-9225</v>
      </c>
      <c r="I18" s="176">
        <v>-5707</v>
      </c>
      <c r="J18" s="176">
        <v>-6432</v>
      </c>
      <c r="K18" s="176">
        <v>-10094</v>
      </c>
      <c r="L18" s="176">
        <v>-8786</v>
      </c>
      <c r="M18" s="176">
        <v>-6450</v>
      </c>
      <c r="N18" s="176">
        <v>1284</v>
      </c>
      <c r="O18" s="176">
        <v>-9091</v>
      </c>
      <c r="P18" s="176">
        <v>-8807</v>
      </c>
      <c r="Q18" s="176">
        <v>-7400</v>
      </c>
      <c r="R18" s="176">
        <v>-6580.8092799999995</v>
      </c>
      <c r="S18" s="176">
        <v>-8033.8908799999999</v>
      </c>
      <c r="T18" s="176">
        <v>-8807</v>
      </c>
      <c r="U18" s="176">
        <v>-5308</v>
      </c>
      <c r="V18" s="176">
        <v>-5540</v>
      </c>
      <c r="W18" s="176">
        <v>-4981</v>
      </c>
      <c r="X18" s="176">
        <v>-4662</v>
      </c>
      <c r="Y18" s="176">
        <v>-4863</v>
      </c>
      <c r="Z18" s="176">
        <v>-4975.6281501999947</v>
      </c>
      <c r="AA18" s="176">
        <v>-4812</v>
      </c>
      <c r="AB18" s="176">
        <v>-4826.8329999999996</v>
      </c>
      <c r="AC18" s="176">
        <v>-3600.22</v>
      </c>
    </row>
    <row r="19" spans="1:29" ht="15" thickBot="1" x14ac:dyDescent="0.4">
      <c r="A19" s="175" t="s">
        <v>256</v>
      </c>
      <c r="B19" s="177"/>
      <c r="C19" s="442">
        <f t="shared" ref="C19:X19" si="1">C9+C18</f>
        <v>27836.839550000001</v>
      </c>
      <c r="D19" s="442">
        <f t="shared" si="1"/>
        <v>28273</v>
      </c>
      <c r="E19" s="442">
        <f t="shared" si="1"/>
        <v>27755.903379999996</v>
      </c>
      <c r="F19" s="442">
        <f t="shared" si="1"/>
        <v>44481.727670000015</v>
      </c>
      <c r="G19" s="442">
        <f t="shared" si="1"/>
        <v>40516.675649999997</v>
      </c>
      <c r="H19" s="442">
        <f t="shared" si="1"/>
        <v>37749</v>
      </c>
      <c r="I19" s="442">
        <f t="shared" si="1"/>
        <v>41939.775379999999</v>
      </c>
      <c r="J19" s="442">
        <f t="shared" si="1"/>
        <v>87749.278309999965</v>
      </c>
      <c r="K19" s="442">
        <f t="shared" si="1"/>
        <v>45247.709849999999</v>
      </c>
      <c r="L19" s="442">
        <f t="shared" si="1"/>
        <v>85909.691049999994</v>
      </c>
      <c r="M19" s="442">
        <f t="shared" si="1"/>
        <v>32920.182249999998</v>
      </c>
      <c r="N19" s="442">
        <f t="shared" si="1"/>
        <v>372727.02332000004</v>
      </c>
      <c r="O19" s="442">
        <f t="shared" si="1"/>
        <v>30295</v>
      </c>
      <c r="P19" s="442">
        <f t="shared" si="1"/>
        <v>29384.880619999996</v>
      </c>
      <c r="Q19" s="442">
        <f t="shared" si="1"/>
        <v>34499</v>
      </c>
      <c r="R19" s="442">
        <f t="shared" si="1"/>
        <v>8692.1907200000005</v>
      </c>
      <c r="S19" s="442">
        <f t="shared" si="1"/>
        <v>29139.484270000008</v>
      </c>
      <c r="T19" s="442">
        <f t="shared" si="1"/>
        <v>29424.880619999996</v>
      </c>
      <c r="U19" s="442">
        <f t="shared" si="1"/>
        <v>39155.173049999983</v>
      </c>
      <c r="V19" s="442">
        <f t="shared" si="1"/>
        <v>42944</v>
      </c>
      <c r="W19" s="442">
        <f t="shared" si="1"/>
        <v>40255</v>
      </c>
      <c r="X19" s="442">
        <f t="shared" si="1"/>
        <v>38961</v>
      </c>
      <c r="Y19" s="442">
        <f>Y9+Y18</f>
        <v>42066</v>
      </c>
      <c r="Z19" s="442">
        <f>Z9+Z18</f>
        <v>26043.701953600004</v>
      </c>
      <c r="AA19" s="442">
        <f>AA9+AA18</f>
        <v>28166.28613</v>
      </c>
      <c r="AB19" s="442">
        <f>AB9+AB18</f>
        <v>43438.20963355001</v>
      </c>
      <c r="AC19" s="442">
        <f>AC9+AC18</f>
        <v>41896.082299999995</v>
      </c>
    </row>
    <row r="20" spans="1:29" ht="15" thickBot="1" x14ac:dyDescent="0.4">
      <c r="A20" s="175" t="s">
        <v>632</v>
      </c>
      <c r="B20" s="177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>
        <v>-9470</v>
      </c>
      <c r="V20" s="442"/>
      <c r="W20" s="442">
        <v>-20962</v>
      </c>
      <c r="X20" s="442">
        <v>-10410</v>
      </c>
      <c r="Y20" s="442">
        <v>-12121</v>
      </c>
      <c r="Z20" s="442">
        <v>0.384706400000141</v>
      </c>
      <c r="AA20" s="442"/>
      <c r="AB20" s="442">
        <v>0</v>
      </c>
      <c r="AC20" s="442"/>
    </row>
    <row r="21" spans="1:29" ht="15" thickBot="1" x14ac:dyDescent="0.4">
      <c r="A21" s="175" t="s">
        <v>264</v>
      </c>
      <c r="B21" s="177"/>
      <c r="C21" s="176">
        <f t="shared" ref="C21:W21" si="2">SUM(C22:C27)</f>
        <v>-6180.9530800000002</v>
      </c>
      <c r="D21" s="176">
        <f t="shared" si="2"/>
        <v>-7226</v>
      </c>
      <c r="E21" s="176">
        <f t="shared" si="2"/>
        <v>-4946.7498700000006</v>
      </c>
      <c r="F21" s="176">
        <f t="shared" si="2"/>
        <v>-25651.637659999997</v>
      </c>
      <c r="G21" s="176">
        <f t="shared" si="2"/>
        <v>-14310.554389999999</v>
      </c>
      <c r="H21" s="176">
        <f t="shared" si="2"/>
        <v>-9347</v>
      </c>
      <c r="I21" s="176">
        <f t="shared" si="2"/>
        <v>-16396.5982</v>
      </c>
      <c r="J21" s="176">
        <f t="shared" si="2"/>
        <v>-16408.671450000002</v>
      </c>
      <c r="K21" s="176">
        <f t="shared" si="2"/>
        <v>-29576</v>
      </c>
      <c r="L21" s="176">
        <f t="shared" si="2"/>
        <v>-8284</v>
      </c>
      <c r="M21" s="176">
        <f t="shared" si="2"/>
        <v>-6118.0428000000029</v>
      </c>
      <c r="N21" s="176">
        <f t="shared" si="2"/>
        <v>-6705</v>
      </c>
      <c r="O21" s="176">
        <f t="shared" si="2"/>
        <v>-36946</v>
      </c>
      <c r="P21" s="176">
        <f t="shared" si="2"/>
        <v>-11711</v>
      </c>
      <c r="Q21" s="176">
        <f t="shared" si="2"/>
        <v>-16034</v>
      </c>
      <c r="R21" s="176">
        <f t="shared" si="2"/>
        <v>-11727.384210000031</v>
      </c>
      <c r="S21" s="176">
        <f t="shared" si="2"/>
        <v>-6221.5738599999995</v>
      </c>
      <c r="T21" s="176">
        <f t="shared" si="2"/>
        <v>-11711</v>
      </c>
      <c r="U21" s="176">
        <f t="shared" si="2"/>
        <v>-5320.9633199999998</v>
      </c>
      <c r="V21" s="176">
        <f t="shared" si="2"/>
        <v>-22529</v>
      </c>
      <c r="W21" s="176">
        <f t="shared" si="2"/>
        <v>-3154.0988299999995</v>
      </c>
      <c r="X21" s="176">
        <f>SUM(X22:X27)</f>
        <v>-4278.9011700000001</v>
      </c>
      <c r="Y21" s="176">
        <f t="shared" ref="Y21:AB21" si="3">SUM(Y22:Y27)</f>
        <v>-7676</v>
      </c>
      <c r="Z21" s="176">
        <f t="shared" si="3"/>
        <v>-7031.1248399999977</v>
      </c>
      <c r="AA21" s="176">
        <f t="shared" si="3"/>
        <v>-3515.5725699999998</v>
      </c>
      <c r="AB21" s="176">
        <f t="shared" si="3"/>
        <v>-3580.8220000000001</v>
      </c>
      <c r="AC21" s="176">
        <f>SUM(AC22:AC27)</f>
        <v>-3985.6880000000006</v>
      </c>
    </row>
    <row r="22" spans="1:29" x14ac:dyDescent="0.35">
      <c r="A22" s="172" t="s">
        <v>265</v>
      </c>
      <c r="B22" s="177"/>
      <c r="C22" s="441">
        <v>-1360.88057</v>
      </c>
      <c r="D22" s="441">
        <v>-1104</v>
      </c>
      <c r="E22" s="441">
        <v>-1313.6426200000001</v>
      </c>
      <c r="F22" s="441">
        <v>-1468.6969899999999</v>
      </c>
      <c r="G22" s="441">
        <v>-1155.00431</v>
      </c>
      <c r="H22" s="441">
        <v>-1259</v>
      </c>
      <c r="I22" s="441">
        <v>-1273</v>
      </c>
      <c r="J22" s="441">
        <v>-989</v>
      </c>
      <c r="K22" s="441">
        <v>-1446</v>
      </c>
      <c r="L22" s="441">
        <v>-871</v>
      </c>
      <c r="M22" s="441">
        <v>-1139</v>
      </c>
      <c r="N22" s="441">
        <v>-1207</v>
      </c>
      <c r="O22" s="441">
        <v>-824</v>
      </c>
      <c r="P22" s="441">
        <v>-844</v>
      </c>
      <c r="Q22" s="441">
        <v>-1408</v>
      </c>
      <c r="R22" s="441">
        <v>-2625</v>
      </c>
      <c r="S22" s="441">
        <v>-1589.4129500000001</v>
      </c>
      <c r="T22" s="441">
        <v>-844</v>
      </c>
      <c r="U22" s="441">
        <v>-2047.3384599999999</v>
      </c>
      <c r="V22" s="441">
        <v>-1634</v>
      </c>
      <c r="W22" s="441">
        <v>-1470.6243699999998</v>
      </c>
      <c r="X22" s="441">
        <v>-1426.3756300000002</v>
      </c>
      <c r="Y22" s="441">
        <v>-1348</v>
      </c>
      <c r="Z22" s="441">
        <v>-842.0875700000006</v>
      </c>
      <c r="AA22" s="441">
        <v>-765.33783999999991</v>
      </c>
      <c r="AB22" s="441">
        <v>-951.48599999999999</v>
      </c>
      <c r="AC22" s="441">
        <v>-1172.9090000000001</v>
      </c>
    </row>
    <row r="23" spans="1:29" x14ac:dyDescent="0.35">
      <c r="A23" s="172" t="s">
        <v>266</v>
      </c>
      <c r="B23" s="177"/>
      <c r="C23" s="441">
        <v>-122.13176</v>
      </c>
      <c r="D23" s="441">
        <v>-158</v>
      </c>
      <c r="E23" s="441">
        <v>-132.00269</v>
      </c>
      <c r="F23" s="441">
        <v>-102.24357000000001</v>
      </c>
      <c r="G23" s="441">
        <v>-100.58869</v>
      </c>
      <c r="H23" s="441">
        <v>-77</v>
      </c>
      <c r="I23" s="441">
        <v>-52.536110000000001</v>
      </c>
      <c r="J23" s="441">
        <v>-129</v>
      </c>
      <c r="K23" s="441">
        <v>-133</v>
      </c>
      <c r="L23" s="441">
        <v>105</v>
      </c>
      <c r="M23" s="441">
        <v>-7.4584700000000019</v>
      </c>
      <c r="N23" s="441">
        <v>-44</v>
      </c>
      <c r="O23" s="441">
        <v>-16</v>
      </c>
      <c r="P23" s="441">
        <v>-155</v>
      </c>
      <c r="Q23" s="441">
        <v>-143</v>
      </c>
      <c r="R23" s="441">
        <v>12</v>
      </c>
      <c r="S23" s="441">
        <v>-24.755410000000001</v>
      </c>
      <c r="T23" s="441">
        <v>-155</v>
      </c>
      <c r="U23" s="441">
        <v>-257.03176000000002</v>
      </c>
      <c r="V23" s="441">
        <v>-393</v>
      </c>
      <c r="W23" s="441">
        <v>-36</v>
      </c>
      <c r="X23" s="441">
        <v>-236</v>
      </c>
      <c r="Y23" s="441">
        <v>-296</v>
      </c>
      <c r="Z23" s="441">
        <v>-391.98337000000015</v>
      </c>
      <c r="AA23" s="441">
        <v>-483.42369999999994</v>
      </c>
      <c r="AB23" s="441">
        <v>267.78699999999998</v>
      </c>
      <c r="AC23" s="441">
        <v>-319.65499999999997</v>
      </c>
    </row>
    <row r="24" spans="1:29" x14ac:dyDescent="0.35">
      <c r="A24" s="172" t="s">
        <v>267</v>
      </c>
      <c r="B24" s="395"/>
      <c r="C24" s="441">
        <v>-2873.5294399999998</v>
      </c>
      <c r="D24" s="441">
        <v>-3055</v>
      </c>
      <c r="E24" s="441">
        <v>-3402.1045600000002</v>
      </c>
      <c r="F24" s="441">
        <v>-2905.3433199999999</v>
      </c>
      <c r="G24" s="441">
        <v>-2749.51656</v>
      </c>
      <c r="H24" s="441">
        <v>-2885</v>
      </c>
      <c r="I24" s="441">
        <v>-3074.4806600000002</v>
      </c>
      <c r="J24" s="441">
        <v>-3141</v>
      </c>
      <c r="K24" s="441">
        <v>-2944</v>
      </c>
      <c r="L24" s="441">
        <v>-2552</v>
      </c>
      <c r="M24" s="441">
        <v>-3879.0311400000001</v>
      </c>
      <c r="N24" s="441">
        <v>-3256</v>
      </c>
      <c r="O24" s="441">
        <v>-3632</v>
      </c>
      <c r="P24" s="441">
        <v>-3396</v>
      </c>
      <c r="Q24" s="441">
        <v>-3018</v>
      </c>
      <c r="R24" s="441">
        <v>-2564</v>
      </c>
      <c r="S24" s="441">
        <v>-1860.6816799999995</v>
      </c>
      <c r="T24" s="441">
        <v>-3396</v>
      </c>
      <c r="U24" s="441">
        <v>-1252.7116599999999</v>
      </c>
      <c r="V24" s="441">
        <v>-2956</v>
      </c>
      <c r="W24" s="441">
        <v>-1370</v>
      </c>
      <c r="X24" s="441">
        <v>-2441</v>
      </c>
      <c r="Y24" s="441">
        <v>-5947</v>
      </c>
      <c r="Z24" s="441">
        <v>-58.604859999997643</v>
      </c>
      <c r="AA24" s="441">
        <v>-1332.3174599999998</v>
      </c>
      <c r="AB24" s="441">
        <v>-2661.018</v>
      </c>
      <c r="AC24" s="441">
        <v>-2303.3850000000002</v>
      </c>
    </row>
    <row r="25" spans="1:29" x14ac:dyDescent="0.35">
      <c r="A25" s="172" t="s">
        <v>633</v>
      </c>
      <c r="B25" s="177"/>
      <c r="C25" s="441">
        <v>-1518.0959399999999</v>
      </c>
      <c r="D25" s="441">
        <v>-1798</v>
      </c>
      <c r="E25" s="441"/>
      <c r="F25" s="441">
        <v>-21006.587339999998</v>
      </c>
      <c r="G25" s="441">
        <v>-9752.8579200000004</v>
      </c>
      <c r="H25" s="441">
        <v>-4809</v>
      </c>
      <c r="I25" s="441">
        <v>-11947.58143</v>
      </c>
      <c r="J25" s="441">
        <v>-12177.67145</v>
      </c>
      <c r="K25" s="441">
        <v>-25052</v>
      </c>
      <c r="L25" s="441">
        <v>-5015</v>
      </c>
      <c r="M25" s="441">
        <v>-1092.5531900000024</v>
      </c>
      <c r="N25" s="441">
        <v>-2059</v>
      </c>
      <c r="O25" s="441">
        <v>-32839</v>
      </c>
      <c r="P25" s="441">
        <v>-7715</v>
      </c>
      <c r="Q25" s="441">
        <v>-11583</v>
      </c>
      <c r="R25" s="441">
        <v>-6884</v>
      </c>
      <c r="S25" s="441">
        <v>-2775.8187200000002</v>
      </c>
      <c r="T25" s="441">
        <v>-7715</v>
      </c>
      <c r="U25" s="441">
        <v>-1280.6851699999997</v>
      </c>
      <c r="V25" s="441">
        <v>-17248</v>
      </c>
      <c r="W25" s="441">
        <v>-199</v>
      </c>
      <c r="X25" s="441">
        <v>5</v>
      </c>
      <c r="Y25" s="441">
        <v>0</v>
      </c>
      <c r="Z25" s="441">
        <v>-5626.0733399999999</v>
      </c>
      <c r="AA25" s="441">
        <v>-775.46481999999992</v>
      </c>
      <c r="AB25" s="441">
        <v>-122.06399999999999</v>
      </c>
      <c r="AC25" s="441">
        <v>-145.29300000000001</v>
      </c>
    </row>
    <row r="26" spans="1:29" x14ac:dyDescent="0.35">
      <c r="A26" s="172" t="s">
        <v>270</v>
      </c>
      <c r="B26" s="177"/>
      <c r="C26" s="441">
        <v>-306.31536999999997</v>
      </c>
      <c r="D26" s="441">
        <v>-1111</v>
      </c>
      <c r="E26" s="441">
        <v>-99</v>
      </c>
      <c r="F26" s="441">
        <v>-168.76643999999999</v>
      </c>
      <c r="G26" s="441">
        <v>-552.58690999999999</v>
      </c>
      <c r="H26" s="441">
        <v>-317</v>
      </c>
      <c r="I26" s="441">
        <v>-49</v>
      </c>
      <c r="J26" s="441">
        <v>28</v>
      </c>
      <c r="K26" s="441">
        <v>-1</v>
      </c>
      <c r="L26" s="441">
        <v>49</v>
      </c>
      <c r="M26" s="441">
        <v>0</v>
      </c>
      <c r="N26" s="441">
        <v>-139</v>
      </c>
      <c r="O26" s="441">
        <v>365</v>
      </c>
      <c r="P26" s="441">
        <v>399</v>
      </c>
      <c r="Q26" s="441">
        <v>118</v>
      </c>
      <c r="R26" s="441">
        <v>333.61578999996902</v>
      </c>
      <c r="S26" s="441">
        <v>29.094900000000017</v>
      </c>
      <c r="T26" s="441">
        <v>399</v>
      </c>
      <c r="U26" s="441">
        <v>-483.19626999999997</v>
      </c>
      <c r="V26" s="441">
        <v>-298</v>
      </c>
      <c r="W26" s="441">
        <v>-78.474460000000008</v>
      </c>
      <c r="X26" s="441">
        <v>-180.52553999999998</v>
      </c>
      <c r="Y26" s="441">
        <v>-85</v>
      </c>
      <c r="Z26" s="441">
        <v>-112.37569999999999</v>
      </c>
      <c r="AA26" s="441">
        <v>-159.02875</v>
      </c>
      <c r="AB26" s="441">
        <v>-114.041</v>
      </c>
      <c r="AC26" s="441">
        <v>-44.445999999999998</v>
      </c>
    </row>
    <row r="27" spans="1:29" x14ac:dyDescent="0.35">
      <c r="A27" s="172" t="s">
        <v>634</v>
      </c>
      <c r="B27" s="177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</row>
    <row r="28" spans="1:29" x14ac:dyDescent="0.35">
      <c r="A28" s="596" t="s">
        <v>272</v>
      </c>
      <c r="B28" s="177"/>
      <c r="C28" s="595">
        <f t="shared" ref="C28:W28" si="4">SUM(C19:C21)</f>
        <v>21655.886470000001</v>
      </c>
      <c r="D28" s="595">
        <f t="shared" si="4"/>
        <v>21047</v>
      </c>
      <c r="E28" s="595">
        <f t="shared" si="4"/>
        <v>22809.153509999996</v>
      </c>
      <c r="F28" s="595">
        <f t="shared" si="4"/>
        <v>18830.090010000018</v>
      </c>
      <c r="G28" s="595">
        <f t="shared" si="4"/>
        <v>26206.12126</v>
      </c>
      <c r="H28" s="595">
        <f t="shared" si="4"/>
        <v>28402</v>
      </c>
      <c r="I28" s="595">
        <f t="shared" si="4"/>
        <v>25543.177179999999</v>
      </c>
      <c r="J28" s="595">
        <f t="shared" si="4"/>
        <v>71340.606859999971</v>
      </c>
      <c r="K28" s="595">
        <f t="shared" si="4"/>
        <v>15671.709849999999</v>
      </c>
      <c r="L28" s="595">
        <f t="shared" si="4"/>
        <v>77625.691049999994</v>
      </c>
      <c r="M28" s="595">
        <f t="shared" si="4"/>
        <v>26802.139449999995</v>
      </c>
      <c r="N28" s="595">
        <f t="shared" si="4"/>
        <v>366022.02332000004</v>
      </c>
      <c r="O28" s="595">
        <f t="shared" si="4"/>
        <v>-6651</v>
      </c>
      <c r="P28" s="595">
        <f t="shared" si="4"/>
        <v>17673.880619999996</v>
      </c>
      <c r="Q28" s="595">
        <f t="shared" si="4"/>
        <v>18465</v>
      </c>
      <c r="R28" s="595">
        <f t="shared" si="4"/>
        <v>-3035.1934900000306</v>
      </c>
      <c r="S28" s="595">
        <f t="shared" si="4"/>
        <v>22917.910410000008</v>
      </c>
      <c r="T28" s="595">
        <f t="shared" si="4"/>
        <v>17713.880619999996</v>
      </c>
      <c r="U28" s="595">
        <f t="shared" si="4"/>
        <v>24364.209729999984</v>
      </c>
      <c r="V28" s="595">
        <f t="shared" si="4"/>
        <v>20415</v>
      </c>
      <c r="W28" s="595">
        <f t="shared" si="4"/>
        <v>16138.901170000001</v>
      </c>
      <c r="X28" s="595">
        <f>SUM(X19:X21)</f>
        <v>24272.098829999999</v>
      </c>
      <c r="Y28" s="595">
        <f t="shared" ref="Y28:AB28" si="5">SUM(Y19:Y21)</f>
        <v>22269</v>
      </c>
      <c r="Z28" s="595">
        <f t="shared" si="5"/>
        <v>19012.961820000008</v>
      </c>
      <c r="AA28" s="595">
        <f t="shared" si="5"/>
        <v>24650.71356</v>
      </c>
      <c r="AB28" s="595">
        <f t="shared" si="5"/>
        <v>39857.38763355001</v>
      </c>
      <c r="AC28" s="595">
        <f>SUM(AC19:AC21)</f>
        <v>37910.394299999993</v>
      </c>
    </row>
    <row r="29" spans="1:29" ht="15" thickBot="1" x14ac:dyDescent="0.4">
      <c r="A29" s="172" t="s">
        <v>273</v>
      </c>
      <c r="B29" s="169"/>
      <c r="C29" s="441">
        <v>-15.104520000000001</v>
      </c>
      <c r="D29" s="441">
        <v>-15</v>
      </c>
      <c r="E29" s="441">
        <v>-3908.2178699999999</v>
      </c>
      <c r="F29" s="441">
        <v>-15.104520000000001</v>
      </c>
      <c r="G29" s="441">
        <v>-15.104520000000001</v>
      </c>
      <c r="H29" s="441">
        <v>-15</v>
      </c>
      <c r="I29" s="441">
        <v>-15</v>
      </c>
      <c r="J29" s="441">
        <v>-15</v>
      </c>
      <c r="K29" s="441">
        <v>-15</v>
      </c>
      <c r="L29" s="441">
        <v>-16</v>
      </c>
      <c r="M29" s="441">
        <v>-212</v>
      </c>
      <c r="N29" s="441">
        <v>365</v>
      </c>
      <c r="O29" s="441">
        <v>-15</v>
      </c>
      <c r="P29" s="441">
        <v>1819</v>
      </c>
      <c r="Q29" s="441">
        <v>-1521</v>
      </c>
      <c r="R29" s="441">
        <v>-339</v>
      </c>
      <c r="S29" s="441">
        <v>-15.098000000000001</v>
      </c>
      <c r="T29" s="441">
        <v>1776</v>
      </c>
      <c r="U29" s="441">
        <v>298</v>
      </c>
      <c r="V29" s="441">
        <v>-2</v>
      </c>
      <c r="W29" s="441">
        <v>-1</v>
      </c>
      <c r="X29" s="441">
        <v>-2</v>
      </c>
      <c r="Y29" s="441">
        <v>0</v>
      </c>
      <c r="Z29" s="441">
        <v>-216.39418999999907</v>
      </c>
      <c r="AA29" s="441">
        <v>-1.4963099999995393</v>
      </c>
      <c r="AB29" s="441">
        <v>-1.996</v>
      </c>
      <c r="AC29" s="441">
        <v>-1.496</v>
      </c>
    </row>
    <row r="30" spans="1:29" ht="15" thickBot="1" x14ac:dyDescent="0.4">
      <c r="A30" s="175" t="s">
        <v>274</v>
      </c>
      <c r="B30" s="169"/>
      <c r="C30" s="176">
        <f t="shared" ref="C30:X30" si="6">C28+C29</f>
        <v>21640.781950000001</v>
      </c>
      <c r="D30" s="176">
        <f t="shared" si="6"/>
        <v>21032</v>
      </c>
      <c r="E30" s="176">
        <f t="shared" si="6"/>
        <v>18900.935639999996</v>
      </c>
      <c r="F30" s="176">
        <f t="shared" si="6"/>
        <v>18814.985490000017</v>
      </c>
      <c r="G30" s="176">
        <f t="shared" si="6"/>
        <v>26191.016739999999</v>
      </c>
      <c r="H30" s="176">
        <f t="shared" si="6"/>
        <v>28387</v>
      </c>
      <c r="I30" s="176">
        <f t="shared" si="6"/>
        <v>25528.177179999999</v>
      </c>
      <c r="J30" s="176">
        <f t="shared" si="6"/>
        <v>71325.606859999971</v>
      </c>
      <c r="K30" s="176">
        <f t="shared" si="6"/>
        <v>15656.709849999999</v>
      </c>
      <c r="L30" s="176">
        <f t="shared" si="6"/>
        <v>77609.691049999994</v>
      </c>
      <c r="M30" s="176">
        <f t="shared" si="6"/>
        <v>26590.139449999995</v>
      </c>
      <c r="N30" s="176">
        <f t="shared" si="6"/>
        <v>366387.02332000004</v>
      </c>
      <c r="O30" s="176">
        <f t="shared" si="6"/>
        <v>-6666</v>
      </c>
      <c r="P30" s="176">
        <f t="shared" si="6"/>
        <v>19492.880619999996</v>
      </c>
      <c r="Q30" s="176">
        <f t="shared" si="6"/>
        <v>16944</v>
      </c>
      <c r="R30" s="176">
        <f t="shared" si="6"/>
        <v>-3374.1934900000306</v>
      </c>
      <c r="S30" s="176">
        <f t="shared" si="6"/>
        <v>22902.812410000006</v>
      </c>
      <c r="T30" s="176">
        <f t="shared" si="6"/>
        <v>19489.880619999996</v>
      </c>
      <c r="U30" s="176">
        <f t="shared" si="6"/>
        <v>24662.209729999984</v>
      </c>
      <c r="V30" s="176">
        <f t="shared" si="6"/>
        <v>20413</v>
      </c>
      <c r="W30" s="176">
        <f t="shared" si="6"/>
        <v>16137.901170000001</v>
      </c>
      <c r="X30" s="176">
        <f t="shared" si="6"/>
        <v>24270.098829999999</v>
      </c>
      <c r="Y30" s="176">
        <f>Y28+Y29</f>
        <v>22269</v>
      </c>
      <c r="Z30" s="176">
        <f>Z28+Z29</f>
        <v>18796.567630000009</v>
      </c>
      <c r="AA30" s="176">
        <f>AA28+AA29</f>
        <v>24649.217250000002</v>
      </c>
      <c r="AB30" s="176">
        <f>AB28+AB29</f>
        <v>39855.391633550011</v>
      </c>
      <c r="AC30" s="176">
        <f>AC28+AC29</f>
        <v>37908.898299999993</v>
      </c>
    </row>
    <row r="31" spans="1:29" ht="15" thickBot="1" x14ac:dyDescent="0.4">
      <c r="A31" s="175" t="s">
        <v>277</v>
      </c>
      <c r="B31" s="169"/>
      <c r="C31" s="389">
        <f t="shared" ref="C31:X31" si="7">SUM(C32:C33)</f>
        <v>-1926.4089199999996</v>
      </c>
      <c r="D31" s="389">
        <f t="shared" si="7"/>
        <v>-1762.3999999999999</v>
      </c>
      <c r="E31" s="389">
        <f t="shared" si="7"/>
        <v>-2128.4386499999996</v>
      </c>
      <c r="F31" s="389">
        <f t="shared" si="7"/>
        <v>-1680.7304600000011</v>
      </c>
      <c r="G31" s="389">
        <f t="shared" si="7"/>
        <v>-1469.21974</v>
      </c>
      <c r="H31" s="389">
        <f t="shared" si="7"/>
        <v>-1293</v>
      </c>
      <c r="I31" s="389">
        <f t="shared" si="7"/>
        <v>-972</v>
      </c>
      <c r="J31" s="389">
        <f t="shared" si="7"/>
        <v>-1132.6961399999986</v>
      </c>
      <c r="K31" s="389">
        <f t="shared" si="7"/>
        <v>-2331</v>
      </c>
      <c r="L31" s="389">
        <f t="shared" si="7"/>
        <v>-5820</v>
      </c>
      <c r="M31" s="389">
        <f t="shared" si="7"/>
        <v>-5425.422340000001</v>
      </c>
      <c r="N31" s="389">
        <f t="shared" si="7"/>
        <v>-6701</v>
      </c>
      <c r="O31" s="389">
        <f t="shared" si="7"/>
        <v>-6035.0000000000009</v>
      </c>
      <c r="P31" s="389">
        <f t="shared" si="7"/>
        <v>-2225.0749100000003</v>
      </c>
      <c r="Q31" s="389">
        <f t="shared" si="7"/>
        <v>-4769</v>
      </c>
      <c r="R31" s="389">
        <f t="shared" si="7"/>
        <v>-6218.9366100000007</v>
      </c>
      <c r="S31" s="389">
        <f t="shared" si="7"/>
        <v>-6879.7587399999993</v>
      </c>
      <c r="T31" s="389">
        <f t="shared" si="7"/>
        <v>-2225.0749100000003</v>
      </c>
      <c r="U31" s="389">
        <f t="shared" si="7"/>
        <v>-9232.1053900000006</v>
      </c>
      <c r="V31" s="389">
        <f t="shared" si="7"/>
        <v>-12188</v>
      </c>
      <c r="W31" s="389">
        <f t="shared" si="7"/>
        <v>-13164</v>
      </c>
      <c r="X31" s="389">
        <f t="shared" si="7"/>
        <v>-15162</v>
      </c>
      <c r="Y31" s="389">
        <f>SUM(Y32:Y33)</f>
        <v>-11224</v>
      </c>
      <c r="Z31" s="389">
        <f>SUM(Z32:Z33)</f>
        <v>-12650.754249999907</v>
      </c>
      <c r="AA31" s="389">
        <f>SUM(AA32:AA33)</f>
        <v>-14060.996519999997</v>
      </c>
      <c r="AB31" s="389">
        <f>SUM(AB32:AB33)</f>
        <v>-10438.993999999999</v>
      </c>
      <c r="AC31" s="389">
        <f>SUM(AC32:AC33)</f>
        <v>-9699.01</v>
      </c>
    </row>
    <row r="32" spans="1:29" x14ac:dyDescent="0.35">
      <c r="A32" s="172" t="s">
        <v>278</v>
      </c>
      <c r="B32" s="169"/>
      <c r="C32" s="441">
        <v>1078.7082600000001</v>
      </c>
      <c r="D32" s="441">
        <v>956.3</v>
      </c>
      <c r="E32" s="441">
        <v>846.33296999999982</v>
      </c>
      <c r="F32" s="441">
        <v>678.63367000000062</v>
      </c>
      <c r="G32" s="441">
        <v>641.46048999999994</v>
      </c>
      <c r="H32" s="441">
        <v>618</v>
      </c>
      <c r="I32" s="441">
        <v>763</v>
      </c>
      <c r="J32" s="441">
        <v>2080</v>
      </c>
      <c r="K32" s="441">
        <v>2497</v>
      </c>
      <c r="L32" s="441">
        <v>4107</v>
      </c>
      <c r="M32" s="441">
        <v>3721.577659999999</v>
      </c>
      <c r="N32" s="441">
        <v>2268</v>
      </c>
      <c r="O32" s="441">
        <v>2153</v>
      </c>
      <c r="P32" s="441">
        <v>1991</v>
      </c>
      <c r="Q32" s="441">
        <v>952</v>
      </c>
      <c r="R32" s="441">
        <v>870.44262999999887</v>
      </c>
      <c r="S32" s="441">
        <v>193.22272000000001</v>
      </c>
      <c r="T32" s="441">
        <v>1991</v>
      </c>
      <c r="U32" s="441">
        <v>1239.8946099999998</v>
      </c>
      <c r="V32" s="441">
        <v>2023</v>
      </c>
      <c r="W32" s="441">
        <v>2585</v>
      </c>
      <c r="X32" s="441">
        <v>3346</v>
      </c>
      <c r="Y32" s="441">
        <v>4978</v>
      </c>
      <c r="Z32" s="441">
        <v>4786.9992099999981</v>
      </c>
      <c r="AA32" s="441">
        <v>5829.3829599999999</v>
      </c>
      <c r="AB32" s="441">
        <v>7202.0050000000001</v>
      </c>
      <c r="AC32" s="441">
        <v>7624.7929999999997</v>
      </c>
    </row>
    <row r="33" spans="1:29" ht="15" thickBot="1" x14ac:dyDescent="0.4">
      <c r="A33" s="172" t="s">
        <v>279</v>
      </c>
      <c r="B33" s="169"/>
      <c r="C33" s="441">
        <v>-3005.1171799999997</v>
      </c>
      <c r="D33" s="441">
        <v>-2718.7</v>
      </c>
      <c r="E33" s="441">
        <v>-2974.7716199999995</v>
      </c>
      <c r="F33" s="441">
        <v>-2359.3641300000018</v>
      </c>
      <c r="G33" s="441">
        <v>-2110.6802299999999</v>
      </c>
      <c r="H33" s="441">
        <v>-1911</v>
      </c>
      <c r="I33" s="441">
        <v>-1735</v>
      </c>
      <c r="J33" s="441">
        <v>-3212.6961399999986</v>
      </c>
      <c r="K33" s="441">
        <v>-4828</v>
      </c>
      <c r="L33" s="441">
        <v>-9927</v>
      </c>
      <c r="M33" s="441">
        <v>-9147</v>
      </c>
      <c r="N33" s="441">
        <v>-8969</v>
      </c>
      <c r="O33" s="441">
        <v>-8188.0000000000009</v>
      </c>
      <c r="P33" s="441">
        <v>-4216.0749100000003</v>
      </c>
      <c r="Q33" s="441">
        <v>-5721</v>
      </c>
      <c r="R33" s="441">
        <v>-7089.3792399999993</v>
      </c>
      <c r="S33" s="441">
        <v>-7072.9814599999991</v>
      </c>
      <c r="T33" s="441">
        <v>-4216.0749100000003</v>
      </c>
      <c r="U33" s="441">
        <v>-10472</v>
      </c>
      <c r="V33" s="441">
        <v>-14211</v>
      </c>
      <c r="W33" s="441">
        <v>-15749</v>
      </c>
      <c r="X33" s="441">
        <v>-18508</v>
      </c>
      <c r="Y33" s="441">
        <v>-16202</v>
      </c>
      <c r="Z33" s="441">
        <v>-17437.753459999905</v>
      </c>
      <c r="AA33" s="441">
        <v>-19890.379479999996</v>
      </c>
      <c r="AB33" s="441">
        <v>-17640.999</v>
      </c>
      <c r="AC33" s="441">
        <v>-17323.803</v>
      </c>
    </row>
    <row r="34" spans="1:29" ht="15" thickBot="1" x14ac:dyDescent="0.4">
      <c r="A34" s="175" t="s">
        <v>314</v>
      </c>
      <c r="B34" s="169"/>
      <c r="C34" s="176">
        <f t="shared" ref="C34:X34" si="8">SUM(C30:C31)</f>
        <v>19714.373030000002</v>
      </c>
      <c r="D34" s="176">
        <f t="shared" si="8"/>
        <v>19269.599999999999</v>
      </c>
      <c r="E34" s="176">
        <f t="shared" si="8"/>
        <v>16772.496989999996</v>
      </c>
      <c r="F34" s="176">
        <f t="shared" si="8"/>
        <v>17134.255030000015</v>
      </c>
      <c r="G34" s="176">
        <f t="shared" si="8"/>
        <v>24721.796999999999</v>
      </c>
      <c r="H34" s="176">
        <f t="shared" si="8"/>
        <v>27094</v>
      </c>
      <c r="I34" s="176">
        <f t="shared" si="8"/>
        <v>24556.177179999999</v>
      </c>
      <c r="J34" s="176">
        <f t="shared" si="8"/>
        <v>70192.910719999971</v>
      </c>
      <c r="K34" s="176">
        <f t="shared" si="8"/>
        <v>13325.709849999999</v>
      </c>
      <c r="L34" s="176">
        <f t="shared" si="8"/>
        <v>71789.691049999994</v>
      </c>
      <c r="M34" s="176">
        <f t="shared" si="8"/>
        <v>21164.717109999994</v>
      </c>
      <c r="N34" s="176">
        <f t="shared" si="8"/>
        <v>359686.02332000004</v>
      </c>
      <c r="O34" s="176">
        <f t="shared" si="8"/>
        <v>-12701</v>
      </c>
      <c r="P34" s="176">
        <f t="shared" si="8"/>
        <v>17267.805709999997</v>
      </c>
      <c r="Q34" s="176">
        <f t="shared" si="8"/>
        <v>12175</v>
      </c>
      <c r="R34" s="176">
        <f t="shared" si="8"/>
        <v>-9593.1301000000312</v>
      </c>
      <c r="S34" s="176">
        <f t="shared" si="8"/>
        <v>16023.053670000007</v>
      </c>
      <c r="T34" s="176">
        <f t="shared" si="8"/>
        <v>17264.805709999997</v>
      </c>
      <c r="U34" s="176">
        <f t="shared" si="8"/>
        <v>15430.104339999983</v>
      </c>
      <c r="V34" s="176">
        <f t="shared" si="8"/>
        <v>8225</v>
      </c>
      <c r="W34" s="176">
        <f t="shared" si="8"/>
        <v>2973.901170000001</v>
      </c>
      <c r="X34" s="176">
        <f t="shared" si="8"/>
        <v>9108.098829999999</v>
      </c>
      <c r="Y34" s="176">
        <f>SUM(Y30:Y31)</f>
        <v>11045</v>
      </c>
      <c r="Z34" s="176">
        <f>SUM(Z30:Z31)</f>
        <v>6145.8133800001015</v>
      </c>
      <c r="AA34" s="176">
        <f>SUM(AA30:AA31)</f>
        <v>10588.220730000005</v>
      </c>
      <c r="AB34" s="176">
        <f>SUM(AB30:AB31)</f>
        <v>29416.397633550012</v>
      </c>
      <c r="AC34" s="176">
        <f>SUM(AC30:AC31)</f>
        <v>28209.888299999991</v>
      </c>
    </row>
    <row r="35" spans="1:29" x14ac:dyDescent="0.35">
      <c r="A35" s="172" t="s">
        <v>635</v>
      </c>
      <c r="B35" s="169"/>
      <c r="C35" s="441">
        <v>-2193.68444</v>
      </c>
      <c r="D35" s="441">
        <v>-6706</v>
      </c>
      <c r="E35" s="441">
        <v>-1050.47163</v>
      </c>
      <c r="F35" s="441">
        <v>-6080</v>
      </c>
      <c r="G35" s="441">
        <v>-3399.0726300000001</v>
      </c>
      <c r="H35" s="441">
        <v>-9355</v>
      </c>
      <c r="I35" s="441">
        <v>-8495</v>
      </c>
      <c r="J35" s="441">
        <v>-25473</v>
      </c>
      <c r="K35" s="441">
        <v>-12704</v>
      </c>
      <c r="L35" s="441">
        <f>-2828-12367</f>
        <v>-15195</v>
      </c>
      <c r="M35" s="441">
        <v>-7190</v>
      </c>
      <c r="N35" s="441">
        <v>-104996</v>
      </c>
      <c r="O35" s="441">
        <v>-67</v>
      </c>
      <c r="P35" s="441">
        <v>-5873</v>
      </c>
      <c r="Q35" s="441">
        <v>8900</v>
      </c>
      <c r="R35" s="441">
        <v>-2808</v>
      </c>
      <c r="S35" s="441">
        <v>-4913.03532</v>
      </c>
      <c r="T35" s="441">
        <v>-5872</v>
      </c>
      <c r="U35" s="441">
        <v>-5241</v>
      </c>
      <c r="V35" s="441">
        <v>-5836</v>
      </c>
      <c r="W35" s="441">
        <v>-1005</v>
      </c>
      <c r="X35" s="441">
        <v>-9315</v>
      </c>
      <c r="Y35" s="441">
        <v>-5435</v>
      </c>
      <c r="Z35" s="441">
        <v>-6285.9551399999982</v>
      </c>
      <c r="AA35" s="441">
        <v>-6163.3221600000006</v>
      </c>
      <c r="AB35" s="441">
        <v>-6243.9960000000001</v>
      </c>
      <c r="AC35" s="441">
        <v>-5754.62</v>
      </c>
    </row>
    <row r="36" spans="1:29" x14ac:dyDescent="0.35">
      <c r="A36" s="172" t="s">
        <v>636</v>
      </c>
      <c r="B36" s="169"/>
      <c r="C36" s="441">
        <v>-1771.9858300000001</v>
      </c>
      <c r="D36" s="441">
        <v>4223</v>
      </c>
      <c r="E36" s="441">
        <v>-1214.6389999999999</v>
      </c>
      <c r="F36" s="441">
        <v>2668</v>
      </c>
      <c r="G36" s="441">
        <v>-2244.9290299999998</v>
      </c>
      <c r="H36" s="441">
        <v>3733</v>
      </c>
      <c r="I36" s="441">
        <v>3536</v>
      </c>
      <c r="J36" s="441">
        <v>6390</v>
      </c>
      <c r="K36" s="441">
        <v>1989</v>
      </c>
      <c r="L36" s="441">
        <v>2078</v>
      </c>
      <c r="M36" s="441">
        <v>10637</v>
      </c>
      <c r="N36" s="441">
        <v>7141</v>
      </c>
      <c r="O36" s="441">
        <v>-179</v>
      </c>
      <c r="P36" s="441">
        <v>2512</v>
      </c>
      <c r="Q36" s="441">
        <v>-122</v>
      </c>
      <c r="R36" s="441">
        <v>1036</v>
      </c>
      <c r="S36" s="441">
        <v>2815.0816099999997</v>
      </c>
      <c r="T36" s="441">
        <v>2512</v>
      </c>
      <c r="U36" s="441">
        <v>3014</v>
      </c>
      <c r="V36" s="441">
        <v>1536</v>
      </c>
      <c r="W36" s="441">
        <v>556</v>
      </c>
      <c r="X36" s="441">
        <v>1700</v>
      </c>
      <c r="Y36" s="441">
        <v>2057</v>
      </c>
      <c r="Z36" s="441">
        <v>1146.7048199999999</v>
      </c>
      <c r="AA36" s="441">
        <v>1718.3401999999999</v>
      </c>
      <c r="AB36" s="441">
        <v>4660.5370000000003</v>
      </c>
      <c r="AC36" s="441">
        <v>3725.0520000000001</v>
      </c>
    </row>
    <row r="37" spans="1:29" ht="15" thickBot="1" x14ac:dyDescent="0.4">
      <c r="A37" s="172" t="s">
        <v>283</v>
      </c>
      <c r="B37" s="169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>
        <v>-4545</v>
      </c>
      <c r="P37" s="441"/>
      <c r="Q37" s="441"/>
      <c r="R37" s="441">
        <v>-6780</v>
      </c>
      <c r="S37" s="441">
        <v>-528.80292999999995</v>
      </c>
      <c r="T37" s="441"/>
      <c r="U37" s="441"/>
      <c r="V37" s="441">
        <v>3137</v>
      </c>
      <c r="W37" s="441"/>
      <c r="X37" s="441">
        <v>6224</v>
      </c>
      <c r="Y37" s="441">
        <v>1686</v>
      </c>
      <c r="Z37" s="441">
        <v>6265.142890000001</v>
      </c>
      <c r="AA37" s="441">
        <v>2569.2403400000003</v>
      </c>
      <c r="AB37" s="441">
        <v>-3164.596</v>
      </c>
      <c r="AC37" s="441">
        <v>-4416.826</v>
      </c>
    </row>
    <row r="38" spans="1:29" ht="15" thickBot="1" x14ac:dyDescent="0.4">
      <c r="A38" s="175" t="s">
        <v>285</v>
      </c>
      <c r="B38" s="169"/>
      <c r="C38" s="176">
        <f t="shared" ref="C38:X38" si="9">SUM(C34:C37)</f>
        <v>15748.702760000002</v>
      </c>
      <c r="D38" s="176">
        <f t="shared" si="9"/>
        <v>16786.599999999999</v>
      </c>
      <c r="E38" s="176">
        <f t="shared" si="9"/>
        <v>14507.386359999997</v>
      </c>
      <c r="F38" s="176">
        <f t="shared" si="9"/>
        <v>13722.255030000015</v>
      </c>
      <c r="G38" s="176">
        <f t="shared" si="9"/>
        <v>19077.795340000001</v>
      </c>
      <c r="H38" s="176">
        <f t="shared" si="9"/>
        <v>21472</v>
      </c>
      <c r="I38" s="176">
        <f t="shared" si="9"/>
        <v>19597.177179999999</v>
      </c>
      <c r="J38" s="176">
        <f t="shared" si="9"/>
        <v>51109.910719999971</v>
      </c>
      <c r="K38" s="176">
        <f t="shared" si="9"/>
        <v>2610.7098499999993</v>
      </c>
      <c r="L38" s="176">
        <f t="shared" si="9"/>
        <v>58672.691049999994</v>
      </c>
      <c r="M38" s="176">
        <f t="shared" si="9"/>
        <v>24611.717109999994</v>
      </c>
      <c r="N38" s="176">
        <f t="shared" si="9"/>
        <v>261831.02332000004</v>
      </c>
      <c r="O38" s="176">
        <f t="shared" si="9"/>
        <v>-17492</v>
      </c>
      <c r="P38" s="176">
        <f t="shared" si="9"/>
        <v>13906.805709999997</v>
      </c>
      <c r="Q38" s="176">
        <f t="shared" si="9"/>
        <v>20953</v>
      </c>
      <c r="R38" s="176">
        <f t="shared" si="9"/>
        <v>-18145.130100000031</v>
      </c>
      <c r="S38" s="176">
        <f t="shared" si="9"/>
        <v>13396.297030000005</v>
      </c>
      <c r="T38" s="176">
        <f t="shared" si="9"/>
        <v>13904.805709999997</v>
      </c>
      <c r="U38" s="176">
        <f t="shared" si="9"/>
        <v>13203.104339999983</v>
      </c>
      <c r="V38" s="176">
        <f t="shared" si="9"/>
        <v>7062</v>
      </c>
      <c r="W38" s="176">
        <f t="shared" si="9"/>
        <v>2524.901170000001</v>
      </c>
      <c r="X38" s="176">
        <f t="shared" si="9"/>
        <v>7717.098829999999</v>
      </c>
      <c r="Y38" s="176">
        <f>SUM(Y34:Y37)</f>
        <v>9353</v>
      </c>
      <c r="Z38" s="176">
        <f>SUM(Z34:Z37)</f>
        <v>7271.7059500001042</v>
      </c>
      <c r="AA38" s="176">
        <f>SUM(AA34:AA37)</f>
        <v>8712.4791100000039</v>
      </c>
      <c r="AB38" s="176">
        <f>SUM(AB34:AB37)</f>
        <v>24668.342633550012</v>
      </c>
      <c r="AC38" s="176">
        <f>SUM(AC34:AC37)</f>
        <v>21763.494299999991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0D7BD-6D15-4DEA-9E79-C4E4D340C29A}">
  <sheetPr>
    <tabColor theme="9" tint="0.79998168889431442"/>
  </sheetPr>
  <dimension ref="A1:AC30"/>
  <sheetViews>
    <sheetView showGridLines="0" zoomScale="85" zoomScaleNormal="85" workbookViewId="0">
      <pane xSplit="1" ySplit="8" topLeftCell="B9" activePane="bottomRight" state="frozen"/>
      <selection activeCell="Z25" sqref="Z25"/>
      <selection pane="topRight" activeCell="Z25" sqref="Z25"/>
      <selection pane="bottomLeft" activeCell="Z25" sqref="Z25"/>
      <selection pane="bottomRight" activeCell="Y18" sqref="Y18"/>
    </sheetView>
  </sheetViews>
  <sheetFormatPr defaultColWidth="9.1796875" defaultRowHeight="14.5" outlineLevelCol="1" x14ac:dyDescent="0.35"/>
  <cols>
    <col min="1" max="1" width="47.453125" style="37" bestFit="1" customWidth="1"/>
    <col min="2" max="2" width="1.7265625" customWidth="1"/>
    <col min="3" max="22" width="0" style="37" hidden="1" customWidth="1" outlineLevel="1"/>
    <col min="23" max="23" width="9.1796875" style="37" collapsed="1"/>
    <col min="24" max="16384" width="9.1796875" style="37"/>
  </cols>
  <sheetData>
    <row r="1" spans="1:29" x14ac:dyDescent="0.35">
      <c r="R1" s="37" t="s">
        <v>637</v>
      </c>
    </row>
    <row r="7" spans="1:29" x14ac:dyDescent="0.35">
      <c r="A7" s="41" t="s">
        <v>638</v>
      </c>
      <c r="B7" s="168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 ht="15" thickBot="1" x14ac:dyDescent="0.4">
      <c r="A8" s="589" t="s">
        <v>639</v>
      </c>
      <c r="B8" s="169"/>
      <c r="C8" s="590" t="s">
        <v>57</v>
      </c>
      <c r="D8" s="590" t="s">
        <v>58</v>
      </c>
      <c r="E8" s="590" t="s">
        <v>59</v>
      </c>
      <c r="F8" s="590" t="s">
        <v>60</v>
      </c>
      <c r="G8" s="590" t="s">
        <v>61</v>
      </c>
      <c r="H8" s="590" t="s">
        <v>62</v>
      </c>
      <c r="I8" s="590" t="s">
        <v>63</v>
      </c>
      <c r="J8" s="590" t="s">
        <v>64</v>
      </c>
      <c r="K8" s="590" t="s">
        <v>65</v>
      </c>
      <c r="L8" s="590" t="s">
        <v>66</v>
      </c>
      <c r="M8" s="590" t="s">
        <v>67</v>
      </c>
      <c r="N8" s="590" t="s">
        <v>68</v>
      </c>
      <c r="O8" s="590" t="s">
        <v>69</v>
      </c>
      <c r="P8" s="590" t="s">
        <v>70</v>
      </c>
      <c r="Q8" s="590" t="s">
        <v>71</v>
      </c>
      <c r="R8" s="590" t="s">
        <v>72</v>
      </c>
      <c r="S8" s="590" t="s">
        <v>73</v>
      </c>
      <c r="T8" s="590" t="s">
        <v>74</v>
      </c>
      <c r="U8" s="590" t="s">
        <v>75</v>
      </c>
      <c r="V8" s="590" t="s">
        <v>76</v>
      </c>
      <c r="W8" s="590" t="s">
        <v>77</v>
      </c>
      <c r="X8" s="590" t="s">
        <v>78</v>
      </c>
      <c r="Y8" s="590" t="s">
        <v>79</v>
      </c>
      <c r="Z8" s="590" t="s">
        <v>80</v>
      </c>
      <c r="AA8" s="590" t="s">
        <v>81</v>
      </c>
      <c r="AB8" s="590" t="s">
        <v>82</v>
      </c>
      <c r="AC8" s="594" t="s">
        <v>83</v>
      </c>
    </row>
    <row r="9" spans="1:29" ht="15" thickBot="1" x14ac:dyDescent="0.4">
      <c r="A9" s="175" t="s">
        <v>246</v>
      </c>
      <c r="B9" s="169"/>
      <c r="C9" s="176">
        <f t="shared" ref="C9:AB9" si="0">SUM(C10:C12)</f>
        <v>34943.435110000006</v>
      </c>
      <c r="D9" s="176">
        <f t="shared" si="0"/>
        <v>35359</v>
      </c>
      <c r="E9" s="176">
        <f t="shared" si="0"/>
        <v>32115</v>
      </c>
      <c r="F9" s="176">
        <f t="shared" si="0"/>
        <v>32999.949689999994</v>
      </c>
      <c r="G9" s="176">
        <f t="shared" si="0"/>
        <v>36318.031050000005</v>
      </c>
      <c r="H9" s="176">
        <f t="shared" si="0"/>
        <v>42953</v>
      </c>
      <c r="I9" s="176">
        <f t="shared" si="0"/>
        <v>40692.470910000018</v>
      </c>
      <c r="J9" s="176">
        <f t="shared" si="0"/>
        <v>44576.803619999999</v>
      </c>
      <c r="K9" s="176">
        <f t="shared" si="0"/>
        <v>43234.796300000002</v>
      </c>
      <c r="L9" s="176">
        <f t="shared" si="0"/>
        <v>44207.887380000007</v>
      </c>
      <c r="M9" s="176">
        <f t="shared" si="0"/>
        <v>48895</v>
      </c>
      <c r="N9" s="176">
        <f t="shared" si="0"/>
        <v>46971.639329999998</v>
      </c>
      <c r="O9" s="176">
        <f t="shared" si="0"/>
        <v>48082</v>
      </c>
      <c r="P9" s="176">
        <f t="shared" si="0"/>
        <v>43243.198019999996</v>
      </c>
      <c r="Q9" s="176">
        <f t="shared" si="0"/>
        <v>47135</v>
      </c>
      <c r="R9" s="176">
        <f t="shared" si="0"/>
        <v>46142.403400000003</v>
      </c>
      <c r="S9" s="176">
        <f t="shared" si="0"/>
        <v>44680.408850000007</v>
      </c>
      <c r="T9" s="176">
        <f t="shared" si="0"/>
        <v>43243.198019999996</v>
      </c>
      <c r="U9" s="176">
        <f t="shared" si="0"/>
        <v>47670.40281</v>
      </c>
      <c r="V9" s="176">
        <f t="shared" si="0"/>
        <v>46142.403400000003</v>
      </c>
      <c r="W9" s="176">
        <f t="shared" si="0"/>
        <v>45790.35598</v>
      </c>
      <c r="X9" s="176">
        <f t="shared" si="0"/>
        <v>47155.64402</v>
      </c>
      <c r="Y9" s="176">
        <f t="shared" si="0"/>
        <v>50886.100479999994</v>
      </c>
      <c r="Z9" s="176">
        <f t="shared" si="0"/>
        <v>50746.986499999999</v>
      </c>
      <c r="AA9" s="176">
        <f t="shared" si="0"/>
        <v>50930.292540000002</v>
      </c>
      <c r="AB9" s="176">
        <f t="shared" si="0"/>
        <v>51033.009970000006</v>
      </c>
      <c r="AC9" s="176">
        <f>SUM(AC10:AC12)</f>
        <v>31733.914410000001</v>
      </c>
    </row>
    <row r="10" spans="1:29" x14ac:dyDescent="0.35">
      <c r="A10" s="172" t="s">
        <v>627</v>
      </c>
      <c r="B10" s="169"/>
      <c r="C10" s="441">
        <v>34435.547770000005</v>
      </c>
      <c r="D10" s="441">
        <v>34851</v>
      </c>
      <c r="E10" s="441">
        <v>31607</v>
      </c>
      <c r="F10" s="441">
        <v>32491.949689999994</v>
      </c>
      <c r="G10" s="441">
        <v>35810.143710000004</v>
      </c>
      <c r="H10" s="441">
        <v>42445</v>
      </c>
      <c r="I10" s="441">
        <v>40491.667290000019</v>
      </c>
      <c r="J10" s="441">
        <v>44376</v>
      </c>
      <c r="K10" s="441">
        <v>43033.992680000003</v>
      </c>
      <c r="L10" s="441">
        <v>43972.549960000004</v>
      </c>
      <c r="M10" s="443">
        <v>48683</v>
      </c>
      <c r="N10" s="443">
        <v>46306.639329999998</v>
      </c>
      <c r="O10" s="443">
        <v>47873</v>
      </c>
      <c r="P10" s="443">
        <v>39786.198019999996</v>
      </c>
      <c r="Q10" s="443">
        <v>45053</v>
      </c>
      <c r="R10" s="443">
        <v>44483.087780000002</v>
      </c>
      <c r="S10" s="443">
        <v>43120.440670000004</v>
      </c>
      <c r="T10" s="443">
        <v>39786.198019999996</v>
      </c>
      <c r="U10" s="443">
        <v>50206.673989999996</v>
      </c>
      <c r="V10" s="443">
        <v>44483.087780000002</v>
      </c>
      <c r="W10" s="443">
        <v>45585.946960000001</v>
      </c>
      <c r="X10" s="443">
        <v>47132.053039999999</v>
      </c>
      <c r="Y10" s="443">
        <v>51114.100479999994</v>
      </c>
      <c r="Z10" s="443">
        <v>49912.464139999996</v>
      </c>
      <c r="AA10" s="443">
        <v>50717.44038</v>
      </c>
      <c r="AB10" s="443">
        <v>50820.157810000004</v>
      </c>
      <c r="AC10" s="443">
        <v>31447.870320000002</v>
      </c>
    </row>
    <row r="11" spans="1:29" x14ac:dyDescent="0.35">
      <c r="A11" s="172" t="s">
        <v>640</v>
      </c>
      <c r="B11" s="169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>
        <v>-425.70432</v>
      </c>
    </row>
    <row r="12" spans="1:29" ht="15" thickBot="1" x14ac:dyDescent="0.4">
      <c r="A12" s="172" t="s">
        <v>254</v>
      </c>
      <c r="B12" s="169"/>
      <c r="C12" s="441">
        <v>507.88733999999999</v>
      </c>
      <c r="D12" s="441">
        <v>508</v>
      </c>
      <c r="E12" s="441">
        <v>508</v>
      </c>
      <c r="F12" s="441">
        <v>508</v>
      </c>
      <c r="G12" s="441">
        <v>507.88733999999999</v>
      </c>
      <c r="H12" s="441">
        <v>508</v>
      </c>
      <c r="I12" s="441">
        <v>200.80362</v>
      </c>
      <c r="J12" s="441">
        <v>200.80361999999991</v>
      </c>
      <c r="K12" s="441">
        <v>200.80362</v>
      </c>
      <c r="L12" s="441">
        <v>235.33741999999998</v>
      </c>
      <c r="M12" s="441">
        <v>212</v>
      </c>
      <c r="N12" s="441">
        <v>665</v>
      </c>
      <c r="O12" s="441">
        <v>209</v>
      </c>
      <c r="P12" s="441">
        <v>3457</v>
      </c>
      <c r="Q12" s="441">
        <v>2082</v>
      </c>
      <c r="R12" s="441">
        <v>1659.3156199999999</v>
      </c>
      <c r="S12" s="441">
        <v>1559.9681799999998</v>
      </c>
      <c r="T12" s="441">
        <v>3457</v>
      </c>
      <c r="U12" s="441">
        <v>-2536.2711799999997</v>
      </c>
      <c r="V12" s="441">
        <v>1659.3156199999999</v>
      </c>
      <c r="W12" s="441">
        <v>204.40902</v>
      </c>
      <c r="X12" s="441">
        <v>23.590980000000002</v>
      </c>
      <c r="Y12" s="441">
        <v>-228</v>
      </c>
      <c r="Z12" s="443">
        <v>834.52236000000005</v>
      </c>
      <c r="AA12" s="443">
        <v>212.85216</v>
      </c>
      <c r="AB12" s="443">
        <v>212.85216</v>
      </c>
      <c r="AC12" s="443">
        <v>711.74841000000004</v>
      </c>
    </row>
    <row r="13" spans="1:29" ht="15" thickBot="1" x14ac:dyDescent="0.4">
      <c r="A13" s="175" t="s">
        <v>305</v>
      </c>
      <c r="B13" s="169"/>
      <c r="C13" s="176">
        <v>-4558.9875099999999</v>
      </c>
      <c r="D13" s="176">
        <v>-4612</v>
      </c>
      <c r="E13" s="176">
        <v>-4359</v>
      </c>
      <c r="F13" s="176">
        <v>-4432.4367700000003</v>
      </c>
      <c r="G13" s="176">
        <v>-4450.5055499999999</v>
      </c>
      <c r="H13" s="176">
        <v>-5077</v>
      </c>
      <c r="I13" s="176">
        <v>-4602</v>
      </c>
      <c r="J13" s="176">
        <v>-3883</v>
      </c>
      <c r="K13" s="176">
        <v>-5653</v>
      </c>
      <c r="L13" s="176">
        <v>-6075</v>
      </c>
      <c r="M13" s="176">
        <v>-6321</v>
      </c>
      <c r="N13" s="176">
        <v>-6275</v>
      </c>
      <c r="O13" s="176">
        <v>-6369</v>
      </c>
      <c r="P13" s="176">
        <v>-6168</v>
      </c>
      <c r="Q13" s="176">
        <v>-6288</v>
      </c>
      <c r="R13" s="176">
        <v>-6366.92994</v>
      </c>
      <c r="S13" s="176">
        <v>-6219.0370699999994</v>
      </c>
      <c r="T13" s="176">
        <v>-6168</v>
      </c>
      <c r="U13" s="176">
        <v>-5038.9486399999969</v>
      </c>
      <c r="V13" s="176">
        <v>-6366.92994</v>
      </c>
      <c r="W13" s="176">
        <v>-6212.0343599999997</v>
      </c>
      <c r="X13" s="176">
        <v>-5968.9656400000003</v>
      </c>
      <c r="Y13" s="176">
        <v>-6205.2422200000001</v>
      </c>
      <c r="Z13" s="176">
        <v>-6357.6716000000015</v>
      </c>
      <c r="AA13" s="176">
        <v>-6248.6343600000009</v>
      </c>
      <c r="AB13" s="176">
        <v>-6284.1414300000006</v>
      </c>
      <c r="AC13" s="176">
        <v>-5163.9641700000011</v>
      </c>
    </row>
    <row r="14" spans="1:29" ht="15" thickBot="1" x14ac:dyDescent="0.4">
      <c r="A14" s="175" t="s">
        <v>256</v>
      </c>
      <c r="B14" s="177"/>
      <c r="C14" s="442">
        <f t="shared" ref="C14:AB14" si="1">C9+C13</f>
        <v>30384.447600000007</v>
      </c>
      <c r="D14" s="442">
        <f t="shared" si="1"/>
        <v>30747</v>
      </c>
      <c r="E14" s="442">
        <f t="shared" si="1"/>
        <v>27756</v>
      </c>
      <c r="F14" s="442">
        <f t="shared" si="1"/>
        <v>28567.512919999994</v>
      </c>
      <c r="G14" s="442">
        <f t="shared" si="1"/>
        <v>31867.525500000003</v>
      </c>
      <c r="H14" s="442">
        <f t="shared" si="1"/>
        <v>37876</v>
      </c>
      <c r="I14" s="442">
        <f t="shared" si="1"/>
        <v>36090.470910000018</v>
      </c>
      <c r="J14" s="442">
        <f t="shared" si="1"/>
        <v>40693.803619999999</v>
      </c>
      <c r="K14" s="442">
        <f t="shared" si="1"/>
        <v>37581.796300000002</v>
      </c>
      <c r="L14" s="442">
        <f t="shared" si="1"/>
        <v>38132.887380000007</v>
      </c>
      <c r="M14" s="442">
        <f t="shared" si="1"/>
        <v>42574</v>
      </c>
      <c r="N14" s="442">
        <f t="shared" si="1"/>
        <v>40696.639329999998</v>
      </c>
      <c r="O14" s="442">
        <f t="shared" si="1"/>
        <v>41713</v>
      </c>
      <c r="P14" s="442">
        <f t="shared" si="1"/>
        <v>37075.198019999996</v>
      </c>
      <c r="Q14" s="442">
        <f t="shared" si="1"/>
        <v>40847</v>
      </c>
      <c r="R14" s="442">
        <f t="shared" si="1"/>
        <v>39775.473460000001</v>
      </c>
      <c r="S14" s="442">
        <f t="shared" si="1"/>
        <v>38461.371780000009</v>
      </c>
      <c r="T14" s="442">
        <f t="shared" si="1"/>
        <v>37075.198019999996</v>
      </c>
      <c r="U14" s="442">
        <f t="shared" si="1"/>
        <v>42631.454170000005</v>
      </c>
      <c r="V14" s="442">
        <f t="shared" si="1"/>
        <v>39775.473460000001</v>
      </c>
      <c r="W14" s="442">
        <f t="shared" si="1"/>
        <v>39578.321620000002</v>
      </c>
      <c r="X14" s="442">
        <f t="shared" si="1"/>
        <v>41186.678379999998</v>
      </c>
      <c r="Y14" s="442">
        <f t="shared" si="1"/>
        <v>44680.858259999994</v>
      </c>
      <c r="Z14" s="442">
        <f t="shared" si="1"/>
        <v>44389.314899999998</v>
      </c>
      <c r="AA14" s="442">
        <f t="shared" si="1"/>
        <v>44681.658179999999</v>
      </c>
      <c r="AB14" s="442">
        <f t="shared" si="1"/>
        <v>44748.868540000003</v>
      </c>
      <c r="AC14" s="442">
        <f>AC9+AC13</f>
        <v>26569.950239999998</v>
      </c>
    </row>
    <row r="15" spans="1:29" ht="15" thickBot="1" x14ac:dyDescent="0.4">
      <c r="A15" s="175" t="s">
        <v>264</v>
      </c>
      <c r="B15" s="177"/>
      <c r="C15" s="176">
        <f t="shared" ref="C15:X15" si="2">SUM(C16:C20)</f>
        <v>-4474.84699</v>
      </c>
      <c r="D15" s="176">
        <f t="shared" si="2"/>
        <v>-4419</v>
      </c>
      <c r="E15" s="176">
        <f t="shared" si="2"/>
        <v>-4947</v>
      </c>
      <c r="F15" s="176">
        <f t="shared" si="2"/>
        <v>-4583.51757</v>
      </c>
      <c r="G15" s="176">
        <f t="shared" si="2"/>
        <v>-4123.1583700000001</v>
      </c>
      <c r="H15" s="176">
        <f t="shared" si="2"/>
        <v>-4346</v>
      </c>
      <c r="I15" s="176">
        <f t="shared" si="2"/>
        <v>-4448.5712000000003</v>
      </c>
      <c r="J15" s="176">
        <f t="shared" si="2"/>
        <v>-4230.51</v>
      </c>
      <c r="K15" s="176">
        <f t="shared" si="2"/>
        <v>-4524</v>
      </c>
      <c r="L15" s="176">
        <f t="shared" si="2"/>
        <v>-3269</v>
      </c>
      <c r="M15" s="176">
        <f t="shared" si="2"/>
        <v>-5223.4896100000005</v>
      </c>
      <c r="N15" s="176">
        <f t="shared" si="2"/>
        <v>-4449.4149799999996</v>
      </c>
      <c r="O15" s="176">
        <f t="shared" si="2"/>
        <v>-4107</v>
      </c>
      <c r="P15" s="176">
        <f t="shared" si="2"/>
        <v>-3996</v>
      </c>
      <c r="Q15" s="176">
        <f t="shared" si="2"/>
        <v>-4452</v>
      </c>
      <c r="R15" s="176">
        <f t="shared" si="2"/>
        <v>-4842.6213700000317</v>
      </c>
      <c r="S15" s="176">
        <f t="shared" si="2"/>
        <v>-3445.7551399999998</v>
      </c>
      <c r="T15" s="176">
        <f t="shared" si="2"/>
        <v>-3996</v>
      </c>
      <c r="U15" s="176">
        <f t="shared" si="2"/>
        <v>-4040.6770699999997</v>
      </c>
      <c r="V15" s="176">
        <f t="shared" si="2"/>
        <v>-4842.6213700000317</v>
      </c>
      <c r="W15" s="176">
        <f t="shared" si="2"/>
        <v>-2954.6719799999996</v>
      </c>
      <c r="X15" s="176">
        <f t="shared" si="2"/>
        <v>-7762.6560399999998</v>
      </c>
      <c r="Y15" s="176">
        <f>SUM(Y16:Y20)</f>
        <v>-4967.0697500000006</v>
      </c>
      <c r="Z15" s="176">
        <f>SUM(Z16:Z20)</f>
        <v>-4516.9817499999999</v>
      </c>
      <c r="AA15" s="176">
        <f>SUM(AA16:AA20)</f>
        <v>-2740.1063200000003</v>
      </c>
      <c r="AB15" s="176">
        <f>SUM(AB16:AB20)</f>
        <v>-3458.7579099999998</v>
      </c>
      <c r="AC15" s="176">
        <f>SUM(AC16:AC20)</f>
        <v>-3839.3952599999998</v>
      </c>
    </row>
    <row r="16" spans="1:29" x14ac:dyDescent="0.35">
      <c r="A16" s="172" t="s">
        <v>265</v>
      </c>
      <c r="B16" s="177"/>
      <c r="C16" s="441">
        <v>-1360.88057</v>
      </c>
      <c r="D16" s="441">
        <v>-1104</v>
      </c>
      <c r="E16" s="441">
        <v>-1314</v>
      </c>
      <c r="F16" s="441">
        <v>-1468.6969899999999</v>
      </c>
      <c r="G16" s="441">
        <v>-1155.00431</v>
      </c>
      <c r="H16" s="441">
        <v>-1259</v>
      </c>
      <c r="I16" s="441">
        <v>-1273</v>
      </c>
      <c r="J16" s="441">
        <v>-989</v>
      </c>
      <c r="K16" s="441">
        <v>-1446</v>
      </c>
      <c r="L16" s="441">
        <v>-871</v>
      </c>
      <c r="M16" s="441">
        <v>-1140</v>
      </c>
      <c r="N16" s="441">
        <v>-1206</v>
      </c>
      <c r="O16" s="441">
        <v>-824</v>
      </c>
      <c r="P16" s="441">
        <v>-844</v>
      </c>
      <c r="Q16" s="441">
        <v>-1408</v>
      </c>
      <c r="R16" s="441">
        <v>-2624.7778699999999</v>
      </c>
      <c r="S16" s="441">
        <v>-1589.4129499999997</v>
      </c>
      <c r="T16" s="441">
        <v>-844</v>
      </c>
      <c r="U16" s="441">
        <v>-2047.2975999999999</v>
      </c>
      <c r="V16" s="441">
        <v>-2624.7778699999999</v>
      </c>
      <c r="W16" s="441">
        <v>-1470.6243699999998</v>
      </c>
      <c r="X16" s="441">
        <v>-3881.3280200000004</v>
      </c>
      <c r="Y16" s="441">
        <v>-1348.4710800000003</v>
      </c>
      <c r="Z16" s="441">
        <v>-841.61649000000125</v>
      </c>
      <c r="AA16" s="441">
        <v>-765.33783999999991</v>
      </c>
      <c r="AB16" s="441">
        <v>-951.4858499999998</v>
      </c>
      <c r="AC16" s="441">
        <v>-1172.90886</v>
      </c>
    </row>
    <row r="17" spans="1:29" x14ac:dyDescent="0.35">
      <c r="A17" s="172" t="s">
        <v>266</v>
      </c>
      <c r="B17" s="177"/>
      <c r="C17" s="441">
        <v>-122.13176</v>
      </c>
      <c r="D17" s="441">
        <v>-158</v>
      </c>
      <c r="E17" s="441">
        <v>-132</v>
      </c>
      <c r="F17" s="441">
        <v>-114.52155999999999</v>
      </c>
      <c r="G17" s="441">
        <v>-100.58869</v>
      </c>
      <c r="H17" s="441">
        <v>-77</v>
      </c>
      <c r="I17" s="441">
        <v>-87.5</v>
      </c>
      <c r="J17" s="441">
        <v>-129</v>
      </c>
      <c r="K17" s="441">
        <v>-133</v>
      </c>
      <c r="L17" s="441">
        <v>105</v>
      </c>
      <c r="M17" s="441">
        <v>-7.4584700000000019</v>
      </c>
      <c r="N17" s="441">
        <v>-44.414979999999993</v>
      </c>
      <c r="O17" s="441">
        <v>-16</v>
      </c>
      <c r="P17" s="441">
        <v>-155</v>
      </c>
      <c r="Q17" s="441">
        <v>-143</v>
      </c>
      <c r="R17" s="441">
        <v>12.09157999999999</v>
      </c>
      <c r="S17" s="441">
        <v>-24.755410000000001</v>
      </c>
      <c r="T17" s="441">
        <v>-155</v>
      </c>
      <c r="U17" s="441">
        <v>-257.17619999999999</v>
      </c>
      <c r="V17" s="441">
        <v>12.09157999999999</v>
      </c>
      <c r="W17" s="441">
        <v>-43.11057000000001</v>
      </c>
      <c r="X17" s="441">
        <v>-1426.3756300000002</v>
      </c>
      <c r="Y17" s="441">
        <v>-296.11523</v>
      </c>
      <c r="Z17" s="441">
        <v>-391.86813999999993</v>
      </c>
      <c r="AA17" s="441">
        <v>-483.42370000000005</v>
      </c>
      <c r="AB17" s="441">
        <v>258.5056800000001</v>
      </c>
      <c r="AC17" s="441">
        <v>-6058.131989999999</v>
      </c>
    </row>
    <row r="18" spans="1:29" x14ac:dyDescent="0.35">
      <c r="A18" s="172" t="s">
        <v>267</v>
      </c>
      <c r="B18" s="395"/>
      <c r="C18" s="441">
        <v>-2873.5294399999998</v>
      </c>
      <c r="D18" s="441">
        <v>-3055</v>
      </c>
      <c r="E18" s="441">
        <v>-3402</v>
      </c>
      <c r="F18" s="441">
        <v>-2905.3433199999999</v>
      </c>
      <c r="G18" s="441">
        <v>-2749.51656</v>
      </c>
      <c r="H18" s="441">
        <v>-2885</v>
      </c>
      <c r="I18" s="441">
        <v>-3043.6812</v>
      </c>
      <c r="J18" s="441">
        <v>-3141</v>
      </c>
      <c r="K18" s="441">
        <v>-2944</v>
      </c>
      <c r="L18" s="441">
        <v>-2552</v>
      </c>
      <c r="M18" s="441">
        <v>-4076.0311400000001</v>
      </c>
      <c r="N18" s="441">
        <v>-3059</v>
      </c>
      <c r="O18" s="441">
        <v>-3632</v>
      </c>
      <c r="P18" s="441">
        <v>-3396</v>
      </c>
      <c r="Q18" s="441">
        <v>-3018</v>
      </c>
      <c r="R18" s="441">
        <v>-2563.55087</v>
      </c>
      <c r="S18" s="441">
        <v>-1860.6816800000001</v>
      </c>
      <c r="T18" s="441">
        <v>-3396</v>
      </c>
      <c r="U18" s="441">
        <v>-1252.6337800000001</v>
      </c>
      <c r="V18" s="441">
        <v>-2563.55087</v>
      </c>
      <c r="W18" s="441">
        <v>-1362.4625800000001</v>
      </c>
      <c r="X18" s="441">
        <v>-228.88943</v>
      </c>
      <c r="Y18" s="441">
        <v>-3238.0769600000003</v>
      </c>
      <c r="Z18" s="441">
        <v>-3171.5278999999991</v>
      </c>
      <c r="AA18" s="441">
        <v>-1332.3160300000002</v>
      </c>
      <c r="AB18" s="441">
        <v>-2651.7366099999999</v>
      </c>
      <c r="AC18" s="441">
        <v>3436.0920699999997</v>
      </c>
    </row>
    <row r="19" spans="1:29" x14ac:dyDescent="0.35">
      <c r="A19" s="172" t="s">
        <v>633</v>
      </c>
      <c r="B19" s="395"/>
      <c r="C19" s="441">
        <v>0</v>
      </c>
      <c r="D19" s="441">
        <v>0</v>
      </c>
      <c r="E19" s="441"/>
      <c r="F19" s="441">
        <v>0</v>
      </c>
      <c r="G19" s="441">
        <v>0</v>
      </c>
      <c r="H19" s="441">
        <v>0</v>
      </c>
      <c r="I19" s="441">
        <v>0</v>
      </c>
      <c r="J19" s="441">
        <v>0</v>
      </c>
      <c r="K19" s="441"/>
      <c r="L19" s="441">
        <v>0</v>
      </c>
      <c r="M19" s="441">
        <v>0</v>
      </c>
      <c r="N19" s="441"/>
      <c r="O19" s="441">
        <f>P19*1000</f>
        <v>0</v>
      </c>
      <c r="P19" s="441"/>
      <c r="Q19" s="441"/>
      <c r="R19" s="441">
        <v>0</v>
      </c>
      <c r="S19" s="441">
        <v>0</v>
      </c>
      <c r="T19" s="441">
        <v>0</v>
      </c>
      <c r="U19" s="441">
        <v>0</v>
      </c>
      <c r="V19" s="441">
        <v>0</v>
      </c>
      <c r="W19" s="441">
        <v>0</v>
      </c>
      <c r="X19" s="441">
        <v>-2044.5374199999999</v>
      </c>
      <c r="Y19" s="441">
        <v>0</v>
      </c>
      <c r="Z19" s="441">
        <v>0</v>
      </c>
      <c r="AA19" s="441"/>
      <c r="AB19" s="441">
        <v>0</v>
      </c>
      <c r="AC19" s="441">
        <v>0</v>
      </c>
    </row>
    <row r="20" spans="1:29" x14ac:dyDescent="0.35">
      <c r="A20" s="172" t="s">
        <v>270</v>
      </c>
      <c r="B20" s="177"/>
      <c r="C20" s="441">
        <v>-118.30522000000002</v>
      </c>
      <c r="D20" s="441">
        <v>-102</v>
      </c>
      <c r="E20" s="441">
        <v>-99</v>
      </c>
      <c r="F20" s="441">
        <v>-94.955699999999993</v>
      </c>
      <c r="G20" s="441">
        <v>-118.04881</v>
      </c>
      <c r="H20" s="441">
        <v>-125</v>
      </c>
      <c r="I20" s="441">
        <v>-44.39</v>
      </c>
      <c r="J20" s="441">
        <v>28.49</v>
      </c>
      <c r="K20" s="441">
        <v>-1</v>
      </c>
      <c r="L20" s="441">
        <v>49</v>
      </c>
      <c r="M20" s="441">
        <v>0</v>
      </c>
      <c r="N20" s="441">
        <v>-140</v>
      </c>
      <c r="O20" s="441">
        <v>365</v>
      </c>
      <c r="P20" s="441">
        <v>399</v>
      </c>
      <c r="Q20" s="441">
        <v>117</v>
      </c>
      <c r="R20" s="441">
        <v>333.61578999996902</v>
      </c>
      <c r="S20" s="441">
        <v>29.09490000000001</v>
      </c>
      <c r="T20" s="441">
        <v>399</v>
      </c>
      <c r="U20" s="441">
        <v>-483.56948999999997</v>
      </c>
      <c r="V20" s="441">
        <v>333.61578999996902</v>
      </c>
      <c r="W20" s="441">
        <v>-78.474460000000008</v>
      </c>
      <c r="X20" s="441">
        <v>-181.52553999999998</v>
      </c>
      <c r="Y20" s="441">
        <v>-84.406479999999988</v>
      </c>
      <c r="Z20" s="441">
        <v>-111.96922000000006</v>
      </c>
      <c r="AA20" s="441">
        <v>-159.02875</v>
      </c>
      <c r="AB20" s="441">
        <v>-114.04113000000007</v>
      </c>
      <c r="AC20" s="441">
        <v>-44.446479999999895</v>
      </c>
    </row>
    <row r="21" spans="1:29" x14ac:dyDescent="0.35">
      <c r="A21" s="596" t="s">
        <v>272</v>
      </c>
      <c r="B21" s="177"/>
      <c r="C21" s="595">
        <f t="shared" ref="C21:X21" si="3">C14+C15</f>
        <v>25909.600610000009</v>
      </c>
      <c r="D21" s="595">
        <f t="shared" si="3"/>
        <v>26328</v>
      </c>
      <c r="E21" s="595">
        <f t="shared" si="3"/>
        <v>22809</v>
      </c>
      <c r="F21" s="595">
        <f t="shared" si="3"/>
        <v>23983.995349999994</v>
      </c>
      <c r="G21" s="595">
        <f t="shared" si="3"/>
        <v>27744.367130000002</v>
      </c>
      <c r="H21" s="595">
        <f t="shared" si="3"/>
        <v>33530</v>
      </c>
      <c r="I21" s="595">
        <f t="shared" si="3"/>
        <v>31641.89971000002</v>
      </c>
      <c r="J21" s="595">
        <f t="shared" si="3"/>
        <v>36463.293619999997</v>
      </c>
      <c r="K21" s="595">
        <f t="shared" si="3"/>
        <v>33057.796300000002</v>
      </c>
      <c r="L21" s="595">
        <f t="shared" si="3"/>
        <v>34863.887380000007</v>
      </c>
      <c r="M21" s="595">
        <f t="shared" si="3"/>
        <v>37350.510389999996</v>
      </c>
      <c r="N21" s="595">
        <f t="shared" si="3"/>
        <v>36247.224349999997</v>
      </c>
      <c r="O21" s="595">
        <f t="shared" si="3"/>
        <v>37606</v>
      </c>
      <c r="P21" s="595">
        <f t="shared" si="3"/>
        <v>33079.198019999996</v>
      </c>
      <c r="Q21" s="595">
        <f t="shared" si="3"/>
        <v>36395</v>
      </c>
      <c r="R21" s="595">
        <f t="shared" si="3"/>
        <v>34932.852089999971</v>
      </c>
      <c r="S21" s="595">
        <f t="shared" si="3"/>
        <v>35015.616640000007</v>
      </c>
      <c r="T21" s="595">
        <f t="shared" si="3"/>
        <v>33079.198019999996</v>
      </c>
      <c r="U21" s="595">
        <f t="shared" si="3"/>
        <v>38590.777100000007</v>
      </c>
      <c r="V21" s="595">
        <f t="shared" si="3"/>
        <v>34932.852089999971</v>
      </c>
      <c r="W21" s="595">
        <f t="shared" si="3"/>
        <v>36623.649640000003</v>
      </c>
      <c r="X21" s="595">
        <f t="shared" si="3"/>
        <v>33424.022339999996</v>
      </c>
      <c r="Y21" s="595">
        <f>Y14+Y15</f>
        <v>39713.788509999991</v>
      </c>
      <c r="Z21" s="595">
        <f>Z14+Z15</f>
        <v>39872.333149999999</v>
      </c>
      <c r="AA21" s="595">
        <f>AA14+AA15</f>
        <v>41941.55186</v>
      </c>
      <c r="AB21" s="595">
        <f>AB14+AB15</f>
        <v>41290.110630000003</v>
      </c>
      <c r="AC21" s="595">
        <f>AC14+AC15</f>
        <v>22730.554979999997</v>
      </c>
    </row>
    <row r="22" spans="1:29" ht="15" thickBot="1" x14ac:dyDescent="0.4">
      <c r="A22" s="172" t="s">
        <v>273</v>
      </c>
      <c r="B22" s="169"/>
      <c r="C22" s="441">
        <v>-3908.2178699999999</v>
      </c>
      <c r="D22" s="441">
        <v>-3908</v>
      </c>
      <c r="E22" s="441">
        <v>-3908</v>
      </c>
      <c r="F22" s="441">
        <v>-3908.2178699999999</v>
      </c>
      <c r="G22" s="441">
        <v>-4053.5923699999998</v>
      </c>
      <c r="H22" s="441">
        <v>-4338</v>
      </c>
      <c r="I22" s="441">
        <v>-4898</v>
      </c>
      <c r="J22" s="441">
        <v>-5992</v>
      </c>
      <c r="K22" s="441">
        <v>-5146</v>
      </c>
      <c r="L22" s="441">
        <v>-5234</v>
      </c>
      <c r="M22" s="441">
        <v>-5215</v>
      </c>
      <c r="N22" s="441">
        <v>-5215</v>
      </c>
      <c r="O22" s="441">
        <v>-5215</v>
      </c>
      <c r="P22" s="441">
        <v>-3381</v>
      </c>
      <c r="Q22" s="441">
        <v>-7116</v>
      </c>
      <c r="R22" s="441">
        <v>-6120.8162299999995</v>
      </c>
      <c r="S22" s="441">
        <v>-5789.8862499999996</v>
      </c>
      <c r="T22" s="441">
        <v>-3381</v>
      </c>
      <c r="U22" s="441">
        <v>-5789.8234099999991</v>
      </c>
      <c r="V22" s="441">
        <v>-6120.8162299999995</v>
      </c>
      <c r="W22" s="441">
        <v>-5786.6420799999996</v>
      </c>
      <c r="X22" s="441">
        <v>-5798.0932300000004</v>
      </c>
      <c r="Y22" s="441">
        <v>-5885.8107900000032</v>
      </c>
      <c r="Z22" s="441">
        <v>-5914.2832899999958</v>
      </c>
      <c r="AA22" s="441">
        <v>-5913.1442200000001</v>
      </c>
      <c r="AB22" s="441">
        <v>-5898.6783799999994</v>
      </c>
      <c r="AC22" s="441">
        <v>-5898.6785200000013</v>
      </c>
    </row>
    <row r="23" spans="1:29" ht="15" thickBot="1" x14ac:dyDescent="0.4">
      <c r="A23" s="175" t="s">
        <v>274</v>
      </c>
      <c r="B23" s="169"/>
      <c r="C23" s="176">
        <f t="shared" ref="C23:X23" si="4">SUM(C21:C22)</f>
        <v>22001.382740000008</v>
      </c>
      <c r="D23" s="176">
        <f t="shared" si="4"/>
        <v>22420</v>
      </c>
      <c r="E23" s="176">
        <f t="shared" si="4"/>
        <v>18901</v>
      </c>
      <c r="F23" s="176">
        <f t="shared" si="4"/>
        <v>20075.777479999993</v>
      </c>
      <c r="G23" s="176">
        <f t="shared" si="4"/>
        <v>23690.774760000004</v>
      </c>
      <c r="H23" s="176">
        <f t="shared" si="4"/>
        <v>29192</v>
      </c>
      <c r="I23" s="176">
        <f t="shared" si="4"/>
        <v>26743.89971000002</v>
      </c>
      <c r="J23" s="176">
        <f t="shared" si="4"/>
        <v>30471.293619999997</v>
      </c>
      <c r="K23" s="176">
        <f t="shared" si="4"/>
        <v>27911.796300000002</v>
      </c>
      <c r="L23" s="176">
        <f t="shared" si="4"/>
        <v>29629.887380000007</v>
      </c>
      <c r="M23" s="176">
        <f t="shared" si="4"/>
        <v>32135.510389999996</v>
      </c>
      <c r="N23" s="176">
        <f t="shared" si="4"/>
        <v>31032.224349999997</v>
      </c>
      <c r="O23" s="176">
        <f t="shared" si="4"/>
        <v>32391</v>
      </c>
      <c r="P23" s="176">
        <f t="shared" si="4"/>
        <v>29698.198019999996</v>
      </c>
      <c r="Q23" s="176">
        <f t="shared" si="4"/>
        <v>29279</v>
      </c>
      <c r="R23" s="176">
        <f t="shared" si="4"/>
        <v>28812.035859999971</v>
      </c>
      <c r="S23" s="176">
        <f t="shared" si="4"/>
        <v>29225.730390000008</v>
      </c>
      <c r="T23" s="176">
        <f t="shared" si="4"/>
        <v>29698.198019999996</v>
      </c>
      <c r="U23" s="176">
        <f t="shared" si="4"/>
        <v>32800.953690000009</v>
      </c>
      <c r="V23" s="176">
        <f t="shared" si="4"/>
        <v>28812.035859999971</v>
      </c>
      <c r="W23" s="176">
        <f t="shared" si="4"/>
        <v>30837.007560000005</v>
      </c>
      <c r="X23" s="176">
        <f t="shared" si="4"/>
        <v>27625.929109999997</v>
      </c>
      <c r="Y23" s="176">
        <f>SUM(Y21:Y22)</f>
        <v>33827.977719999988</v>
      </c>
      <c r="Z23" s="176">
        <f>SUM(Z21:Z22)</f>
        <v>33958.049859999999</v>
      </c>
      <c r="AA23" s="176">
        <f>SUM(AA21:AA22)</f>
        <v>36028.407639999998</v>
      </c>
      <c r="AB23" s="176">
        <f>SUM(AB21:AB22)</f>
        <v>35391.432250000005</v>
      </c>
      <c r="AC23" s="176">
        <f>SUM(AC21:AC22)</f>
        <v>16831.876459999996</v>
      </c>
    </row>
    <row r="24" spans="1:29" ht="15" thickBot="1" x14ac:dyDescent="0.4">
      <c r="A24" s="175" t="s">
        <v>277</v>
      </c>
      <c r="B24" s="169"/>
      <c r="C24" s="389">
        <f t="shared" ref="C24:X24" si="5">SUM(C25:C26)</f>
        <v>-1926.4089199999996</v>
      </c>
      <c r="D24" s="389">
        <f t="shared" si="5"/>
        <v>-1762.3999999999999</v>
      </c>
      <c r="E24" s="389">
        <f t="shared" si="5"/>
        <v>-2129</v>
      </c>
      <c r="F24" s="389">
        <f t="shared" si="5"/>
        <v>-1680.7304600000011</v>
      </c>
      <c r="G24" s="389">
        <f t="shared" si="5"/>
        <v>-1469.21974</v>
      </c>
      <c r="H24" s="389">
        <f t="shared" si="5"/>
        <v>-1293</v>
      </c>
      <c r="I24" s="389">
        <f t="shared" si="5"/>
        <v>-972</v>
      </c>
      <c r="J24" s="389">
        <f t="shared" si="5"/>
        <v>-1132.5999999999999</v>
      </c>
      <c r="K24" s="389">
        <f t="shared" si="5"/>
        <v>-2331</v>
      </c>
      <c r="L24" s="389">
        <f t="shared" si="5"/>
        <v>-5820</v>
      </c>
      <c r="M24" s="389">
        <f t="shared" si="5"/>
        <v>-5425.422340000001</v>
      </c>
      <c r="N24" s="389">
        <f t="shared" si="5"/>
        <v>-6229</v>
      </c>
      <c r="O24" s="389">
        <f t="shared" si="5"/>
        <v>-6035</v>
      </c>
      <c r="P24" s="389">
        <f t="shared" si="5"/>
        <v>-2225.0749100000003</v>
      </c>
      <c r="Q24" s="389">
        <f t="shared" si="5"/>
        <v>-4769</v>
      </c>
      <c r="R24" s="389">
        <f t="shared" si="5"/>
        <v>-6218.9366100000007</v>
      </c>
      <c r="S24" s="389">
        <f t="shared" si="5"/>
        <v>-6879.7587399999993</v>
      </c>
      <c r="T24" s="389">
        <f t="shared" si="5"/>
        <v>-2225.0749100000003</v>
      </c>
      <c r="U24" s="389">
        <f t="shared" si="5"/>
        <v>-9231.8708899999983</v>
      </c>
      <c r="V24" s="389">
        <f t="shared" si="5"/>
        <v>-6218.9366100000007</v>
      </c>
      <c r="W24" s="389">
        <f t="shared" si="5"/>
        <v>-13163.665790000001</v>
      </c>
      <c r="X24" s="389">
        <f t="shared" si="5"/>
        <v>-15162.38522</v>
      </c>
      <c r="Y24" s="389">
        <f>SUM(Y25:Y26)</f>
        <v>-11223.793969999999</v>
      </c>
      <c r="Z24" s="389">
        <f>SUM(Z25:Z26)</f>
        <v>-12650.909270000024</v>
      </c>
      <c r="AA24" s="389">
        <f>SUM(AA25:AA26)</f>
        <v>-14060.996520000001</v>
      </c>
      <c r="AB24" s="389">
        <f>SUM(AB25:AB26)</f>
        <v>-10439.834210000001</v>
      </c>
      <c r="AC24" s="389">
        <f>SUM(AC25:AC26)</f>
        <v>-9699.0100300000086</v>
      </c>
    </row>
    <row r="25" spans="1:29" x14ac:dyDescent="0.35">
      <c r="A25" s="172" t="s">
        <v>278</v>
      </c>
      <c r="B25" s="169"/>
      <c r="C25" s="441">
        <v>1078.7082600000001</v>
      </c>
      <c r="D25" s="441">
        <v>956.3</v>
      </c>
      <c r="E25" s="441">
        <v>846</v>
      </c>
      <c r="F25" s="441">
        <v>678.63367000000062</v>
      </c>
      <c r="G25" s="441">
        <v>641.46048999999994</v>
      </c>
      <c r="H25" s="441">
        <v>618</v>
      </c>
      <c r="I25" s="441">
        <v>763</v>
      </c>
      <c r="J25" s="441">
        <v>2080.4</v>
      </c>
      <c r="K25" s="441">
        <v>2497</v>
      </c>
      <c r="L25" s="441">
        <v>4107</v>
      </c>
      <c r="M25" s="441">
        <v>3721.577659999999</v>
      </c>
      <c r="N25" s="441">
        <v>2121</v>
      </c>
      <c r="O25" s="441">
        <v>2153</v>
      </c>
      <c r="P25" s="441">
        <v>1991</v>
      </c>
      <c r="Q25" s="441">
        <v>952</v>
      </c>
      <c r="R25" s="441">
        <v>870.44262999999887</v>
      </c>
      <c r="S25" s="441">
        <v>193.22272000000004</v>
      </c>
      <c r="T25" s="441">
        <v>1991</v>
      </c>
      <c r="U25" s="441">
        <v>1239.5829200000003</v>
      </c>
      <c r="V25" s="441">
        <v>870.44262999999887</v>
      </c>
      <c r="W25" s="441">
        <v>2585.0879899999995</v>
      </c>
      <c r="X25" s="441">
        <v>3345.8610000000003</v>
      </c>
      <c r="Y25" s="441">
        <v>4978.2060300000003</v>
      </c>
      <c r="Z25" s="441">
        <v>4786.844189999998</v>
      </c>
      <c r="AA25" s="441">
        <v>5829.3829600000017</v>
      </c>
      <c r="AB25" s="441">
        <v>7200.7848499999973</v>
      </c>
      <c r="AC25" s="441">
        <v>7624.7925900000009</v>
      </c>
    </row>
    <row r="26" spans="1:29" ht="15" thickBot="1" x14ac:dyDescent="0.4">
      <c r="A26" s="172" t="s">
        <v>279</v>
      </c>
      <c r="B26" s="169"/>
      <c r="C26" s="441">
        <v>-3005.1171799999997</v>
      </c>
      <c r="D26" s="441">
        <v>-2718.7</v>
      </c>
      <c r="E26" s="441">
        <v>-2975</v>
      </c>
      <c r="F26" s="441">
        <v>-2359.3641300000018</v>
      </c>
      <c r="G26" s="441">
        <v>-2110.6802299999999</v>
      </c>
      <c r="H26" s="441">
        <v>-1911</v>
      </c>
      <c r="I26" s="441">
        <v>-1735</v>
      </c>
      <c r="J26" s="441">
        <v>-3213</v>
      </c>
      <c r="K26" s="441">
        <v>-4828</v>
      </c>
      <c r="L26" s="441">
        <v>-9927</v>
      </c>
      <c r="M26" s="441">
        <v>-9147</v>
      </c>
      <c r="N26" s="441">
        <v>-8350</v>
      </c>
      <c r="O26" s="441">
        <v>-8188</v>
      </c>
      <c r="P26" s="441">
        <v>-4216.0749100000003</v>
      </c>
      <c r="Q26" s="441">
        <v>-5721</v>
      </c>
      <c r="R26" s="441">
        <v>-7089.3792399999993</v>
      </c>
      <c r="S26" s="441">
        <v>-7072.9814599999991</v>
      </c>
      <c r="T26" s="441">
        <v>-4216.0749100000003</v>
      </c>
      <c r="U26" s="441">
        <v>-10471.453809999999</v>
      </c>
      <c r="V26" s="441">
        <v>-7089.3792399999993</v>
      </c>
      <c r="W26" s="441">
        <v>-15748.753780000001</v>
      </c>
      <c r="X26" s="441">
        <v>-18508.246220000001</v>
      </c>
      <c r="Y26" s="441">
        <v>-16202</v>
      </c>
      <c r="Z26" s="441">
        <v>-17437.753460000022</v>
      </c>
      <c r="AA26" s="441">
        <v>-19890.379480000003</v>
      </c>
      <c r="AB26" s="441">
        <v>-17640.619059999997</v>
      </c>
      <c r="AC26" s="441">
        <v>-17323.802620000009</v>
      </c>
    </row>
    <row r="27" spans="1:29" ht="15" thickBot="1" x14ac:dyDescent="0.4">
      <c r="A27" s="175" t="s">
        <v>314</v>
      </c>
      <c r="B27" s="169"/>
      <c r="C27" s="176">
        <f t="shared" ref="C27:X27" si="6">SUM(C23:C24)</f>
        <v>20074.97382000001</v>
      </c>
      <c r="D27" s="176">
        <f t="shared" si="6"/>
        <v>20657.599999999999</v>
      </c>
      <c r="E27" s="176">
        <f t="shared" si="6"/>
        <v>16772</v>
      </c>
      <c r="F27" s="176">
        <f t="shared" si="6"/>
        <v>18395.047019999991</v>
      </c>
      <c r="G27" s="176">
        <f t="shared" si="6"/>
        <v>22221.555020000003</v>
      </c>
      <c r="H27" s="176">
        <f t="shared" si="6"/>
        <v>27899</v>
      </c>
      <c r="I27" s="176">
        <f t="shared" si="6"/>
        <v>25771.89971000002</v>
      </c>
      <c r="J27" s="176">
        <f t="shared" si="6"/>
        <v>29338.693619999998</v>
      </c>
      <c r="K27" s="176">
        <f t="shared" si="6"/>
        <v>25580.796300000002</v>
      </c>
      <c r="L27" s="176">
        <f t="shared" si="6"/>
        <v>23809.887380000007</v>
      </c>
      <c r="M27" s="176">
        <f t="shared" si="6"/>
        <v>26710.088049999995</v>
      </c>
      <c r="N27" s="176">
        <f t="shared" si="6"/>
        <v>24803.224349999997</v>
      </c>
      <c r="O27" s="176">
        <f t="shared" si="6"/>
        <v>26356</v>
      </c>
      <c r="P27" s="176">
        <f t="shared" si="6"/>
        <v>27473.123109999997</v>
      </c>
      <c r="Q27" s="176">
        <f t="shared" si="6"/>
        <v>24510</v>
      </c>
      <c r="R27" s="176">
        <f t="shared" si="6"/>
        <v>22593.09924999997</v>
      </c>
      <c r="S27" s="176">
        <f t="shared" si="6"/>
        <v>22345.971650000007</v>
      </c>
      <c r="T27" s="176">
        <f t="shared" si="6"/>
        <v>27473.123109999997</v>
      </c>
      <c r="U27" s="176">
        <f t="shared" si="6"/>
        <v>23569.082800000011</v>
      </c>
      <c r="V27" s="176">
        <f t="shared" si="6"/>
        <v>22593.09924999997</v>
      </c>
      <c r="W27" s="176">
        <f t="shared" si="6"/>
        <v>17673.341770000006</v>
      </c>
      <c r="X27" s="176">
        <f t="shared" si="6"/>
        <v>12463.543889999997</v>
      </c>
      <c r="Y27" s="176">
        <f>SUM(Y23:Y24)</f>
        <v>22604.183749999989</v>
      </c>
      <c r="Z27" s="176">
        <f>SUM(Z23:Z24)</f>
        <v>21307.140589999974</v>
      </c>
      <c r="AA27" s="176">
        <f>SUM(AA23:AA24)</f>
        <v>21967.411119999997</v>
      </c>
      <c r="AB27" s="176">
        <f>SUM(AB23:AB24)</f>
        <v>24951.598040000004</v>
      </c>
      <c r="AC27" s="176">
        <f>SUM(AC23:AC24)</f>
        <v>7132.8664299999873</v>
      </c>
    </row>
    <row r="28" spans="1:29" x14ac:dyDescent="0.35">
      <c r="A28" s="172" t="s">
        <v>635</v>
      </c>
      <c r="B28" s="169"/>
      <c r="C28" s="441">
        <v>-1444.15933</v>
      </c>
      <c r="D28" s="441">
        <v>-5701</v>
      </c>
      <c r="E28" s="441">
        <v>-4579</v>
      </c>
      <c r="F28" s="441">
        <v>-1432.84951</v>
      </c>
      <c r="G28" s="441">
        <v>-2948.09022</v>
      </c>
      <c r="H28" s="441">
        <v>-8529</v>
      </c>
      <c r="I28" s="441">
        <v>-7925</v>
      </c>
      <c r="J28" s="441">
        <v>-8431</v>
      </c>
      <c r="K28" s="441">
        <v>-3077</v>
      </c>
      <c r="L28" s="441">
        <v>-2828</v>
      </c>
      <c r="M28" s="441">
        <v>-15402</v>
      </c>
      <c r="N28" s="441">
        <v>-23148</v>
      </c>
      <c r="O28" s="441">
        <v>-246</v>
      </c>
      <c r="P28" s="441">
        <v>-3548</v>
      </c>
      <c r="Q28" s="441">
        <v>540</v>
      </c>
      <c r="R28" s="441">
        <v>-2807.97795</v>
      </c>
      <c r="S28" s="441">
        <v>-2097.9537099999998</v>
      </c>
      <c r="T28" s="441">
        <v>-3548</v>
      </c>
      <c r="U28" s="441">
        <v>-6392</v>
      </c>
      <c r="V28" s="441">
        <v>-2807.97795</v>
      </c>
      <c r="W28" s="441">
        <v>-5882</v>
      </c>
      <c r="X28" s="441">
        <v>-4438</v>
      </c>
      <c r="Y28" s="441">
        <v>-5435</v>
      </c>
      <c r="Z28" s="441">
        <v>-826.25031999999919</v>
      </c>
      <c r="AA28" s="441">
        <v>-4444.9819600000001</v>
      </c>
      <c r="AB28" s="441">
        <v>-1583.4290899999996</v>
      </c>
      <c r="AC28" s="441">
        <v>-2029.568040000001</v>
      </c>
    </row>
    <row r="29" spans="1:29" ht="15" thickBot="1" x14ac:dyDescent="0.4">
      <c r="A29" s="172" t="s">
        <v>636</v>
      </c>
      <c r="B29" s="169"/>
      <c r="C29" s="441">
        <v>-1502.15679</v>
      </c>
      <c r="D29" s="441">
        <v>4223</v>
      </c>
      <c r="E29" s="441">
        <v>2317</v>
      </c>
      <c r="F29" s="441">
        <v>-1305.6140800000001</v>
      </c>
      <c r="G29" s="441">
        <v>-2082.5753599999998</v>
      </c>
      <c r="H29" s="441">
        <v>3733</v>
      </c>
      <c r="I29" s="441">
        <v>3536</v>
      </c>
      <c r="J29" s="441">
        <v>5977.2547300000006</v>
      </c>
      <c r="K29" s="441">
        <v>1989</v>
      </c>
      <c r="L29" s="441">
        <v>2078</v>
      </c>
      <c r="M29" s="441">
        <v>10637</v>
      </c>
      <c r="N29" s="441">
        <v>3692</v>
      </c>
      <c r="O29" s="441">
        <v>0</v>
      </c>
      <c r="P29" s="441">
        <v>2512</v>
      </c>
      <c r="Q29" s="441">
        <v>-122</v>
      </c>
      <c r="R29" s="441">
        <v>1036</v>
      </c>
      <c r="S29" s="441">
        <v>0</v>
      </c>
      <c r="T29" s="441">
        <v>2512</v>
      </c>
      <c r="U29" s="441">
        <v>3013</v>
      </c>
      <c r="V29" s="441">
        <v>1036</v>
      </c>
      <c r="W29" s="441">
        <v>556</v>
      </c>
      <c r="X29" s="441">
        <v>1700</v>
      </c>
      <c r="Y29" s="441">
        <v>2057</v>
      </c>
      <c r="Z29" s="441">
        <v>-4313</v>
      </c>
      <c r="AA29" s="441"/>
      <c r="AB29" s="441">
        <v>0</v>
      </c>
      <c r="AC29" s="441">
        <v>0</v>
      </c>
    </row>
    <row r="30" spans="1:29" ht="15" thickBot="1" x14ac:dyDescent="0.4">
      <c r="A30" s="175" t="s">
        <v>285</v>
      </c>
      <c r="B30" s="169"/>
      <c r="C30" s="176">
        <f t="shared" ref="C30:X30" si="7">SUM(C27:C29)</f>
        <v>17128.657700000011</v>
      </c>
      <c r="D30" s="176">
        <f t="shared" si="7"/>
        <v>19179.599999999999</v>
      </c>
      <c r="E30" s="176">
        <f t="shared" si="7"/>
        <v>14510</v>
      </c>
      <c r="F30" s="176">
        <f t="shared" si="7"/>
        <v>15656.583429999991</v>
      </c>
      <c r="G30" s="176">
        <f t="shared" si="7"/>
        <v>17190.889440000003</v>
      </c>
      <c r="H30" s="176">
        <f t="shared" si="7"/>
        <v>23103</v>
      </c>
      <c r="I30" s="176">
        <f t="shared" si="7"/>
        <v>21382.89971000002</v>
      </c>
      <c r="J30" s="176">
        <f t="shared" si="7"/>
        <v>26884.948349999999</v>
      </c>
      <c r="K30" s="176">
        <f t="shared" si="7"/>
        <v>24492.796300000002</v>
      </c>
      <c r="L30" s="176">
        <f t="shared" si="7"/>
        <v>23059.887380000007</v>
      </c>
      <c r="M30" s="176">
        <f t="shared" si="7"/>
        <v>21945.088049999995</v>
      </c>
      <c r="N30" s="176">
        <f t="shared" si="7"/>
        <v>5347.2243499999968</v>
      </c>
      <c r="O30" s="176">
        <f t="shared" si="7"/>
        <v>26110</v>
      </c>
      <c r="P30" s="176">
        <f t="shared" si="7"/>
        <v>26437.123109999997</v>
      </c>
      <c r="Q30" s="176">
        <f t="shared" si="7"/>
        <v>24928</v>
      </c>
      <c r="R30" s="176">
        <f t="shared" si="7"/>
        <v>20821.12129999997</v>
      </c>
      <c r="S30" s="176">
        <f t="shared" si="7"/>
        <v>20248.017940000005</v>
      </c>
      <c r="T30" s="176">
        <f t="shared" si="7"/>
        <v>26437.123109999997</v>
      </c>
      <c r="U30" s="176">
        <f t="shared" si="7"/>
        <v>20190.082800000011</v>
      </c>
      <c r="V30" s="176">
        <f t="shared" si="7"/>
        <v>20821.12129999997</v>
      </c>
      <c r="W30" s="176">
        <f t="shared" si="7"/>
        <v>12347.341770000006</v>
      </c>
      <c r="X30" s="176">
        <f t="shared" si="7"/>
        <v>9725.5438899999972</v>
      </c>
      <c r="Y30" s="176">
        <f>SUM(Y27:Y29)</f>
        <v>19226.183749999989</v>
      </c>
      <c r="Z30" s="176">
        <f>SUM(Z27:Z29)</f>
        <v>16167.890269999974</v>
      </c>
      <c r="AA30" s="176">
        <f>SUM(AA27:AA29)</f>
        <v>17522.429159999996</v>
      </c>
      <c r="AB30" s="176">
        <f>SUM(AB27:AB29)</f>
        <v>23368.168950000007</v>
      </c>
      <c r="AC30" s="176">
        <f>SUM(AC27:AC29)</f>
        <v>5103.2983899999863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89BE9-5A5A-4A82-9D7F-50AD7F1DD9B2}">
  <sheetPr>
    <tabColor theme="9" tint="0.79998168889431442"/>
  </sheetPr>
  <dimension ref="A7:AC39"/>
  <sheetViews>
    <sheetView showGridLines="0" zoomScale="85" zoomScaleNormal="85" workbookViewId="0">
      <pane xSplit="1" ySplit="8" topLeftCell="B9" activePane="bottomRight" state="frozen"/>
      <selection activeCell="Z25" sqref="Z25"/>
      <selection pane="topRight" activeCell="Z25" sqref="Z25"/>
      <selection pane="bottomLeft" activeCell="Z25" sqref="Z25"/>
      <selection pane="bottomRight" activeCell="C1" sqref="C1:V1048576"/>
    </sheetView>
  </sheetViews>
  <sheetFormatPr defaultColWidth="9.1796875" defaultRowHeight="14.5" outlineLevelCol="1" x14ac:dyDescent="0.35"/>
  <cols>
    <col min="1" max="1" width="44.453125" style="37" bestFit="1" customWidth="1"/>
    <col min="2" max="2" width="2.6328125" customWidth="1"/>
    <col min="3" max="12" width="0" style="37" hidden="1" customWidth="1" outlineLevel="1"/>
    <col min="13" max="22" width="9.54296875" style="37" hidden="1" customWidth="1" outlineLevel="1"/>
    <col min="23" max="23" width="9.54296875" style="37" bestFit="1" customWidth="1" collapsed="1"/>
    <col min="24" max="29" width="9.54296875" style="37" bestFit="1" customWidth="1"/>
    <col min="30" max="16384" width="9.1796875" style="37"/>
  </cols>
  <sheetData>
    <row r="7" spans="1:29" x14ac:dyDescent="0.35">
      <c r="A7" s="41" t="s">
        <v>641</v>
      </c>
      <c r="B7" s="168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 ht="15" thickBot="1" x14ac:dyDescent="0.4">
      <c r="A8" s="589" t="s">
        <v>245</v>
      </c>
      <c r="B8" s="169"/>
      <c r="C8" s="590" t="s">
        <v>57</v>
      </c>
      <c r="D8" s="590" t="s">
        <v>58</v>
      </c>
      <c r="E8" s="590" t="s">
        <v>59</v>
      </c>
      <c r="F8" s="590" t="s">
        <v>60</v>
      </c>
      <c r="G8" s="590" t="s">
        <v>61</v>
      </c>
      <c r="H8" s="590" t="s">
        <v>62</v>
      </c>
      <c r="I8" s="590" t="s">
        <v>63</v>
      </c>
      <c r="J8" s="590" t="s">
        <v>64</v>
      </c>
      <c r="K8" s="590" t="s">
        <v>65</v>
      </c>
      <c r="L8" s="590" t="s">
        <v>66</v>
      </c>
      <c r="M8" s="590" t="s">
        <v>67</v>
      </c>
      <c r="N8" s="590" t="s">
        <v>68</v>
      </c>
      <c r="O8" s="590" t="s">
        <v>69</v>
      </c>
      <c r="P8" s="590" t="s">
        <v>70</v>
      </c>
      <c r="Q8" s="590" t="s">
        <v>71</v>
      </c>
      <c r="R8" s="590" t="s">
        <v>72</v>
      </c>
      <c r="S8" s="590" t="s">
        <v>73</v>
      </c>
      <c r="T8" s="590" t="s">
        <v>74</v>
      </c>
      <c r="U8" s="590" t="s">
        <v>75</v>
      </c>
      <c r="V8" s="590" t="s">
        <v>76</v>
      </c>
      <c r="W8" s="590" t="s">
        <v>77</v>
      </c>
      <c r="X8" s="590" t="s">
        <v>78</v>
      </c>
      <c r="Y8" s="590" t="s">
        <v>79</v>
      </c>
      <c r="Z8" s="590" t="s">
        <v>80</v>
      </c>
      <c r="AA8" s="590" t="s">
        <v>81</v>
      </c>
      <c r="AB8" s="590" t="s">
        <v>82</v>
      </c>
      <c r="AC8" s="594" t="s">
        <v>83</v>
      </c>
    </row>
    <row r="9" spans="1:29" ht="15" thickBot="1" x14ac:dyDescent="0.4">
      <c r="A9" s="175" t="s">
        <v>246</v>
      </c>
      <c r="B9" s="169"/>
      <c r="C9" s="176">
        <f t="shared" ref="C9:X9" si="0">SUM(C10:C17)</f>
        <v>0</v>
      </c>
      <c r="D9" s="176">
        <f t="shared" si="0"/>
        <v>0</v>
      </c>
      <c r="E9" s="176">
        <f t="shared" si="0"/>
        <v>9923</v>
      </c>
      <c r="F9" s="176">
        <f t="shared" si="0"/>
        <v>142995</v>
      </c>
      <c r="G9" s="176">
        <f t="shared" si="0"/>
        <v>143495</v>
      </c>
      <c r="H9" s="176">
        <f t="shared" si="0"/>
        <v>103366</v>
      </c>
      <c r="I9" s="176">
        <f t="shared" si="0"/>
        <v>134755</v>
      </c>
      <c r="J9" s="176">
        <f t="shared" si="0"/>
        <v>513686</v>
      </c>
      <c r="K9" s="176">
        <f t="shared" si="0"/>
        <v>675627</v>
      </c>
      <c r="L9" s="176">
        <f t="shared" si="0"/>
        <v>1163460</v>
      </c>
      <c r="M9" s="176">
        <f t="shared" si="0"/>
        <v>1485647</v>
      </c>
      <c r="N9" s="176">
        <f t="shared" si="0"/>
        <v>1945431</v>
      </c>
      <c r="O9" s="176">
        <f t="shared" si="0"/>
        <v>1072192.9340600001</v>
      </c>
      <c r="P9" s="176">
        <f t="shared" si="0"/>
        <v>591704</v>
      </c>
      <c r="Q9" s="176">
        <f t="shared" si="0"/>
        <v>647919</v>
      </c>
      <c r="R9" s="176">
        <f t="shared" si="0"/>
        <v>735974.16735</v>
      </c>
      <c r="S9" s="176">
        <f t="shared" si="0"/>
        <v>328144.53672999993</v>
      </c>
      <c r="T9" s="176">
        <f t="shared" si="0"/>
        <v>383858.12818999996</v>
      </c>
      <c r="U9" s="176">
        <f t="shared" si="0"/>
        <v>350164.34206</v>
      </c>
      <c r="V9" s="176">
        <f t="shared" si="0"/>
        <v>425636</v>
      </c>
      <c r="W9" s="176">
        <f t="shared" si="0"/>
        <v>476236</v>
      </c>
      <c r="X9" s="176">
        <f t="shared" si="0"/>
        <v>361348</v>
      </c>
      <c r="Y9" s="176">
        <f>SUM(Y10:Y17)</f>
        <v>303730</v>
      </c>
      <c r="Z9" s="176">
        <f>SUM(Z10:Z17)</f>
        <v>353917.05000000005</v>
      </c>
      <c r="AA9" s="176">
        <f>SUM(AA10:AA17)</f>
        <v>356144.68083000003</v>
      </c>
      <c r="AB9" s="176">
        <f>SUM(AB10:AB17)</f>
        <v>375851.89542999998</v>
      </c>
      <c r="AC9" s="176">
        <f>SUM(AC10:AC17)</f>
        <v>435889.69406249997</v>
      </c>
    </row>
    <row r="10" spans="1:29" x14ac:dyDescent="0.35">
      <c r="A10" s="172" t="s">
        <v>627</v>
      </c>
      <c r="B10" s="169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>
        <v>322</v>
      </c>
      <c r="O10" s="441">
        <v>0</v>
      </c>
      <c r="P10" s="441">
        <v>2260</v>
      </c>
      <c r="Q10" s="441">
        <v>389151</v>
      </c>
      <c r="R10" s="441">
        <v>-6195.9338599999901</v>
      </c>
      <c r="S10" s="441">
        <v>1.2445199999809264</v>
      </c>
      <c r="T10" s="441"/>
      <c r="U10" s="441"/>
      <c r="V10" s="441">
        <v>0</v>
      </c>
      <c r="W10" s="441"/>
      <c r="X10" s="441">
        <v>0</v>
      </c>
      <c r="Y10" s="441">
        <v>0</v>
      </c>
      <c r="Z10" s="441">
        <v>0</v>
      </c>
      <c r="AA10" s="441">
        <v>0</v>
      </c>
      <c r="AB10" s="441">
        <v>0</v>
      </c>
      <c r="AC10" s="441"/>
    </row>
    <row r="11" spans="1:29" x14ac:dyDescent="0.35">
      <c r="A11" s="172" t="s">
        <v>251</v>
      </c>
      <c r="B11" s="169"/>
      <c r="C11" s="441"/>
      <c r="D11" s="441"/>
      <c r="E11" s="441"/>
      <c r="F11" s="441"/>
      <c r="G11" s="441"/>
      <c r="H11" s="441"/>
      <c r="I11" s="441"/>
      <c r="J11" s="441"/>
      <c r="K11" s="441"/>
      <c r="L11" s="441">
        <v>781</v>
      </c>
      <c r="M11" s="441">
        <v>6776</v>
      </c>
      <c r="N11" s="441">
        <v>-7557</v>
      </c>
      <c r="O11" s="441">
        <v>769.66656</v>
      </c>
      <c r="P11" s="441">
        <v>2003</v>
      </c>
      <c r="Q11" s="441">
        <v>4567</v>
      </c>
      <c r="R11" s="441">
        <v>3526.2989400000006</v>
      </c>
      <c r="S11" s="441">
        <v>2719.5368900000003</v>
      </c>
      <c r="T11" s="441">
        <v>5297.7349600000007</v>
      </c>
      <c r="U11" s="441">
        <v>4527.7281500000008</v>
      </c>
      <c r="V11" s="441">
        <v>6873</v>
      </c>
      <c r="W11" s="441">
        <v>15039</v>
      </c>
      <c r="X11" s="441">
        <v>28057</v>
      </c>
      <c r="Y11" s="441">
        <v>21229</v>
      </c>
      <c r="Z11" s="441">
        <v>29360</v>
      </c>
      <c r="AA11" s="441">
        <v>25689</v>
      </c>
      <c r="AB11" s="441">
        <v>24659.370999999999</v>
      </c>
      <c r="AC11" s="441">
        <v>47764.966</v>
      </c>
    </row>
    <row r="12" spans="1:29" x14ac:dyDescent="0.35">
      <c r="A12" s="172" t="s">
        <v>249</v>
      </c>
      <c r="B12" s="169"/>
      <c r="C12" s="441"/>
      <c r="D12" s="441"/>
      <c r="E12" s="441">
        <v>9683</v>
      </c>
      <c r="F12" s="441">
        <v>141393</v>
      </c>
      <c r="G12" s="441">
        <v>133306</v>
      </c>
      <c r="H12" s="441">
        <v>91022</v>
      </c>
      <c r="I12" s="441">
        <v>118945</v>
      </c>
      <c r="J12" s="441">
        <v>503562</v>
      </c>
      <c r="K12" s="441">
        <v>643077</v>
      </c>
      <c r="L12" s="444">
        <v>1111691</v>
      </c>
      <c r="M12" s="441">
        <v>1398844</v>
      </c>
      <c r="N12" s="441">
        <v>1493035</v>
      </c>
      <c r="O12" s="441">
        <v>868792.4585999999</v>
      </c>
      <c r="P12" s="441">
        <v>352962</v>
      </c>
      <c r="Q12" s="441"/>
      <c r="R12" s="441">
        <v>710168.90979000006</v>
      </c>
      <c r="S12" s="441">
        <v>301785.47652999999</v>
      </c>
      <c r="T12" s="441">
        <v>76844.393229999987</v>
      </c>
      <c r="U12" s="441">
        <v>36023.130240000028</v>
      </c>
      <c r="V12" s="441">
        <v>104201</v>
      </c>
      <c r="W12" s="441">
        <v>107282</v>
      </c>
      <c r="X12" s="441">
        <v>0</v>
      </c>
      <c r="Y12" s="441">
        <v>0</v>
      </c>
      <c r="Z12" s="441">
        <v>0</v>
      </c>
      <c r="AA12" s="441">
        <v>1355.6684599999999</v>
      </c>
      <c r="AB12" s="441">
        <v>7231.7060000000001</v>
      </c>
      <c r="AC12" s="441">
        <v>61013.017999999996</v>
      </c>
    </row>
    <row r="13" spans="1:29" x14ac:dyDescent="0.35">
      <c r="A13" s="172" t="s">
        <v>628</v>
      </c>
      <c r="B13" s="169"/>
      <c r="C13" s="441"/>
      <c r="D13" s="441"/>
      <c r="F13" s="441"/>
      <c r="L13" s="441"/>
      <c r="M13" s="441">
        <v>9259</v>
      </c>
      <c r="N13" s="441">
        <v>-9259</v>
      </c>
      <c r="O13" s="441">
        <v>0</v>
      </c>
      <c r="P13" s="441"/>
      <c r="Q13" s="441"/>
      <c r="R13" s="441">
        <v>81603.676259999993</v>
      </c>
      <c r="S13" s="441">
        <v>0</v>
      </c>
      <c r="T13" s="441"/>
      <c r="U13" s="441"/>
      <c r="V13" s="441">
        <v>0</v>
      </c>
      <c r="W13" s="441"/>
      <c r="X13" s="441">
        <v>0</v>
      </c>
      <c r="Y13" s="441">
        <v>0</v>
      </c>
      <c r="Z13" s="441">
        <v>0</v>
      </c>
      <c r="AA13" s="441">
        <v>0</v>
      </c>
      <c r="AB13" s="441">
        <v>0</v>
      </c>
      <c r="AC13" s="441"/>
    </row>
    <row r="14" spans="1:29" x14ac:dyDescent="0.35">
      <c r="A14" s="172" t="s">
        <v>642</v>
      </c>
      <c r="B14" s="169"/>
      <c r="C14" s="441"/>
      <c r="D14" s="441"/>
      <c r="F14" s="441"/>
      <c r="L14" s="441"/>
      <c r="M14" s="441"/>
      <c r="N14" s="441"/>
      <c r="O14" s="441">
        <v>0</v>
      </c>
      <c r="P14" s="441">
        <v>83309</v>
      </c>
      <c r="Q14" s="441"/>
      <c r="R14" s="441"/>
      <c r="S14" s="441">
        <v>356145.04414999997</v>
      </c>
      <c r="T14" s="441">
        <v>206811</v>
      </c>
      <c r="U14" s="441"/>
      <c r="V14" s="441"/>
      <c r="W14" s="441">
        <v>339879</v>
      </c>
      <c r="X14" s="441">
        <v>312613</v>
      </c>
      <c r="Y14" s="441">
        <v>0</v>
      </c>
      <c r="Z14" s="441">
        <v>0</v>
      </c>
      <c r="AA14" s="441">
        <v>329100</v>
      </c>
      <c r="AB14" s="441">
        <v>343957.05643</v>
      </c>
      <c r="AC14" s="441">
        <v>327111.71006249997</v>
      </c>
    </row>
    <row r="15" spans="1:29" x14ac:dyDescent="0.35">
      <c r="A15" s="172" t="s">
        <v>640</v>
      </c>
      <c r="B15" s="169"/>
      <c r="C15" s="441"/>
      <c r="D15" s="441"/>
      <c r="F15" s="441"/>
      <c r="L15" s="441"/>
      <c r="M15" s="441"/>
      <c r="N15" s="441"/>
      <c r="O15" s="441">
        <v>216195.24131000001</v>
      </c>
      <c r="P15" s="441">
        <v>-40547</v>
      </c>
      <c r="Q15" s="441"/>
      <c r="R15" s="441">
        <v>-259290.27708000003</v>
      </c>
      <c r="S15" s="441">
        <v>-42930.616739999998</v>
      </c>
      <c r="T15" s="441">
        <v>86344</v>
      </c>
      <c r="U15" s="441"/>
      <c r="V15" s="441">
        <v>-875530</v>
      </c>
      <c r="W15" s="441"/>
      <c r="X15" s="441">
        <v>0</v>
      </c>
      <c r="Y15" s="441">
        <v>313670</v>
      </c>
      <c r="Z15" s="441">
        <v>-966162</v>
      </c>
      <c r="AA15" s="441">
        <v>0</v>
      </c>
      <c r="AB15" s="441">
        <v>0</v>
      </c>
      <c r="AC15" s="441"/>
    </row>
    <row r="16" spans="1:29" x14ac:dyDescent="0.35">
      <c r="A16" s="172" t="s">
        <v>643</v>
      </c>
      <c r="B16" s="169"/>
      <c r="C16" s="441"/>
      <c r="D16" s="441"/>
      <c r="F16" s="441"/>
      <c r="L16" s="441"/>
      <c r="M16" s="441"/>
      <c r="N16" s="441"/>
      <c r="O16" s="441">
        <v>-14707.235680000002</v>
      </c>
      <c r="P16" s="441">
        <v>191436</v>
      </c>
      <c r="Q16" s="441">
        <v>250970</v>
      </c>
      <c r="R16" s="441">
        <v>195356.12375999999</v>
      </c>
      <c r="S16" s="441">
        <v>-296179.96953</v>
      </c>
      <c r="T16" s="441"/>
      <c r="U16" s="441">
        <v>298132.48366999999</v>
      </c>
      <c r="V16" s="441">
        <v>1175307</v>
      </c>
      <c r="W16" s="441"/>
      <c r="X16" s="441">
        <v>0</v>
      </c>
      <c r="Y16" s="441">
        <v>0</v>
      </c>
      <c r="Z16" s="441">
        <v>1290592.05</v>
      </c>
      <c r="AA16" s="441">
        <v>0</v>
      </c>
      <c r="AB16" s="441">
        <v>0</v>
      </c>
      <c r="AC16" s="441"/>
    </row>
    <row r="17" spans="1:29" ht="15" thickBot="1" x14ac:dyDescent="0.4">
      <c r="A17" s="172" t="s">
        <v>254</v>
      </c>
      <c r="B17" s="169"/>
      <c r="C17" s="441"/>
      <c r="D17" s="441"/>
      <c r="E17" s="441">
        <v>240</v>
      </c>
      <c r="F17" s="441">
        <v>1602</v>
      </c>
      <c r="G17" s="441">
        <v>10189</v>
      </c>
      <c r="H17" s="441">
        <v>12344</v>
      </c>
      <c r="I17" s="441">
        <v>15810</v>
      </c>
      <c r="J17" s="441">
        <v>10124</v>
      </c>
      <c r="K17" s="441">
        <v>32550</v>
      </c>
      <c r="L17" s="441">
        <v>50988</v>
      </c>
      <c r="M17" s="441">
        <v>70768</v>
      </c>
      <c r="N17" s="441">
        <v>468890</v>
      </c>
      <c r="O17" s="441">
        <v>1142.8032700000001</v>
      </c>
      <c r="P17" s="441">
        <v>281</v>
      </c>
      <c r="Q17" s="441">
        <v>3231</v>
      </c>
      <c r="R17" s="441">
        <v>10805.369540000002</v>
      </c>
      <c r="S17" s="441">
        <v>6603.8209100000004</v>
      </c>
      <c r="T17" s="441">
        <v>8561</v>
      </c>
      <c r="U17" s="441">
        <v>11481</v>
      </c>
      <c r="V17" s="441">
        <v>14785</v>
      </c>
      <c r="W17" s="441">
        <v>14036</v>
      </c>
      <c r="X17" s="441">
        <v>20678</v>
      </c>
      <c r="Y17" s="441">
        <v>-31169</v>
      </c>
      <c r="Z17" s="441">
        <v>127</v>
      </c>
      <c r="AA17" s="441">
        <v>1.2370000007649651E-2</v>
      </c>
      <c r="AB17" s="441">
        <v>3.762</v>
      </c>
      <c r="AC17" s="441"/>
    </row>
    <row r="18" spans="1:29" ht="15" thickBot="1" x14ac:dyDescent="0.4">
      <c r="A18" s="175" t="s">
        <v>305</v>
      </c>
      <c r="B18" s="169"/>
      <c r="C18" s="176"/>
      <c r="D18" s="176"/>
      <c r="E18" s="176"/>
      <c r="F18" s="176">
        <v>-13975</v>
      </c>
      <c r="G18" s="176">
        <v>-12266</v>
      </c>
      <c r="H18" s="176">
        <v>-8484</v>
      </c>
      <c r="I18" s="176">
        <v>-11002</v>
      </c>
      <c r="J18" s="176">
        <v>-51094</v>
      </c>
      <c r="K18" s="176">
        <v>-62184</v>
      </c>
      <c r="L18" s="176">
        <v>-107873</v>
      </c>
      <c r="M18" s="176">
        <v>-137071</v>
      </c>
      <c r="N18" s="176">
        <v>-179898</v>
      </c>
      <c r="O18" s="176">
        <v>-100499.34121</v>
      </c>
      <c r="P18" s="176">
        <v>-58385</v>
      </c>
      <c r="Q18" s="176">
        <v>-66037</v>
      </c>
      <c r="R18" s="176">
        <v>-75977.113219999999</v>
      </c>
      <c r="S18" s="176">
        <v>-44384.487800000003</v>
      </c>
      <c r="T18" s="176">
        <v>-24653</v>
      </c>
      <c r="U18" s="176">
        <v>-21391</v>
      </c>
      <c r="V18" s="176">
        <v>-31441</v>
      </c>
      <c r="W18" s="176">
        <v>-31645</v>
      </c>
      <c r="X18" s="176">
        <v>-19758</v>
      </c>
      <c r="Y18" s="176">
        <v>-19615</v>
      </c>
      <c r="Z18" s="176">
        <v>-21984.294999999984</v>
      </c>
      <c r="AA18" s="176">
        <v>-20527</v>
      </c>
      <c r="AB18" s="176">
        <v>-21143.014429999996</v>
      </c>
      <c r="AC18" s="176">
        <v>-25613.230062499999</v>
      </c>
    </row>
    <row r="19" spans="1:29" ht="15" thickBot="1" x14ac:dyDescent="0.4">
      <c r="A19" s="175" t="s">
        <v>256</v>
      </c>
      <c r="B19" s="177"/>
      <c r="C19" s="442">
        <f t="shared" ref="C19:X19" si="1">C9+C18</f>
        <v>0</v>
      </c>
      <c r="D19" s="442">
        <f t="shared" si="1"/>
        <v>0</v>
      </c>
      <c r="E19" s="442">
        <f t="shared" si="1"/>
        <v>9923</v>
      </c>
      <c r="F19" s="442">
        <f t="shared" si="1"/>
        <v>129020</v>
      </c>
      <c r="G19" s="442">
        <f t="shared" si="1"/>
        <v>131229</v>
      </c>
      <c r="H19" s="442">
        <f t="shared" si="1"/>
        <v>94882</v>
      </c>
      <c r="I19" s="442">
        <f t="shared" si="1"/>
        <v>123753</v>
      </c>
      <c r="J19" s="442">
        <f t="shared" si="1"/>
        <v>462592</v>
      </c>
      <c r="K19" s="442">
        <f t="shared" si="1"/>
        <v>613443</v>
      </c>
      <c r="L19" s="442">
        <f t="shared" si="1"/>
        <v>1055587</v>
      </c>
      <c r="M19" s="442">
        <f t="shared" si="1"/>
        <v>1348576</v>
      </c>
      <c r="N19" s="442">
        <f t="shared" si="1"/>
        <v>1765533</v>
      </c>
      <c r="O19" s="442">
        <f t="shared" si="1"/>
        <v>971693.59285000013</v>
      </c>
      <c r="P19" s="442">
        <f t="shared" si="1"/>
        <v>533319</v>
      </c>
      <c r="Q19" s="442">
        <f t="shared" si="1"/>
        <v>581882</v>
      </c>
      <c r="R19" s="442">
        <f t="shared" si="1"/>
        <v>659997.05413000006</v>
      </c>
      <c r="S19" s="442">
        <f t="shared" si="1"/>
        <v>283760.04892999993</v>
      </c>
      <c r="T19" s="442">
        <f t="shared" si="1"/>
        <v>359205.12818999996</v>
      </c>
      <c r="U19" s="442">
        <f t="shared" si="1"/>
        <v>328773.34206</v>
      </c>
      <c r="V19" s="442">
        <f t="shared" si="1"/>
        <v>394195</v>
      </c>
      <c r="W19" s="442">
        <f t="shared" si="1"/>
        <v>444591</v>
      </c>
      <c r="X19" s="442">
        <f t="shared" si="1"/>
        <v>341590</v>
      </c>
      <c r="Y19" s="442">
        <f>Y9+Y18</f>
        <v>284115</v>
      </c>
      <c r="Z19" s="442">
        <f>Z9+Z18</f>
        <v>331932.75500000006</v>
      </c>
      <c r="AA19" s="442">
        <f>AA9+AA18</f>
        <v>335617.68083000003</v>
      </c>
      <c r="AB19" s="442">
        <f>AB9+AB18</f>
        <v>354708.88099999999</v>
      </c>
      <c r="AC19" s="442">
        <f>AC9+AC18</f>
        <v>410276.46399999998</v>
      </c>
    </row>
    <row r="20" spans="1:29" ht="15" thickBot="1" x14ac:dyDescent="0.4">
      <c r="A20" s="175" t="s">
        <v>632</v>
      </c>
      <c r="B20" s="177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>
        <v>-23005</v>
      </c>
      <c r="Y20" s="176">
        <v>38367</v>
      </c>
      <c r="Z20" s="176">
        <v>0.24500000000261934</v>
      </c>
      <c r="AA20" s="176"/>
      <c r="AB20" s="176"/>
      <c r="AC20" s="176"/>
    </row>
    <row r="21" spans="1:29" ht="15" thickBot="1" x14ac:dyDescent="0.4">
      <c r="A21" s="175" t="s">
        <v>264</v>
      </c>
      <c r="B21" s="177"/>
      <c r="C21" s="176">
        <f t="shared" ref="C21:X21" si="2">SUM(C22:C27)</f>
        <v>0</v>
      </c>
      <c r="D21" s="176">
        <f t="shared" si="2"/>
        <v>-848</v>
      </c>
      <c r="E21" s="176">
        <f t="shared" si="2"/>
        <v>-6384</v>
      </c>
      <c r="F21" s="176">
        <f t="shared" si="2"/>
        <v>-129341</v>
      </c>
      <c r="G21" s="176">
        <f t="shared" si="2"/>
        <v>-123123</v>
      </c>
      <c r="H21" s="176">
        <f t="shared" si="2"/>
        <v>-87847</v>
      </c>
      <c r="I21" s="176">
        <f t="shared" si="2"/>
        <v>-111319</v>
      </c>
      <c r="J21" s="176">
        <f t="shared" si="2"/>
        <v>-301884</v>
      </c>
      <c r="K21" s="176">
        <f t="shared" si="2"/>
        <v>-463403</v>
      </c>
      <c r="L21" s="176">
        <f t="shared" si="2"/>
        <v>-794740</v>
      </c>
      <c r="M21" s="176">
        <f t="shared" si="2"/>
        <v>-1007353.6674499999</v>
      </c>
      <c r="N21" s="176">
        <f t="shared" si="2"/>
        <v>-1786</v>
      </c>
      <c r="O21" s="176">
        <f t="shared" si="2"/>
        <v>-469599.37370999996</v>
      </c>
      <c r="P21" s="176">
        <f t="shared" si="2"/>
        <v>-222768</v>
      </c>
      <c r="Q21" s="176">
        <f t="shared" si="2"/>
        <v>-242747</v>
      </c>
      <c r="R21" s="176">
        <f t="shared" si="2"/>
        <v>-296907.93952000007</v>
      </c>
      <c r="S21" s="176">
        <f t="shared" si="2"/>
        <v>-184072.10290999999</v>
      </c>
      <c r="T21" s="176">
        <f t="shared" si="2"/>
        <v>-121090.51560000003</v>
      </c>
      <c r="U21" s="176">
        <f t="shared" si="2"/>
        <v>-38528.740069999993</v>
      </c>
      <c r="V21" s="176">
        <f t="shared" si="2"/>
        <v>-57314</v>
      </c>
      <c r="W21" s="176">
        <f t="shared" si="2"/>
        <v>-19960</v>
      </c>
      <c r="X21" s="176">
        <f t="shared" si="2"/>
        <v>-24389</v>
      </c>
      <c r="Y21" s="176">
        <f>SUM(Y22:Y27)</f>
        <v>-21346</v>
      </c>
      <c r="Z21" s="176">
        <f>SUM(Z22:Z27)</f>
        <v>-32601</v>
      </c>
      <c r="AA21" s="176">
        <f>SUM(AA22:AA27)</f>
        <v>-25240.279230000004</v>
      </c>
      <c r="AB21" s="176">
        <f>SUM(AB22:AB27)</f>
        <v>-32769.998889999995</v>
      </c>
      <c r="AC21" s="176">
        <f>SUM(AC22:AC27)</f>
        <v>-79745.358749999999</v>
      </c>
    </row>
    <row r="22" spans="1:29" x14ac:dyDescent="0.35">
      <c r="A22" s="172" t="s">
        <v>265</v>
      </c>
      <c r="B22" s="177"/>
      <c r="C22" s="441"/>
      <c r="D22" s="441"/>
      <c r="E22" s="441">
        <v>-196</v>
      </c>
      <c r="F22" s="441">
        <v>-141</v>
      </c>
      <c r="G22" s="441"/>
      <c r="H22" s="441">
        <v>-3312</v>
      </c>
      <c r="I22" s="441">
        <v>-2127</v>
      </c>
      <c r="J22" s="441">
        <v>8774</v>
      </c>
      <c r="K22" s="441"/>
      <c r="L22" s="441"/>
      <c r="M22" s="441"/>
      <c r="N22" s="441">
        <v>-974</v>
      </c>
      <c r="O22" s="441">
        <v>-733.0973999999992</v>
      </c>
      <c r="P22" s="441">
        <v>-2726</v>
      </c>
      <c r="Q22" s="441">
        <v>-1944</v>
      </c>
      <c r="R22" s="441">
        <v>-9582.803729999996</v>
      </c>
      <c r="S22" s="441">
        <v>-4397.0078900000008</v>
      </c>
      <c r="T22" s="441">
        <v>-3063.386469999999</v>
      </c>
      <c r="U22" s="441">
        <v>-9955.6056400000052</v>
      </c>
      <c r="V22" s="441">
        <v>-8386</v>
      </c>
      <c r="W22" s="441">
        <v>-8423</v>
      </c>
      <c r="X22" s="441">
        <v>-8576</v>
      </c>
      <c r="Y22" s="441">
        <v>-8889</v>
      </c>
      <c r="Z22" s="441">
        <v>-10527</v>
      </c>
      <c r="AA22" s="441">
        <v>-10633.622150000003</v>
      </c>
      <c r="AB22" s="441">
        <v>-8919.996149999999</v>
      </c>
      <c r="AC22" s="441">
        <v>-11058.333720000001</v>
      </c>
    </row>
    <row r="23" spans="1:29" x14ac:dyDescent="0.35">
      <c r="A23" s="172" t="s">
        <v>266</v>
      </c>
      <c r="B23" s="177"/>
      <c r="C23" s="441"/>
      <c r="D23" s="441">
        <v>-4</v>
      </c>
      <c r="E23" s="441">
        <v>15</v>
      </c>
      <c r="F23" s="441">
        <v>-90</v>
      </c>
      <c r="G23" s="441"/>
      <c r="H23" s="441">
        <v>-16</v>
      </c>
      <c r="I23" s="441">
        <v>-31</v>
      </c>
      <c r="J23" s="441">
        <v>31</v>
      </c>
      <c r="K23" s="441"/>
      <c r="L23" s="441">
        <v>-2</v>
      </c>
      <c r="M23" s="441">
        <v>-3</v>
      </c>
      <c r="N23" s="441">
        <v>-116</v>
      </c>
      <c r="O23" s="441">
        <v>-121.26676999999999</v>
      </c>
      <c r="P23" s="441">
        <v>-72</v>
      </c>
      <c r="Q23" s="441">
        <v>-188</v>
      </c>
      <c r="R23" s="441">
        <v>-125.69810000000007</v>
      </c>
      <c r="S23" s="441">
        <v>-63.872559999999993</v>
      </c>
      <c r="T23" s="441">
        <v>-268.23597999999998</v>
      </c>
      <c r="U23" s="441">
        <v>-383.89146000000005</v>
      </c>
      <c r="V23" s="441">
        <v>-633</v>
      </c>
      <c r="W23" s="441">
        <v>-304</v>
      </c>
      <c r="X23" s="441">
        <v>-682</v>
      </c>
      <c r="Y23" s="441">
        <v>-289</v>
      </c>
      <c r="Z23" s="441">
        <v>-993</v>
      </c>
      <c r="AA23" s="441">
        <v>-987.9697799999999</v>
      </c>
      <c r="AB23" s="441">
        <v>-640.00072999999998</v>
      </c>
      <c r="AC23" s="441">
        <v>-333.70517000000001</v>
      </c>
    </row>
    <row r="24" spans="1:29" x14ac:dyDescent="0.35">
      <c r="A24" s="172" t="s">
        <v>267</v>
      </c>
      <c r="B24" s="395"/>
      <c r="C24" s="441"/>
      <c r="D24" s="441">
        <v>-49</v>
      </c>
      <c r="E24" s="441">
        <v>3221</v>
      </c>
      <c r="F24" s="441">
        <v>-1320</v>
      </c>
      <c r="G24" s="441">
        <v>73</v>
      </c>
      <c r="H24" s="441">
        <v>-637</v>
      </c>
      <c r="I24" s="441">
        <v>-1095</v>
      </c>
      <c r="J24" s="441">
        <v>1793</v>
      </c>
      <c r="K24" s="441">
        <v>-15</v>
      </c>
      <c r="L24" s="441"/>
      <c r="M24" s="441">
        <v>-522</v>
      </c>
      <c r="N24" s="441">
        <v>-489</v>
      </c>
      <c r="O24" s="441">
        <v>-728.69161000000031</v>
      </c>
      <c r="P24" s="441">
        <v>-1661</v>
      </c>
      <c r="Q24" s="441">
        <v>-1956</v>
      </c>
      <c r="R24" s="441">
        <v>-3707.5206999999969</v>
      </c>
      <c r="S24" s="441">
        <v>-2245.3326499999998</v>
      </c>
      <c r="T24" s="441">
        <v>-5449.4639600000237</v>
      </c>
      <c r="U24" s="441">
        <v>-5982.6793899999993</v>
      </c>
      <c r="V24" s="441">
        <v>-6924</v>
      </c>
      <c r="W24" s="441">
        <v>-4494</v>
      </c>
      <c r="X24" s="441">
        <v>-14998</v>
      </c>
      <c r="Y24" s="441">
        <v>-12820</v>
      </c>
      <c r="Z24" s="441">
        <v>1969</v>
      </c>
      <c r="AA24" s="441">
        <v>-7934.9851900000003</v>
      </c>
      <c r="AB24" s="441">
        <v>-7265.9658600000012</v>
      </c>
      <c r="AC24" s="441">
        <v>-12911.68468</v>
      </c>
    </row>
    <row r="25" spans="1:29" x14ac:dyDescent="0.35">
      <c r="A25" s="172" t="s">
        <v>633</v>
      </c>
      <c r="B25" s="177"/>
      <c r="C25" s="441"/>
      <c r="D25" s="441">
        <v>-795</v>
      </c>
      <c r="E25" s="441">
        <v>-9683</v>
      </c>
      <c r="F25" s="441">
        <v>-127418</v>
      </c>
      <c r="G25" s="441">
        <f>-123392+196</f>
        <v>-123196</v>
      </c>
      <c r="H25" s="441">
        <v>-83853</v>
      </c>
      <c r="I25" s="441">
        <v>-107942</v>
      </c>
      <c r="J25" s="441">
        <v>-312637</v>
      </c>
      <c r="K25" s="441">
        <v>-463388</v>
      </c>
      <c r="L25" s="441">
        <v>-794738</v>
      </c>
      <c r="M25" s="441">
        <v>-1006829</v>
      </c>
      <c r="N25" s="441"/>
      <c r="O25" s="441">
        <v>-467993.25327999995</v>
      </c>
      <c r="P25" s="441">
        <v>-217765</v>
      </c>
      <c r="Q25" s="441">
        <v>-238324</v>
      </c>
      <c r="R25" s="441">
        <v>-282985.10194000008</v>
      </c>
      <c r="S25" s="441">
        <v>-176947.00722999999</v>
      </c>
      <c r="T25" s="441">
        <v>-43179.429190000003</v>
      </c>
      <c r="U25" s="441">
        <v>-20728.563579999987</v>
      </c>
      <c r="V25" s="441">
        <v>-39956</v>
      </c>
      <c r="W25" s="441">
        <v>-5465</v>
      </c>
      <c r="X25" s="441">
        <v>0</v>
      </c>
      <c r="Y25" s="441">
        <v>1</v>
      </c>
      <c r="Z25" s="441">
        <v>-20965</v>
      </c>
      <c r="AA25" s="441">
        <v>-5201.31837</v>
      </c>
      <c r="AB25" s="441">
        <v>-15417.034</v>
      </c>
      <c r="AC25" s="441">
        <v>-53586.459000000003</v>
      </c>
    </row>
    <row r="26" spans="1:29" x14ac:dyDescent="0.35">
      <c r="A26" s="172" t="s">
        <v>270</v>
      </c>
      <c r="B26" s="177"/>
      <c r="C26" s="441"/>
      <c r="D26" s="441"/>
      <c r="E26" s="441">
        <v>258</v>
      </c>
      <c r="F26" s="441">
        <v>-372</v>
      </c>
      <c r="G26" s="441"/>
      <c r="H26" s="441">
        <v>-29</v>
      </c>
      <c r="I26" s="441">
        <v>-119</v>
      </c>
      <c r="J26" s="441">
        <v>149</v>
      </c>
      <c r="K26" s="441"/>
      <c r="L26" s="441"/>
      <c r="M26" s="441">
        <v>0.3325500000026077</v>
      </c>
      <c r="N26" s="441">
        <v>-225</v>
      </c>
      <c r="O26" s="441">
        <v>-23.064649999999965</v>
      </c>
      <c r="P26" s="441">
        <v>-544</v>
      </c>
      <c r="Q26" s="441">
        <v>-335</v>
      </c>
      <c r="R26" s="441">
        <v>-506.81504999999981</v>
      </c>
      <c r="S26" s="441">
        <v>-418.8825799999999</v>
      </c>
      <c r="T26" s="441">
        <v>-414</v>
      </c>
      <c r="U26" s="441">
        <v>-1478</v>
      </c>
      <c r="V26" s="441">
        <v>-1415</v>
      </c>
      <c r="W26" s="441">
        <v>-1274</v>
      </c>
      <c r="X26" s="441">
        <v>-133</v>
      </c>
      <c r="Y26" s="441">
        <v>651</v>
      </c>
      <c r="Z26" s="441">
        <v>-2085</v>
      </c>
      <c r="AA26" s="441">
        <v>-482.38373999999993</v>
      </c>
      <c r="AB26" s="441">
        <v>-527.00215000000003</v>
      </c>
      <c r="AC26" s="441">
        <v>-1855.1761800000004</v>
      </c>
    </row>
    <row r="27" spans="1:29" x14ac:dyDescent="0.35">
      <c r="A27" s="172" t="s">
        <v>271</v>
      </c>
      <c r="B27" s="177"/>
      <c r="C27" s="441"/>
      <c r="D27" s="441"/>
      <c r="E27" s="441">
        <v>1</v>
      </c>
      <c r="F27" s="441"/>
      <c r="G27" s="441"/>
      <c r="H27" s="441"/>
      <c r="I27" s="441">
        <v>-5</v>
      </c>
      <c r="J27" s="441">
        <v>6</v>
      </c>
      <c r="K27" s="441"/>
      <c r="L27" s="441"/>
      <c r="M27" s="441"/>
      <c r="N27" s="441">
        <v>18</v>
      </c>
      <c r="O27" s="441">
        <v>0</v>
      </c>
      <c r="P27" s="441"/>
      <c r="Q27" s="441"/>
      <c r="R27" s="441"/>
      <c r="S27" s="441"/>
      <c r="T27" s="441">
        <v>-68716</v>
      </c>
      <c r="U27" s="441"/>
      <c r="V27" s="441"/>
      <c r="W27" s="441"/>
      <c r="X27" s="441"/>
      <c r="Y27" s="441"/>
      <c r="Z27" s="441"/>
      <c r="AA27" s="441"/>
      <c r="AB27" s="441"/>
      <c r="AC27" s="441"/>
    </row>
    <row r="28" spans="1:29" x14ac:dyDescent="0.35">
      <c r="A28" s="596" t="s">
        <v>272</v>
      </c>
      <c r="B28" s="177"/>
      <c r="C28" s="595">
        <f t="shared" ref="C28:X28" si="3">SUM(C19:C21)</f>
        <v>0</v>
      </c>
      <c r="D28" s="595">
        <f t="shared" si="3"/>
        <v>-848</v>
      </c>
      <c r="E28" s="595">
        <f t="shared" si="3"/>
        <v>3539</v>
      </c>
      <c r="F28" s="595">
        <f t="shared" si="3"/>
        <v>-321</v>
      </c>
      <c r="G28" s="595">
        <f t="shared" si="3"/>
        <v>8106</v>
      </c>
      <c r="H28" s="595">
        <f t="shared" si="3"/>
        <v>7035</v>
      </c>
      <c r="I28" s="595">
        <f t="shared" si="3"/>
        <v>12434</v>
      </c>
      <c r="J28" s="595">
        <f t="shared" si="3"/>
        <v>160708</v>
      </c>
      <c r="K28" s="595">
        <f t="shared" si="3"/>
        <v>150040</v>
      </c>
      <c r="L28" s="595">
        <f t="shared" si="3"/>
        <v>260847</v>
      </c>
      <c r="M28" s="595">
        <f t="shared" si="3"/>
        <v>341222.33255000005</v>
      </c>
      <c r="N28" s="595">
        <f t="shared" si="3"/>
        <v>1763747</v>
      </c>
      <c r="O28" s="595">
        <f t="shared" si="3"/>
        <v>502094.21914000018</v>
      </c>
      <c r="P28" s="595">
        <f t="shared" si="3"/>
        <v>310551</v>
      </c>
      <c r="Q28" s="595">
        <f t="shared" si="3"/>
        <v>339135</v>
      </c>
      <c r="R28" s="595">
        <f t="shared" si="3"/>
        <v>363089.11460999999</v>
      </c>
      <c r="S28" s="595">
        <f t="shared" si="3"/>
        <v>99687.946019999945</v>
      </c>
      <c r="T28" s="595">
        <f t="shared" si="3"/>
        <v>238114.61258999992</v>
      </c>
      <c r="U28" s="595">
        <f t="shared" si="3"/>
        <v>290244.60199</v>
      </c>
      <c r="V28" s="595">
        <f t="shared" si="3"/>
        <v>336881</v>
      </c>
      <c r="W28" s="595">
        <f t="shared" si="3"/>
        <v>424631</v>
      </c>
      <c r="X28" s="595">
        <f t="shared" si="3"/>
        <v>294196</v>
      </c>
      <c r="Y28" s="595">
        <f>SUM(Y19:Y21)</f>
        <v>301136</v>
      </c>
      <c r="Z28" s="595">
        <f>SUM(Z19:Z21)</f>
        <v>299332.00000000006</v>
      </c>
      <c r="AA28" s="595">
        <f>SUM(AA19:AA21)</f>
        <v>310377.40160000004</v>
      </c>
      <c r="AB28" s="595">
        <f>SUM(AB19:AB21)</f>
        <v>321938.88211000001</v>
      </c>
      <c r="AC28" s="595">
        <f>SUM(AC19:AC21)</f>
        <v>330531.10524999996</v>
      </c>
    </row>
    <row r="29" spans="1:29" ht="15" thickBot="1" x14ac:dyDescent="0.4">
      <c r="A29" s="172" t="s">
        <v>273</v>
      </c>
      <c r="B29" s="169"/>
      <c r="C29" s="441"/>
      <c r="D29" s="441"/>
      <c r="E29" s="441">
        <v>-27</v>
      </c>
      <c r="F29" s="441">
        <v>-61</v>
      </c>
      <c r="G29" s="441">
        <v>-196</v>
      </c>
      <c r="H29" s="441">
        <v>-78</v>
      </c>
      <c r="I29" s="441">
        <v>-63</v>
      </c>
      <c r="J29" s="441">
        <v>-65</v>
      </c>
      <c r="K29" s="441">
        <v>-108</v>
      </c>
      <c r="L29" s="441">
        <v>-79</v>
      </c>
      <c r="M29" s="441">
        <v>-6</v>
      </c>
      <c r="N29" s="441">
        <v>-122</v>
      </c>
      <c r="O29" s="441">
        <v>-147.72015000000002</v>
      </c>
      <c r="P29" s="441">
        <v>-29</v>
      </c>
      <c r="Q29" s="441">
        <v>-63</v>
      </c>
      <c r="R29" s="441">
        <v>-80.755400000000236</v>
      </c>
      <c r="S29" s="441">
        <v>-64.199159999999992</v>
      </c>
      <c r="T29" s="441">
        <v>-64</v>
      </c>
      <c r="U29" s="441">
        <v>-61</v>
      </c>
      <c r="V29" s="441">
        <v>-69</v>
      </c>
      <c r="W29" s="441">
        <v>-54</v>
      </c>
      <c r="X29" s="441">
        <v>-95515</v>
      </c>
      <c r="Y29" s="441">
        <v>-72192</v>
      </c>
      <c r="Z29" s="441">
        <v>-72713</v>
      </c>
      <c r="AA29" s="441">
        <v>-77590</v>
      </c>
      <c r="AB29" s="441">
        <v>-63267.995869999992</v>
      </c>
      <c r="AC29" s="441">
        <v>-71350.744539999985</v>
      </c>
    </row>
    <row r="30" spans="1:29" ht="15" thickBot="1" x14ac:dyDescent="0.4">
      <c r="A30" s="175" t="s">
        <v>274</v>
      </c>
      <c r="B30" s="169"/>
      <c r="C30" s="176">
        <f t="shared" ref="C30:X30" si="4">SUM(C28:C29)</f>
        <v>0</v>
      </c>
      <c r="D30" s="176">
        <f t="shared" si="4"/>
        <v>-848</v>
      </c>
      <c r="E30" s="176">
        <f t="shared" si="4"/>
        <v>3512</v>
      </c>
      <c r="F30" s="176">
        <f t="shared" si="4"/>
        <v>-382</v>
      </c>
      <c r="G30" s="176">
        <f t="shared" si="4"/>
        <v>7910</v>
      </c>
      <c r="H30" s="176">
        <f t="shared" si="4"/>
        <v>6957</v>
      </c>
      <c r="I30" s="176">
        <f t="shared" si="4"/>
        <v>12371</v>
      </c>
      <c r="J30" s="176">
        <f t="shared" si="4"/>
        <v>160643</v>
      </c>
      <c r="K30" s="176">
        <f t="shared" si="4"/>
        <v>149932</v>
      </c>
      <c r="L30" s="176">
        <f t="shared" si="4"/>
        <v>260768</v>
      </c>
      <c r="M30" s="176">
        <f t="shared" si="4"/>
        <v>341216.33255000005</v>
      </c>
      <c r="N30" s="176">
        <f t="shared" si="4"/>
        <v>1763625</v>
      </c>
      <c r="O30" s="176">
        <f t="shared" si="4"/>
        <v>501946.49899000017</v>
      </c>
      <c r="P30" s="176">
        <f t="shared" si="4"/>
        <v>310522</v>
      </c>
      <c r="Q30" s="176">
        <f t="shared" si="4"/>
        <v>339072</v>
      </c>
      <c r="R30" s="176">
        <f t="shared" si="4"/>
        <v>363008.35920999997</v>
      </c>
      <c r="S30" s="176">
        <f t="shared" si="4"/>
        <v>99623.746859999941</v>
      </c>
      <c r="T30" s="176">
        <f t="shared" si="4"/>
        <v>238050.61258999992</v>
      </c>
      <c r="U30" s="176">
        <f t="shared" si="4"/>
        <v>290183.60199</v>
      </c>
      <c r="V30" s="176">
        <f t="shared" si="4"/>
        <v>336812</v>
      </c>
      <c r="W30" s="176">
        <f t="shared" si="4"/>
        <v>424577</v>
      </c>
      <c r="X30" s="176">
        <f t="shared" si="4"/>
        <v>198681</v>
      </c>
      <c r="Y30" s="176">
        <f>SUM(Y28:Y29)</f>
        <v>228944</v>
      </c>
      <c r="Z30" s="176">
        <f>SUM(Z28:Z29)</f>
        <v>226619.00000000006</v>
      </c>
      <c r="AA30" s="176">
        <f>SUM(AA28:AA29)</f>
        <v>232787.40160000004</v>
      </c>
      <c r="AB30" s="176">
        <f>SUM(AB28:AB29)</f>
        <v>258670.88624000002</v>
      </c>
      <c r="AC30" s="176">
        <f>SUM(AC28:AC29)</f>
        <v>259180.36070999998</v>
      </c>
    </row>
    <row r="31" spans="1:29" ht="15" thickBot="1" x14ac:dyDescent="0.4">
      <c r="A31" s="175" t="s">
        <v>277</v>
      </c>
      <c r="B31" s="169"/>
      <c r="C31" s="389">
        <f t="shared" ref="C31:AB31" si="5">SUM(C32:C33)</f>
        <v>0</v>
      </c>
      <c r="D31" s="389">
        <f t="shared" si="5"/>
        <v>-3</v>
      </c>
      <c r="E31" s="389">
        <f t="shared" si="5"/>
        <v>-113</v>
      </c>
      <c r="F31" s="389">
        <f t="shared" si="5"/>
        <v>-350</v>
      </c>
      <c r="G31" s="389">
        <f t="shared" si="5"/>
        <v>-1156</v>
      </c>
      <c r="H31" s="389">
        <f t="shared" si="5"/>
        <v>792</v>
      </c>
      <c r="I31" s="389">
        <f t="shared" si="5"/>
        <v>-3639</v>
      </c>
      <c r="J31" s="389">
        <f t="shared" si="5"/>
        <v>3547</v>
      </c>
      <c r="K31" s="389">
        <f t="shared" si="5"/>
        <v>-3055</v>
      </c>
      <c r="L31" s="389">
        <f t="shared" si="5"/>
        <v>-20164</v>
      </c>
      <c r="M31" s="389">
        <f t="shared" si="5"/>
        <v>-6258</v>
      </c>
      <c r="N31" s="389">
        <f t="shared" si="5"/>
        <v>-4950</v>
      </c>
      <c r="O31" s="389">
        <f t="shared" si="5"/>
        <v>-5963.7393900000034</v>
      </c>
      <c r="P31" s="389">
        <f t="shared" si="5"/>
        <v>46</v>
      </c>
      <c r="Q31" s="389">
        <f t="shared" si="5"/>
        <v>-23426</v>
      </c>
      <c r="R31" s="389">
        <f t="shared" si="5"/>
        <v>-37113.41047000001</v>
      </c>
      <c r="S31" s="389">
        <f t="shared" si="5"/>
        <v>-56394.864239999995</v>
      </c>
      <c r="T31" s="389">
        <f t="shared" si="5"/>
        <v>-142013.06457000005</v>
      </c>
      <c r="U31" s="389">
        <f t="shared" si="5"/>
        <v>-178027.07119000002</v>
      </c>
      <c r="V31" s="389">
        <f t="shared" si="5"/>
        <v>-237625</v>
      </c>
      <c r="W31" s="389">
        <f t="shared" si="5"/>
        <v>-173804</v>
      </c>
      <c r="X31" s="389">
        <f t="shared" si="5"/>
        <v>-228014</v>
      </c>
      <c r="Y31" s="389">
        <f t="shared" si="5"/>
        <v>-18966</v>
      </c>
      <c r="Z31" s="389">
        <f t="shared" si="5"/>
        <v>-69674</v>
      </c>
      <c r="AA31" s="389">
        <f t="shared" si="5"/>
        <v>-147309</v>
      </c>
      <c r="AB31" s="389">
        <f t="shared" si="5"/>
        <v>-123181.37678999998</v>
      </c>
      <c r="AC31" s="389">
        <f>SUM(AC32:AC33)</f>
        <v>-58521.628519999998</v>
      </c>
    </row>
    <row r="32" spans="1:29" x14ac:dyDescent="0.35">
      <c r="A32" s="172" t="s">
        <v>278</v>
      </c>
      <c r="B32" s="169"/>
      <c r="C32" s="441"/>
      <c r="D32" s="441">
        <v>0</v>
      </c>
      <c r="E32" s="441">
        <v>-87</v>
      </c>
      <c r="F32" s="441">
        <v>5</v>
      </c>
      <c r="G32" s="441">
        <v>13</v>
      </c>
      <c r="H32" s="441">
        <v>15</v>
      </c>
      <c r="I32" s="441">
        <v>34</v>
      </c>
      <c r="J32" s="441">
        <v>21</v>
      </c>
      <c r="K32" s="441">
        <v>18</v>
      </c>
      <c r="L32" s="441">
        <v>15</v>
      </c>
      <c r="M32" s="441">
        <v>-33</v>
      </c>
      <c r="N32" s="441">
        <f>230+18</f>
        <v>248</v>
      </c>
      <c r="O32" s="441">
        <v>16.870579999999375</v>
      </c>
      <c r="P32" s="441">
        <v>766</v>
      </c>
      <c r="Q32" s="441">
        <v>1189</v>
      </c>
      <c r="R32" s="441">
        <v>974.71113000000014</v>
      </c>
      <c r="S32" s="441">
        <v>383.84478000000007</v>
      </c>
      <c r="T32" s="441">
        <v>7051.9047699999974</v>
      </c>
      <c r="U32" s="441">
        <v>4984.2504500000005</v>
      </c>
      <c r="V32" s="441">
        <v>10141</v>
      </c>
      <c r="W32" s="441">
        <v>18270</v>
      </c>
      <c r="X32" s="441">
        <v>20988</v>
      </c>
      <c r="Y32" s="441">
        <v>28621</v>
      </c>
      <c r="Z32" s="441">
        <v>34472</v>
      </c>
      <c r="AA32" s="441">
        <v>24924</v>
      </c>
      <c r="AB32" s="441">
        <v>39383.539539999998</v>
      </c>
      <c r="AC32" s="441">
        <v>45371.846270000009</v>
      </c>
    </row>
    <row r="33" spans="1:29" ht="15" thickBot="1" x14ac:dyDescent="0.4">
      <c r="A33" s="172" t="s">
        <v>279</v>
      </c>
      <c r="B33" s="169"/>
      <c r="C33" s="441"/>
      <c r="D33" s="441">
        <v>-3</v>
      </c>
      <c r="E33" s="441">
        <v>-26</v>
      </c>
      <c r="F33" s="441">
        <v>-355</v>
      </c>
      <c r="G33" s="441">
        <v>-1169</v>
      </c>
      <c r="H33" s="441">
        <v>777</v>
      </c>
      <c r="I33" s="441">
        <v>-3673</v>
      </c>
      <c r="J33" s="441">
        <v>3526</v>
      </c>
      <c r="K33" s="441">
        <v>-3073</v>
      </c>
      <c r="L33" s="441">
        <v>-20179</v>
      </c>
      <c r="M33" s="441">
        <v>-6225</v>
      </c>
      <c r="N33" s="441">
        <v>-5198</v>
      </c>
      <c r="O33" s="441">
        <v>-5980.6099700000032</v>
      </c>
      <c r="P33" s="441">
        <v>-720</v>
      </c>
      <c r="Q33" s="441">
        <v>-24615</v>
      </c>
      <c r="R33" s="441">
        <v>-38088.121600000013</v>
      </c>
      <c r="S33" s="441">
        <v>-56778.709019999995</v>
      </c>
      <c r="T33" s="441">
        <v>-149064.96934000004</v>
      </c>
      <c r="U33" s="441">
        <v>-183011.32164000001</v>
      </c>
      <c r="V33" s="441">
        <v>-247766</v>
      </c>
      <c r="W33" s="441">
        <v>-192074</v>
      </c>
      <c r="X33" s="441">
        <v>-249002</v>
      </c>
      <c r="Y33" s="441">
        <v>-47587</v>
      </c>
      <c r="Z33" s="441">
        <v>-104146</v>
      </c>
      <c r="AA33" s="441">
        <v>-172233</v>
      </c>
      <c r="AB33" s="441">
        <v>-162564.91632999998</v>
      </c>
      <c r="AC33" s="441">
        <v>-103893.47479000001</v>
      </c>
    </row>
    <row r="34" spans="1:29" ht="15" thickBot="1" x14ac:dyDescent="0.4">
      <c r="A34" s="175" t="s">
        <v>314</v>
      </c>
      <c r="B34" s="169"/>
      <c r="C34" s="176">
        <f t="shared" ref="C34:X34" si="6">SUM(C30:C31)</f>
        <v>0</v>
      </c>
      <c r="D34" s="176">
        <f t="shared" si="6"/>
        <v>-851</v>
      </c>
      <c r="E34" s="176">
        <f t="shared" si="6"/>
        <v>3399</v>
      </c>
      <c r="F34" s="176">
        <f t="shared" si="6"/>
        <v>-732</v>
      </c>
      <c r="G34" s="176">
        <f t="shared" si="6"/>
        <v>6754</v>
      </c>
      <c r="H34" s="176">
        <f t="shared" si="6"/>
        <v>7749</v>
      </c>
      <c r="I34" s="176">
        <f t="shared" si="6"/>
        <v>8732</v>
      </c>
      <c r="J34" s="176">
        <f t="shared" si="6"/>
        <v>164190</v>
      </c>
      <c r="K34" s="176">
        <f t="shared" si="6"/>
        <v>146877</v>
      </c>
      <c r="L34" s="176">
        <f t="shared" si="6"/>
        <v>240604</v>
      </c>
      <c r="M34" s="176">
        <f t="shared" si="6"/>
        <v>334958.33255000005</v>
      </c>
      <c r="N34" s="176">
        <f t="shared" si="6"/>
        <v>1758675</v>
      </c>
      <c r="O34" s="176">
        <f t="shared" si="6"/>
        <v>495982.75960000016</v>
      </c>
      <c r="P34" s="176">
        <f t="shared" si="6"/>
        <v>310568</v>
      </c>
      <c r="Q34" s="176">
        <f t="shared" si="6"/>
        <v>315646</v>
      </c>
      <c r="R34" s="176">
        <f t="shared" si="6"/>
        <v>325894.94873999996</v>
      </c>
      <c r="S34" s="176">
        <f t="shared" si="6"/>
        <v>43228.882619999946</v>
      </c>
      <c r="T34" s="176">
        <f t="shared" si="6"/>
        <v>96037.548019999871</v>
      </c>
      <c r="U34" s="176">
        <f t="shared" si="6"/>
        <v>112156.53079999998</v>
      </c>
      <c r="V34" s="176">
        <f t="shared" si="6"/>
        <v>99187</v>
      </c>
      <c r="W34" s="176">
        <f t="shared" si="6"/>
        <v>250773</v>
      </c>
      <c r="X34" s="176">
        <f t="shared" si="6"/>
        <v>-29333</v>
      </c>
      <c r="Y34" s="176">
        <f>SUM(Y30:Y31)</f>
        <v>209978</v>
      </c>
      <c r="Z34" s="176">
        <f>SUM(Z30:Z31)</f>
        <v>156945.00000000006</v>
      </c>
      <c r="AA34" s="176">
        <f>SUM(AA30:AA31)</f>
        <v>85478.401600000041</v>
      </c>
      <c r="AB34" s="176">
        <f>SUM(AB30:AB31)</f>
        <v>135489.50945000004</v>
      </c>
      <c r="AC34" s="176">
        <f>SUM(AC30:AC31)</f>
        <v>200658.73218999998</v>
      </c>
    </row>
    <row r="35" spans="1:29" x14ac:dyDescent="0.35">
      <c r="A35" s="172" t="s">
        <v>635</v>
      </c>
      <c r="B35" s="169"/>
      <c r="C35" s="441"/>
      <c r="D35" s="441"/>
      <c r="E35" s="441">
        <v>-11</v>
      </c>
      <c r="F35" s="441">
        <v>-8</v>
      </c>
      <c r="G35" s="441">
        <v>-59</v>
      </c>
      <c r="H35" s="441">
        <v>-41</v>
      </c>
      <c r="I35" s="441">
        <v>-10</v>
      </c>
      <c r="J35" s="441">
        <v>-346</v>
      </c>
      <c r="K35" s="441">
        <v>-670</v>
      </c>
      <c r="L35" s="441">
        <v>666</v>
      </c>
      <c r="M35" s="441">
        <v>11</v>
      </c>
      <c r="N35" s="441">
        <v>0</v>
      </c>
      <c r="O35" s="441">
        <v>0</v>
      </c>
      <c r="P35" s="441"/>
      <c r="Q35" s="441"/>
      <c r="R35" s="441">
        <v>-20939.99625</v>
      </c>
      <c r="S35" s="441">
        <v>-6638.5818300000001</v>
      </c>
      <c r="T35" s="441">
        <v>-10204</v>
      </c>
      <c r="U35" s="441"/>
      <c r="V35" s="441">
        <v>-12601</v>
      </c>
      <c r="W35" s="441">
        <v>-22667</v>
      </c>
      <c r="X35" s="441">
        <v>-7415</v>
      </c>
      <c r="Y35" s="441">
        <v>-66053</v>
      </c>
      <c r="Z35" s="441">
        <v>-52486</v>
      </c>
      <c r="AA35" s="441">
        <v>-37758.242189999997</v>
      </c>
      <c r="AB35" s="441">
        <v>-42603.154000000002</v>
      </c>
      <c r="AC35" s="441">
        <v>-66632.286999999997</v>
      </c>
    </row>
    <row r="36" spans="1:29" x14ac:dyDescent="0.35">
      <c r="A36" s="172" t="s">
        <v>636</v>
      </c>
      <c r="B36" s="169"/>
      <c r="C36" s="441"/>
      <c r="D36" s="441"/>
      <c r="E36" s="441"/>
      <c r="F36" s="441">
        <v>-12</v>
      </c>
      <c r="G36" s="441">
        <v>-135</v>
      </c>
      <c r="H36" s="441">
        <v>-87</v>
      </c>
      <c r="I36" s="441">
        <v>19</v>
      </c>
      <c r="J36" s="441">
        <v>-908</v>
      </c>
      <c r="K36" s="441">
        <v>-1851</v>
      </c>
      <c r="L36" s="441">
        <v>1844</v>
      </c>
      <c r="M36" s="441">
        <v>0</v>
      </c>
      <c r="N36" s="441">
        <v>0</v>
      </c>
      <c r="O36" s="441">
        <v>0</v>
      </c>
      <c r="P36" s="441"/>
      <c r="Q36" s="441"/>
      <c r="R36" s="441">
        <v>6385.8210600000002</v>
      </c>
      <c r="S36" s="441">
        <v>1395.44866</v>
      </c>
      <c r="T36" s="441">
        <v>2957</v>
      </c>
      <c r="U36" s="441"/>
      <c r="V36" s="441">
        <v>7716</v>
      </c>
      <c r="W36" s="441">
        <v>16302</v>
      </c>
      <c r="X36" s="441">
        <v>7016</v>
      </c>
      <c r="Y36" s="441">
        <v>49564</v>
      </c>
      <c r="Z36" s="441">
        <v>38201</v>
      </c>
      <c r="AA36" s="441">
        <v>28185</v>
      </c>
      <c r="AB36" s="441">
        <v>31389.069</v>
      </c>
      <c r="AC36" s="441">
        <v>43362.135000000002</v>
      </c>
    </row>
    <row r="37" spans="1:29" x14ac:dyDescent="0.35">
      <c r="A37" s="172" t="s">
        <v>284</v>
      </c>
      <c r="B37" s="169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>
        <v>48645</v>
      </c>
      <c r="Y37" s="441">
        <v>0</v>
      </c>
      <c r="Z37" s="441">
        <v>0</v>
      </c>
      <c r="AA37" s="441"/>
      <c r="AB37" s="441">
        <v>0</v>
      </c>
      <c r="AC37" s="441">
        <v>0</v>
      </c>
    </row>
    <row r="38" spans="1:29" ht="15" thickBot="1" x14ac:dyDescent="0.4">
      <c r="A38" s="172" t="s">
        <v>283</v>
      </c>
      <c r="B38" s="169"/>
      <c r="C38" s="441"/>
      <c r="D38" s="441"/>
      <c r="E38" s="441"/>
      <c r="F38" s="441">
        <v>-350</v>
      </c>
      <c r="G38" s="441">
        <v>-3099</v>
      </c>
      <c r="H38" s="441">
        <v>-4752</v>
      </c>
      <c r="I38" s="441">
        <v>-4403</v>
      </c>
      <c r="J38" s="441">
        <v>-51308</v>
      </c>
      <c r="K38" s="441">
        <v>-48602</v>
      </c>
      <c r="L38" s="441">
        <v>-106502</v>
      </c>
      <c r="M38" s="441">
        <v>-118592</v>
      </c>
      <c r="N38" s="441">
        <v>-324667</v>
      </c>
      <c r="O38" s="441">
        <v>-197643.32855999999</v>
      </c>
      <c r="P38" s="441">
        <v>-112766</v>
      </c>
      <c r="Q38" s="441">
        <v>-25517</v>
      </c>
      <c r="R38" s="441">
        <v>-92124.167690000031</v>
      </c>
      <c r="S38" s="441">
        <v>-8465.4872400000022</v>
      </c>
      <c r="T38" s="441">
        <v>-29598.136059999993</v>
      </c>
      <c r="U38" s="441">
        <v>-30420</v>
      </c>
      <c r="V38" s="441">
        <v>-35415</v>
      </c>
      <c r="W38" s="441">
        <v>-48645</v>
      </c>
      <c r="X38" s="441">
        <v>-82702</v>
      </c>
      <c r="Y38" s="441">
        <v>-32175</v>
      </c>
      <c r="Z38" s="441">
        <v>-31935</v>
      </c>
      <c r="AA38" s="441">
        <v>-31399</v>
      </c>
      <c r="AB38" s="441">
        <v>-34166.875999999997</v>
      </c>
      <c r="AC38" s="441">
        <v>-30787.342000000001</v>
      </c>
    </row>
    <row r="39" spans="1:29" ht="15" thickBot="1" x14ac:dyDescent="0.4">
      <c r="A39" s="175" t="s">
        <v>285</v>
      </c>
      <c r="B39" s="169"/>
      <c r="C39" s="176">
        <f t="shared" ref="C39:X39" si="7">SUM(C34:C38)</f>
        <v>0</v>
      </c>
      <c r="D39" s="176">
        <f t="shared" si="7"/>
        <v>-851</v>
      </c>
      <c r="E39" s="176">
        <f t="shared" si="7"/>
        <v>3388</v>
      </c>
      <c r="F39" s="176">
        <f t="shared" si="7"/>
        <v>-1102</v>
      </c>
      <c r="G39" s="176">
        <f t="shared" si="7"/>
        <v>3461</v>
      </c>
      <c r="H39" s="176">
        <f t="shared" si="7"/>
        <v>2869</v>
      </c>
      <c r="I39" s="176">
        <f t="shared" si="7"/>
        <v>4338</v>
      </c>
      <c r="J39" s="176">
        <f t="shared" si="7"/>
        <v>111628</v>
      </c>
      <c r="K39" s="176">
        <f t="shared" si="7"/>
        <v>95754</v>
      </c>
      <c r="L39" s="176">
        <f t="shared" si="7"/>
        <v>136612</v>
      </c>
      <c r="M39" s="176">
        <f t="shared" si="7"/>
        <v>216377.33255000005</v>
      </c>
      <c r="N39" s="176">
        <f t="shared" si="7"/>
        <v>1434008</v>
      </c>
      <c r="O39" s="176">
        <f t="shared" si="7"/>
        <v>298339.43104000017</v>
      </c>
      <c r="P39" s="176">
        <f t="shared" si="7"/>
        <v>197802</v>
      </c>
      <c r="Q39" s="176">
        <f t="shared" si="7"/>
        <v>290129</v>
      </c>
      <c r="R39" s="176">
        <f t="shared" si="7"/>
        <v>219216.60585999989</v>
      </c>
      <c r="S39" s="176">
        <f t="shared" si="7"/>
        <v>29520.262209999943</v>
      </c>
      <c r="T39" s="176">
        <f t="shared" si="7"/>
        <v>59192.411959999881</v>
      </c>
      <c r="U39" s="176">
        <f t="shared" si="7"/>
        <v>81736.530799999979</v>
      </c>
      <c r="V39" s="176">
        <f t="shared" si="7"/>
        <v>58887</v>
      </c>
      <c r="W39" s="176">
        <f t="shared" si="7"/>
        <v>195763</v>
      </c>
      <c r="X39" s="176">
        <f t="shared" si="7"/>
        <v>-63789</v>
      </c>
      <c r="Y39" s="176">
        <f>SUM(Y34:Y38)</f>
        <v>161314</v>
      </c>
      <c r="Z39" s="176">
        <f>SUM(Z34:Z38)</f>
        <v>110725.00000000006</v>
      </c>
      <c r="AA39" s="176">
        <f>SUM(AA34:AA38)</f>
        <v>44506.159410000051</v>
      </c>
      <c r="AB39" s="176">
        <f>SUM(AB34:AB38)</f>
        <v>90108.548450000031</v>
      </c>
      <c r="AC39" s="176">
        <f>SUM(AC34:AC38)</f>
        <v>146601.23819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0FF9-20CE-4104-9C91-7B8860222E6F}">
  <sheetPr>
    <tabColor theme="9" tint="0.79998168889431442"/>
  </sheetPr>
  <dimension ref="A7:Q30"/>
  <sheetViews>
    <sheetView showGridLines="0" zoomScale="85" zoomScaleNormal="85" workbookViewId="0">
      <pane xSplit="1" ySplit="8" topLeftCell="B9" activePane="bottomRight" state="frozen"/>
      <selection activeCell="Z25" sqref="Z25"/>
      <selection pane="topRight" activeCell="Z25" sqref="Z25"/>
      <selection pane="bottomLeft" activeCell="Z25" sqref="Z25"/>
      <selection pane="bottomRight" activeCell="M6" sqref="M6"/>
    </sheetView>
  </sheetViews>
  <sheetFormatPr defaultColWidth="9.1796875" defaultRowHeight="14.5" outlineLevelCol="1" x14ac:dyDescent="0.35"/>
  <cols>
    <col min="1" max="1" width="44.453125" style="37" bestFit="1" customWidth="1"/>
    <col min="2" max="2" width="3.1796875" customWidth="1"/>
    <col min="3" max="10" width="9.54296875" style="37" hidden="1" customWidth="1" outlineLevel="1"/>
    <col min="11" max="11" width="9.54296875" style="37" bestFit="1" customWidth="1" collapsed="1"/>
    <col min="12" max="17" width="9.54296875" style="37" bestFit="1" customWidth="1"/>
    <col min="18" max="16384" width="9.1796875" style="37"/>
  </cols>
  <sheetData>
    <row r="7" spans="1:17" x14ac:dyDescent="0.35">
      <c r="A7" s="41" t="s">
        <v>644</v>
      </c>
      <c r="B7" s="168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5" thickBot="1" x14ac:dyDescent="0.4">
      <c r="A8" s="589" t="s">
        <v>645</v>
      </c>
      <c r="C8" s="590" t="s">
        <v>69</v>
      </c>
      <c r="D8" s="590" t="s">
        <v>70</v>
      </c>
      <c r="E8" s="590" t="s">
        <v>71</v>
      </c>
      <c r="F8" s="590" t="s">
        <v>72</v>
      </c>
      <c r="G8" s="590" t="s">
        <v>73</v>
      </c>
      <c r="H8" s="590" t="s">
        <v>74</v>
      </c>
      <c r="I8" s="590" t="s">
        <v>75</v>
      </c>
      <c r="J8" s="590" t="s">
        <v>76</v>
      </c>
      <c r="K8" s="590" t="s">
        <v>77</v>
      </c>
      <c r="L8" s="590" t="s">
        <v>78</v>
      </c>
      <c r="M8" s="590" t="s">
        <v>79</v>
      </c>
      <c r="N8" s="590" t="s">
        <v>80</v>
      </c>
      <c r="O8" s="590" t="s">
        <v>81</v>
      </c>
      <c r="P8" s="590" t="s">
        <v>82</v>
      </c>
      <c r="Q8" s="594" t="s">
        <v>83</v>
      </c>
    </row>
    <row r="9" spans="1:17" ht="15" thickBot="1" x14ac:dyDescent="0.4">
      <c r="A9" s="175" t="s">
        <v>246</v>
      </c>
      <c r="C9" s="176">
        <f t="shared" ref="C9:M9" si="0">SUM(C10:C11)</f>
        <v>43462.41988999999</v>
      </c>
      <c r="D9" s="176">
        <f t="shared" si="0"/>
        <v>61896.58011000001</v>
      </c>
      <c r="E9" s="176">
        <f t="shared" si="0"/>
        <v>84807.140649999987</v>
      </c>
      <c r="F9" s="176">
        <f t="shared" si="0"/>
        <v>138209.80521000002</v>
      </c>
      <c r="G9" s="176">
        <f t="shared" si="0"/>
        <v>205955.76048999999</v>
      </c>
      <c r="H9" s="176">
        <f t="shared" si="0"/>
        <v>254753</v>
      </c>
      <c r="I9" s="176">
        <f t="shared" si="0"/>
        <v>249736.62753000006</v>
      </c>
      <c r="J9" s="176">
        <f t="shared" si="0"/>
        <v>324757.62337999995</v>
      </c>
      <c r="K9" s="176">
        <f t="shared" si="0"/>
        <v>286252.41719000001</v>
      </c>
      <c r="L9" s="176">
        <f t="shared" si="0"/>
        <v>286262.58280999999</v>
      </c>
      <c r="M9" s="176">
        <f t="shared" si="0"/>
        <v>312548.17930000013</v>
      </c>
      <c r="N9" s="176">
        <f>SUM(N10:N11)</f>
        <v>315193.6871599998</v>
      </c>
      <c r="O9" s="176">
        <f>SUM(O10:O11)</f>
        <v>313822.17221999995</v>
      </c>
      <c r="P9" s="176">
        <f>SUM(P10:P11)</f>
        <v>324294.50694000005</v>
      </c>
      <c r="Q9" s="176">
        <f>SUM(Q10:Q11)</f>
        <v>342075.48433999997</v>
      </c>
    </row>
    <row r="10" spans="1:17" x14ac:dyDescent="0.35">
      <c r="A10" s="172" t="s">
        <v>627</v>
      </c>
      <c r="C10" s="441">
        <v>43027.41988999999</v>
      </c>
      <c r="D10" s="441">
        <v>61896.58011000001</v>
      </c>
      <c r="E10" s="441">
        <v>84522.825259999983</v>
      </c>
      <c r="F10" s="441">
        <v>127404.43567000002</v>
      </c>
      <c r="G10" s="441">
        <v>199351.93957999998</v>
      </c>
      <c r="H10" s="441">
        <v>245825</v>
      </c>
      <c r="I10" s="441">
        <v>264733.79933000007</v>
      </c>
      <c r="J10" s="441">
        <v>321560.33950999996</v>
      </c>
      <c r="K10" s="441">
        <v>290726.86193000001</v>
      </c>
      <c r="L10" s="441">
        <v>263215.13806999999</v>
      </c>
      <c r="M10" s="441">
        <v>327714.24514000013</v>
      </c>
      <c r="N10" s="441">
        <v>315066.19745999982</v>
      </c>
      <c r="O10" s="441">
        <v>313822.17221999995</v>
      </c>
      <c r="P10" s="441">
        <v>324291.04274000006</v>
      </c>
      <c r="Q10" s="441">
        <v>342075.48433999997</v>
      </c>
    </row>
    <row r="11" spans="1:17" ht="15" thickBot="1" x14ac:dyDescent="0.4">
      <c r="A11" s="172" t="s">
        <v>254</v>
      </c>
      <c r="C11" s="441">
        <v>435</v>
      </c>
      <c r="D11" s="441"/>
      <c r="E11" s="441">
        <v>284.31538999999992</v>
      </c>
      <c r="F11" s="441">
        <v>10805.36954</v>
      </c>
      <c r="G11" s="441">
        <v>6603.8209100000004</v>
      </c>
      <c r="H11" s="441">
        <v>8928</v>
      </c>
      <c r="I11" s="441">
        <v>-14997.1718</v>
      </c>
      <c r="J11" s="441">
        <v>3197.2838699999998</v>
      </c>
      <c r="K11" s="441">
        <v>-4474.4447399999981</v>
      </c>
      <c r="L11" s="441">
        <v>23047.444739999999</v>
      </c>
      <c r="M11" s="441">
        <v>-15166.065839999999</v>
      </c>
      <c r="N11" s="441">
        <v>127.4897</v>
      </c>
      <c r="O11" s="441"/>
      <c r="P11" s="441">
        <v>3.4641999999999999</v>
      </c>
      <c r="Q11" s="441">
        <v>0</v>
      </c>
    </row>
    <row r="12" spans="1:17" ht="15" thickBot="1" x14ac:dyDescent="0.4">
      <c r="A12" s="175" t="s">
        <v>305</v>
      </c>
      <c r="C12" s="176">
        <v>-2730.0229899999995</v>
      </c>
      <c r="D12" s="176">
        <v>-5822.3765100000001</v>
      </c>
      <c r="E12" s="176">
        <v>-9120.4472999999998</v>
      </c>
      <c r="F12" s="176">
        <v>-11964.35102</v>
      </c>
      <c r="G12" s="176">
        <v>-20580.2654</v>
      </c>
      <c r="H12" s="176">
        <v>-24699</v>
      </c>
      <c r="I12" s="176">
        <v>-26939.261929999993</v>
      </c>
      <c r="J12" s="176">
        <v>-31061.681969999991</v>
      </c>
      <c r="K12" s="176">
        <v>-31723.646270000001</v>
      </c>
      <c r="L12" s="176">
        <v>-29346.338809999997</v>
      </c>
      <c r="M12" s="176">
        <v>-30559.461899999995</v>
      </c>
      <c r="N12" s="176">
        <v>-31955.521330000003</v>
      </c>
      <c r="O12" s="176">
        <v>-31384.860349999999</v>
      </c>
      <c r="P12" s="176">
        <v>-31824.359770000006</v>
      </c>
      <c r="Q12" s="176">
        <v>-31703.982119999993</v>
      </c>
    </row>
    <row r="13" spans="1:17" ht="15" thickBot="1" x14ac:dyDescent="0.4">
      <c r="A13" s="175" t="s">
        <v>256</v>
      </c>
      <c r="C13" s="442">
        <f t="shared" ref="C13:P13" si="1">C9+C12</f>
        <v>40732.396899999992</v>
      </c>
      <c r="D13" s="442">
        <f t="shared" si="1"/>
        <v>56074.203600000008</v>
      </c>
      <c r="E13" s="442">
        <f t="shared" si="1"/>
        <v>75686.693349999987</v>
      </c>
      <c r="F13" s="442">
        <f t="shared" si="1"/>
        <v>126245.45419000002</v>
      </c>
      <c r="G13" s="442">
        <f t="shared" si="1"/>
        <v>185375.49508999998</v>
      </c>
      <c r="H13" s="442">
        <f t="shared" si="1"/>
        <v>230054</v>
      </c>
      <c r="I13" s="442">
        <f t="shared" si="1"/>
        <v>222797.36560000008</v>
      </c>
      <c r="J13" s="442">
        <f t="shared" si="1"/>
        <v>293695.94140999997</v>
      </c>
      <c r="K13" s="442">
        <f t="shared" si="1"/>
        <v>254528.77092000001</v>
      </c>
      <c r="L13" s="442">
        <f t="shared" si="1"/>
        <v>256916.24400000001</v>
      </c>
      <c r="M13" s="442">
        <f t="shared" si="1"/>
        <v>281988.71740000014</v>
      </c>
      <c r="N13" s="442">
        <f t="shared" si="1"/>
        <v>283238.16582999978</v>
      </c>
      <c r="O13" s="442">
        <f t="shared" si="1"/>
        <v>282437.31186999998</v>
      </c>
      <c r="P13" s="442">
        <f t="shared" si="1"/>
        <v>292470.14717000007</v>
      </c>
      <c r="Q13" s="442">
        <f>Q9+Q12</f>
        <v>310371.50221999997</v>
      </c>
    </row>
    <row r="14" spans="1:17" ht="15" thickBot="1" x14ac:dyDescent="0.4">
      <c r="A14" s="175" t="s">
        <v>264</v>
      </c>
      <c r="C14" s="176">
        <f t="shared" ref="C14:P14" si="2">SUM(C15:C19)</f>
        <v>-1670</v>
      </c>
      <c r="D14" s="176">
        <f t="shared" si="2"/>
        <v>-5003</v>
      </c>
      <c r="E14" s="176">
        <f t="shared" si="2"/>
        <v>-5114.4227800000008</v>
      </c>
      <c r="F14" s="176">
        <f t="shared" si="2"/>
        <v>-13920.58641</v>
      </c>
      <c r="G14" s="176">
        <f t="shared" si="2"/>
        <v>-7123.0956799999994</v>
      </c>
      <c r="H14" s="176">
        <f t="shared" si="2"/>
        <v>-9167.6487899999993</v>
      </c>
      <c r="I14" s="176">
        <f t="shared" si="2"/>
        <v>-17801</v>
      </c>
      <c r="J14" s="176">
        <f t="shared" si="2"/>
        <v>-17358</v>
      </c>
      <c r="K14" s="176">
        <f t="shared" si="2"/>
        <v>-14503.586230000001</v>
      </c>
      <c r="L14" s="176">
        <f t="shared" si="2"/>
        <v>-18001.413769999999</v>
      </c>
      <c r="M14" s="176">
        <f t="shared" si="2"/>
        <v>-16652.150629999996</v>
      </c>
      <c r="N14" s="176">
        <f t="shared" si="2"/>
        <v>-22709.337020000014</v>
      </c>
      <c r="O14" s="176">
        <f t="shared" si="2"/>
        <v>-19521.960860000003</v>
      </c>
      <c r="P14" s="176">
        <f t="shared" si="2"/>
        <v>-17875.949920000003</v>
      </c>
      <c r="Q14" s="176">
        <f>SUM(Q15:Q19)</f>
        <v>-26227.460220000004</v>
      </c>
    </row>
    <row r="15" spans="1:17" x14ac:dyDescent="0.35">
      <c r="A15" s="172" t="s">
        <v>265</v>
      </c>
      <c r="C15" s="441">
        <v>-764</v>
      </c>
      <c r="D15" s="441">
        <v>-2726</v>
      </c>
      <c r="E15" s="441">
        <v>-3049.2834800000001</v>
      </c>
      <c r="F15" s="441">
        <v>-9582.9867699999995</v>
      </c>
      <c r="G15" s="441">
        <v>-4397.007889999999</v>
      </c>
      <c r="H15" s="441">
        <v>-3063.1216599999998</v>
      </c>
      <c r="I15" s="441">
        <v>-9956</v>
      </c>
      <c r="J15" s="441">
        <v>-8386</v>
      </c>
      <c r="K15" s="441">
        <v>-8406.9942300000002</v>
      </c>
      <c r="L15" s="441">
        <v>-8592.0057699999998</v>
      </c>
      <c r="M15" s="441">
        <v>-8889.2125899999992</v>
      </c>
      <c r="N15" s="441">
        <v>-10526.809570000001</v>
      </c>
      <c r="O15" s="441">
        <v>-10090.622150000003</v>
      </c>
      <c r="P15" s="441">
        <v>-9472.1843899999949</v>
      </c>
      <c r="Q15" s="441">
        <v>-11123.551640000005</v>
      </c>
    </row>
    <row r="16" spans="1:17" x14ac:dyDescent="0.35">
      <c r="A16" s="172" t="s">
        <v>266</v>
      </c>
      <c r="C16" s="441">
        <v>-119</v>
      </c>
      <c r="D16" s="441">
        <v>-72</v>
      </c>
      <c r="E16" s="441">
        <v>-204.49114000000003</v>
      </c>
      <c r="F16" s="441">
        <v>-212.13924</v>
      </c>
      <c r="G16" s="441">
        <v>-149.87256000000002</v>
      </c>
      <c r="H16" s="441">
        <v>-268.23608999999999</v>
      </c>
      <c r="I16" s="441">
        <v>-384</v>
      </c>
      <c r="J16" s="441">
        <v>-633</v>
      </c>
      <c r="K16" s="441">
        <v>-323.70368999999999</v>
      </c>
      <c r="L16" s="441">
        <v>-662.29630999999995</v>
      </c>
      <c r="M16" s="441">
        <v>-289.28607000000011</v>
      </c>
      <c r="N16" s="441">
        <v>-992.90796</v>
      </c>
      <c r="O16" s="441">
        <v>-987.9697799999999</v>
      </c>
      <c r="P16" s="441">
        <v>-14139.055640000004</v>
      </c>
      <c r="Q16" s="441">
        <v>-12080.454149999996</v>
      </c>
    </row>
    <row r="17" spans="1:17" x14ac:dyDescent="0.35">
      <c r="A17" s="172" t="s">
        <v>267</v>
      </c>
      <c r="C17" s="441">
        <v>-871</v>
      </c>
      <c r="D17" s="441">
        <v>-1661</v>
      </c>
      <c r="E17" s="441">
        <v>-1584.0815300000002</v>
      </c>
      <c r="F17" s="441">
        <v>-3621.3896300000001</v>
      </c>
      <c r="G17" s="441">
        <v>-2159.3326499999998</v>
      </c>
      <c r="H17" s="441">
        <v>-5449.2910400000001</v>
      </c>
      <c r="I17" s="441">
        <v>-5983</v>
      </c>
      <c r="J17" s="441">
        <v>-6924</v>
      </c>
      <c r="K17" s="441">
        <v>-4488.7892499999998</v>
      </c>
      <c r="L17" s="441">
        <v>-8626.2107500000002</v>
      </c>
      <c r="M17" s="441">
        <v>-8122.4132299999983</v>
      </c>
      <c r="N17" s="441">
        <v>-9105.356090000012</v>
      </c>
      <c r="O17" s="441">
        <v>-7960.9851900000003</v>
      </c>
      <c r="P17" s="441">
        <v>6313.3294100000003</v>
      </c>
      <c r="Q17" s="441">
        <v>-345.46456999999987</v>
      </c>
    </row>
    <row r="18" spans="1:17" x14ac:dyDescent="0.35">
      <c r="A18" s="172" t="s">
        <v>633</v>
      </c>
      <c r="C18" s="441"/>
      <c r="D18" s="441"/>
      <c r="E18" s="441"/>
      <c r="F18" s="441">
        <v>0</v>
      </c>
      <c r="G18" s="441">
        <v>0</v>
      </c>
      <c r="H18" s="441"/>
      <c r="I18" s="441"/>
      <c r="J18" s="441">
        <v>0</v>
      </c>
      <c r="K18" s="441">
        <v>0</v>
      </c>
      <c r="L18" s="441">
        <v>0</v>
      </c>
      <c r="M18" s="441">
        <v>0</v>
      </c>
      <c r="N18" s="441">
        <v>0</v>
      </c>
      <c r="O18" s="441">
        <v>0</v>
      </c>
      <c r="P18" s="441">
        <v>0</v>
      </c>
      <c r="Q18" s="441">
        <v>0</v>
      </c>
    </row>
    <row r="19" spans="1:17" x14ac:dyDescent="0.35">
      <c r="A19" s="172" t="s">
        <v>270</v>
      </c>
      <c r="C19" s="441">
        <v>84</v>
      </c>
      <c r="D19" s="441">
        <v>-544</v>
      </c>
      <c r="E19" s="441">
        <v>-276.5666299999998</v>
      </c>
      <c r="F19" s="441">
        <v>-504.07076999999998</v>
      </c>
      <c r="G19" s="441">
        <v>-416.88258000000002</v>
      </c>
      <c r="H19" s="441">
        <v>-387</v>
      </c>
      <c r="I19" s="441">
        <v>-1478</v>
      </c>
      <c r="J19" s="441">
        <v>-1415</v>
      </c>
      <c r="K19" s="441">
        <v>-1284.09906</v>
      </c>
      <c r="L19" s="441">
        <v>-120.90093999999999</v>
      </c>
      <c r="M19" s="441">
        <v>648.76126000000022</v>
      </c>
      <c r="N19" s="441">
        <v>-2084.2633999999985</v>
      </c>
      <c r="O19" s="441">
        <v>-482.38373999999999</v>
      </c>
      <c r="P19" s="441">
        <v>-578.03930000000014</v>
      </c>
      <c r="Q19" s="441">
        <v>-2677.9898600000001</v>
      </c>
    </row>
    <row r="20" spans="1:17" x14ac:dyDescent="0.35">
      <c r="A20" s="596" t="s">
        <v>272</v>
      </c>
      <c r="C20" s="595">
        <f t="shared" ref="C20:P20" si="3">SUM(C13:C14)</f>
        <v>39062.396899999992</v>
      </c>
      <c r="D20" s="595">
        <f t="shared" si="3"/>
        <v>51071.203600000008</v>
      </c>
      <c r="E20" s="595">
        <f t="shared" si="3"/>
        <v>70572.270569999993</v>
      </c>
      <c r="F20" s="595">
        <f t="shared" si="3"/>
        <v>112324.86778000002</v>
      </c>
      <c r="G20" s="595">
        <f t="shared" si="3"/>
        <v>178252.39940999998</v>
      </c>
      <c r="H20" s="595">
        <f t="shared" si="3"/>
        <v>220886.35120999999</v>
      </c>
      <c r="I20" s="595">
        <f t="shared" si="3"/>
        <v>204996.36560000008</v>
      </c>
      <c r="J20" s="595">
        <f t="shared" si="3"/>
        <v>276337.94140999997</v>
      </c>
      <c r="K20" s="595">
        <f t="shared" si="3"/>
        <v>240025.18469000002</v>
      </c>
      <c r="L20" s="595">
        <f t="shared" si="3"/>
        <v>238914.83023000002</v>
      </c>
      <c r="M20" s="595">
        <f t="shared" si="3"/>
        <v>265336.56677000015</v>
      </c>
      <c r="N20" s="595">
        <f t="shared" si="3"/>
        <v>260528.82880999977</v>
      </c>
      <c r="O20" s="595">
        <f t="shared" si="3"/>
        <v>262915.35100999998</v>
      </c>
      <c r="P20" s="595">
        <f t="shared" si="3"/>
        <v>274594.19725000008</v>
      </c>
      <c r="Q20" s="595">
        <f>SUM(Q13:Q14)</f>
        <v>284144.04199999996</v>
      </c>
    </row>
    <row r="21" spans="1:17" ht="15" thickBot="1" x14ac:dyDescent="0.4">
      <c r="A21" s="172" t="s">
        <v>273</v>
      </c>
      <c r="C21" s="441">
        <v>-142.44229999999999</v>
      </c>
      <c r="D21" s="441">
        <v>-181.56352000000004</v>
      </c>
      <c r="E21" s="441">
        <v>-487.11209000000008</v>
      </c>
      <c r="F21" s="441">
        <v>-2924.3473199999999</v>
      </c>
      <c r="G21" s="441">
        <v>-7469.7377999999999</v>
      </c>
      <c r="H21" s="441">
        <v>-7807</v>
      </c>
      <c r="I21" s="441">
        <v>-14797.278490000001</v>
      </c>
      <c r="J21" s="441">
        <v>-18989.629589999993</v>
      </c>
      <c r="K21" s="441">
        <v>-22914.688829999999</v>
      </c>
      <c r="L21" s="441">
        <v>-30238.671939999993</v>
      </c>
      <c r="M21" s="441">
        <v>-206695.63923</v>
      </c>
      <c r="N21" s="441">
        <v>-110818.57176000002</v>
      </c>
      <c r="O21" s="441">
        <v>-134842.65187</v>
      </c>
      <c r="P21" s="441">
        <v>-124637.65657999998</v>
      </c>
      <c r="Q21" s="441">
        <v>-109899.00689999995</v>
      </c>
    </row>
    <row r="22" spans="1:17" ht="15" thickBot="1" x14ac:dyDescent="0.4">
      <c r="A22" s="175" t="s">
        <v>274</v>
      </c>
      <c r="C22" s="176">
        <f t="shared" ref="C22:L22" si="4">SUM(C20:C21)</f>
        <v>38919.95459999999</v>
      </c>
      <c r="D22" s="176">
        <f t="shared" si="4"/>
        <v>50889.640080000005</v>
      </c>
      <c r="E22" s="176">
        <f t="shared" si="4"/>
        <v>70085.158479999998</v>
      </c>
      <c r="F22" s="176">
        <f t="shared" si="4"/>
        <v>109400.52046000001</v>
      </c>
      <c r="G22" s="176">
        <f t="shared" si="4"/>
        <v>170782.66160999998</v>
      </c>
      <c r="H22" s="176">
        <f t="shared" si="4"/>
        <v>213079.35120999999</v>
      </c>
      <c r="I22" s="176">
        <f t="shared" si="4"/>
        <v>190199.08711000008</v>
      </c>
      <c r="J22" s="176">
        <f t="shared" si="4"/>
        <v>257348.31181999997</v>
      </c>
      <c r="K22" s="176">
        <f t="shared" si="4"/>
        <v>217110.49586000002</v>
      </c>
      <c r="L22" s="176">
        <f t="shared" si="4"/>
        <v>208676.15829000002</v>
      </c>
      <c r="M22" s="176">
        <f>SUM(M20:M21)</f>
        <v>58640.92754000015</v>
      </c>
      <c r="N22" s="176">
        <f>SUM(N20:N21)</f>
        <v>149710.25704999975</v>
      </c>
      <c r="O22" s="176">
        <f>SUM(O20:O21)</f>
        <v>128072.69913999998</v>
      </c>
      <c r="P22" s="176">
        <f>SUM(P20:P21)</f>
        <v>149956.5406700001</v>
      </c>
      <c r="Q22" s="176">
        <f>SUM(Q20:Q21)</f>
        <v>174245.03510000001</v>
      </c>
    </row>
    <row r="23" spans="1:17" ht="15" thickBot="1" x14ac:dyDescent="0.4">
      <c r="A23" s="175" t="s">
        <v>277</v>
      </c>
      <c r="C23" s="389">
        <f t="shared" ref="C23:L23" si="5">SUM(C24:C25)</f>
        <v>-5983.301239999977</v>
      </c>
      <c r="D23" s="389">
        <f t="shared" si="5"/>
        <v>46</v>
      </c>
      <c r="E23" s="389">
        <f t="shared" si="5"/>
        <v>-23399.770310000011</v>
      </c>
      <c r="F23" s="389">
        <f t="shared" si="5"/>
        <v>-37112.717479999999</v>
      </c>
      <c r="G23" s="389">
        <f t="shared" si="5"/>
        <v>-56363.894440000004</v>
      </c>
      <c r="H23" s="389">
        <f t="shared" si="5"/>
        <v>-142013</v>
      </c>
      <c r="I23" s="389">
        <f t="shared" si="5"/>
        <v>-178027.35047999999</v>
      </c>
      <c r="J23" s="389">
        <f t="shared" si="5"/>
        <v>-237624.97116000002</v>
      </c>
      <c r="K23" s="389">
        <f t="shared" si="5"/>
        <v>-173802.0042</v>
      </c>
      <c r="L23" s="389">
        <f t="shared" si="5"/>
        <v>-228015.9958</v>
      </c>
      <c r="M23" s="389">
        <f>SUM(M24:M25)</f>
        <v>-18966.670929999978</v>
      </c>
      <c r="N23" s="389">
        <f>SUM(N24:N25)</f>
        <v>-69673.944280000025</v>
      </c>
      <c r="O23" s="389">
        <f>SUM(O24:O25)</f>
        <v>-147306.60672999997</v>
      </c>
      <c r="P23" s="389">
        <f>SUM(P24:P25)</f>
        <v>-123185.7910400001</v>
      </c>
      <c r="Q23" s="389">
        <f>SUM(Q24:Q25)</f>
        <v>-58517.214729999905</v>
      </c>
    </row>
    <row r="24" spans="1:17" x14ac:dyDescent="0.35">
      <c r="A24" s="172" t="s">
        <v>278</v>
      </c>
      <c r="C24" s="441">
        <v>-8.6258000000001402</v>
      </c>
      <c r="D24" s="441">
        <v>766</v>
      </c>
      <c r="E24" s="441">
        <v>1182.9561299999984</v>
      </c>
      <c r="F24" s="441">
        <v>974.21344999999997</v>
      </c>
      <c r="G24" s="441">
        <v>366.36067999999989</v>
      </c>
      <c r="H24" s="441">
        <v>7052</v>
      </c>
      <c r="I24" s="441">
        <v>4983.6811099999995</v>
      </c>
      <c r="J24" s="441">
        <v>10141.31889</v>
      </c>
      <c r="K24" s="441">
        <v>18269.69397</v>
      </c>
      <c r="L24" s="441">
        <v>20988.30603</v>
      </c>
      <c r="M24" s="441">
        <v>28620.71931</v>
      </c>
      <c r="N24" s="441">
        <v>34471.824449999986</v>
      </c>
      <c r="O24" s="441">
        <v>30168.288079999995</v>
      </c>
      <c r="P24" s="441">
        <v>39383.53912999999</v>
      </c>
      <c r="Q24" s="441">
        <v>45371.845970000009</v>
      </c>
    </row>
    <row r="25" spans="1:17" ht="15" thickBot="1" x14ac:dyDescent="0.4">
      <c r="A25" s="172" t="s">
        <v>279</v>
      </c>
      <c r="C25" s="441">
        <v>-5974.6754399999772</v>
      </c>
      <c r="D25" s="441">
        <v>-720</v>
      </c>
      <c r="E25" s="441">
        <v>-24582.726440000009</v>
      </c>
      <c r="F25" s="441">
        <v>-38086.930930000002</v>
      </c>
      <c r="G25" s="441">
        <v>-56730.255120000002</v>
      </c>
      <c r="H25" s="441">
        <v>-149065</v>
      </c>
      <c r="I25" s="441">
        <v>-183011.03159</v>
      </c>
      <c r="J25" s="441">
        <v>-247766.29005000001</v>
      </c>
      <c r="K25" s="441">
        <v>-192071.69816999999</v>
      </c>
      <c r="L25" s="441">
        <v>-249004.30183000001</v>
      </c>
      <c r="M25" s="441">
        <v>-47587.390239999979</v>
      </c>
      <c r="N25" s="441">
        <v>-104145.76873000001</v>
      </c>
      <c r="O25" s="441">
        <v>-177474.89480999997</v>
      </c>
      <c r="P25" s="441">
        <v>-162569.33017000009</v>
      </c>
      <c r="Q25" s="441">
        <v>-103889.06069999991</v>
      </c>
    </row>
    <row r="26" spans="1:17" ht="15" thickBot="1" x14ac:dyDescent="0.4">
      <c r="A26" s="175" t="s">
        <v>314</v>
      </c>
      <c r="C26" s="176">
        <f t="shared" ref="C26:L26" si="6">SUM(C22:C23)</f>
        <v>32936.653360000011</v>
      </c>
      <c r="D26" s="176">
        <f t="shared" si="6"/>
        <v>50935.640080000005</v>
      </c>
      <c r="E26" s="176">
        <f t="shared" si="6"/>
        <v>46685.388169999991</v>
      </c>
      <c r="F26" s="176">
        <f t="shared" si="6"/>
        <v>72287.802980000008</v>
      </c>
      <c r="G26" s="176">
        <f t="shared" si="6"/>
        <v>114418.76716999998</v>
      </c>
      <c r="H26" s="176">
        <f t="shared" si="6"/>
        <v>71066.351209999993</v>
      </c>
      <c r="I26" s="176">
        <f t="shared" si="6"/>
        <v>12171.736630000087</v>
      </c>
      <c r="J26" s="176">
        <f t="shared" si="6"/>
        <v>19723.340659999958</v>
      </c>
      <c r="K26" s="176">
        <f t="shared" si="6"/>
        <v>43308.491660000029</v>
      </c>
      <c r="L26" s="176">
        <f t="shared" si="6"/>
        <v>-19339.837509999983</v>
      </c>
      <c r="M26" s="176">
        <f>SUM(M22:M23)</f>
        <v>39674.256610000171</v>
      </c>
      <c r="N26" s="176">
        <f>SUM(N22:N23)</f>
        <v>80036.312769999728</v>
      </c>
      <c r="O26" s="176">
        <f>SUM(O22:O23)</f>
        <v>-19233.907589999988</v>
      </c>
      <c r="P26" s="176">
        <f>SUM(P22:P23)</f>
        <v>26770.749630000006</v>
      </c>
      <c r="Q26" s="176">
        <f>SUM(Q22:Q23)</f>
        <v>115727.8203700001</v>
      </c>
    </row>
    <row r="27" spans="1:17" x14ac:dyDescent="0.35">
      <c r="A27" s="172" t="s">
        <v>635</v>
      </c>
      <c r="C27" s="441"/>
      <c r="D27" s="441"/>
      <c r="E27" s="441"/>
      <c r="F27" s="441">
        <v>-20939.98245</v>
      </c>
      <c r="G27" s="441">
        <v>-11629.133170000001</v>
      </c>
      <c r="H27" s="441">
        <v>-10143.336809999999</v>
      </c>
      <c r="I27" s="441">
        <v>-3574</v>
      </c>
      <c r="J27" s="441">
        <v>-12601</v>
      </c>
      <c r="K27" s="441">
        <v>-6364.1526599999997</v>
      </c>
      <c r="L27" s="441">
        <v>-23717.84734</v>
      </c>
      <c r="M27" s="441">
        <v>-66051</v>
      </c>
      <c r="N27" s="441">
        <v>58596.100689999999</v>
      </c>
      <c r="O27" s="441">
        <v>-10059.04709</v>
      </c>
      <c r="P27" s="441">
        <v>-11214.085149999999</v>
      </c>
      <c r="Q27" s="441">
        <v>-18574.509360000004</v>
      </c>
    </row>
    <row r="28" spans="1:17" x14ac:dyDescent="0.35">
      <c r="A28" s="172" t="s">
        <v>636</v>
      </c>
      <c r="C28" s="441">
        <v>-506</v>
      </c>
      <c r="D28" s="441">
        <v>506</v>
      </c>
      <c r="E28" s="441"/>
      <c r="F28" s="441">
        <v>6386</v>
      </c>
      <c r="G28" s="441">
        <v>6386</v>
      </c>
      <c r="H28" s="441">
        <v>2957</v>
      </c>
      <c r="I28" s="441">
        <v>2994</v>
      </c>
      <c r="J28" s="441">
        <v>7716</v>
      </c>
      <c r="K28" s="441"/>
      <c r="L28" s="441">
        <v>23318</v>
      </c>
      <c r="M28" s="441">
        <v>49564</v>
      </c>
      <c r="N28" s="441">
        <v>-72882</v>
      </c>
      <c r="O28" s="441"/>
      <c r="P28" s="441">
        <v>0</v>
      </c>
      <c r="Q28" s="441">
        <v>0</v>
      </c>
    </row>
    <row r="29" spans="1:17" ht="15" thickBot="1" x14ac:dyDescent="0.4">
      <c r="A29" s="172" t="s">
        <v>283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>
        <v>0</v>
      </c>
      <c r="O29" s="441"/>
      <c r="P29" s="441">
        <v>0</v>
      </c>
      <c r="Q29" s="441">
        <v>0</v>
      </c>
    </row>
    <row r="30" spans="1:17" ht="15" thickBot="1" x14ac:dyDescent="0.4">
      <c r="A30" s="175" t="s">
        <v>285</v>
      </c>
      <c r="C30" s="176">
        <f t="shared" ref="C30:L30" si="7">SUM(C26:C29)</f>
        <v>32430.653360000011</v>
      </c>
      <c r="D30" s="176">
        <f t="shared" si="7"/>
        <v>51441.640080000005</v>
      </c>
      <c r="E30" s="176">
        <f t="shared" si="7"/>
        <v>46685.388169999991</v>
      </c>
      <c r="F30" s="176">
        <f t="shared" si="7"/>
        <v>57733.820530000012</v>
      </c>
      <c r="G30" s="176">
        <f t="shared" si="7"/>
        <v>109175.63399999998</v>
      </c>
      <c r="H30" s="176">
        <f t="shared" si="7"/>
        <v>63880.014399999993</v>
      </c>
      <c r="I30" s="176">
        <f t="shared" si="7"/>
        <v>11591.736630000087</v>
      </c>
      <c r="J30" s="176">
        <f t="shared" si="7"/>
        <v>14838.340659999958</v>
      </c>
      <c r="K30" s="176">
        <f t="shared" si="7"/>
        <v>36944.339000000029</v>
      </c>
      <c r="L30" s="176">
        <f t="shared" si="7"/>
        <v>-19739.684849999983</v>
      </c>
      <c r="M30" s="176">
        <f>SUM(M26:M29)</f>
        <v>23187.256610000171</v>
      </c>
      <c r="N30" s="176">
        <f>SUM(N26:N29)</f>
        <v>65750.41345999972</v>
      </c>
      <c r="O30" s="176">
        <f>SUM(O26:O29)</f>
        <v>-29292.954679999988</v>
      </c>
      <c r="P30" s="176">
        <f>SUM(P26:P29)</f>
        <v>15556.664480000007</v>
      </c>
      <c r="Q30" s="176">
        <f>SUM(Q26:Q29)</f>
        <v>97153.311010000092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E053A-B47A-4A67-B508-118FE5E9C30C}">
  <sheetPr>
    <tabColor theme="9" tint="0.79998168889431442"/>
  </sheetPr>
  <dimension ref="A6:AN74"/>
  <sheetViews>
    <sheetView showGridLines="0" zoomScale="88" zoomScaleNormal="100" workbookViewId="0">
      <selection activeCell="G1" sqref="C1:G1048576"/>
    </sheetView>
  </sheetViews>
  <sheetFormatPr defaultColWidth="8.7265625" defaultRowHeight="14.5" outlineLevelCol="1" x14ac:dyDescent="0.35"/>
  <cols>
    <col min="1" max="1" width="56.453125" customWidth="1"/>
    <col min="2" max="2" width="2.453125" customWidth="1"/>
    <col min="3" max="3" width="0" style="37" hidden="1" customWidth="1" outlineLevel="1"/>
    <col min="4" max="7" width="9.1796875" hidden="1" customWidth="1" outlineLevel="1"/>
    <col min="8" max="8" width="9.1796875" customWidth="1" collapsed="1"/>
    <col min="9" max="9" width="9.1796875" customWidth="1"/>
  </cols>
  <sheetData>
    <row r="6" spans="1:40" x14ac:dyDescent="0.35">
      <c r="A6" s="41" t="s">
        <v>683</v>
      </c>
      <c r="C6" s="499" t="s">
        <v>923</v>
      </c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</row>
    <row r="7" spans="1:40" ht="15" thickBot="1" x14ac:dyDescent="0.4">
      <c r="A7" s="589" t="s">
        <v>245</v>
      </c>
      <c r="B7" s="169"/>
      <c r="C7" s="590" t="s">
        <v>72</v>
      </c>
      <c r="D7" s="590" t="s">
        <v>73</v>
      </c>
      <c r="E7" s="590" t="s">
        <v>74</v>
      </c>
      <c r="F7" s="590" t="s">
        <v>75</v>
      </c>
      <c r="G7" s="590" t="s">
        <v>76</v>
      </c>
      <c r="H7" s="590" t="s">
        <v>77</v>
      </c>
      <c r="I7" s="590" t="s">
        <v>78</v>
      </c>
      <c r="J7" s="590" t="s">
        <v>79</v>
      </c>
      <c r="K7" s="590" t="s">
        <v>80</v>
      </c>
      <c r="L7" s="590" t="s">
        <v>81</v>
      </c>
      <c r="M7" s="590" t="s">
        <v>82</v>
      </c>
      <c r="N7" s="594" t="s">
        <v>83</v>
      </c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</row>
    <row r="8" spans="1:40" ht="15" thickBot="1" x14ac:dyDescent="0.4">
      <c r="A8" s="175" t="s">
        <v>924</v>
      </c>
      <c r="B8" s="177"/>
      <c r="C8" s="176">
        <v>271105</v>
      </c>
      <c r="D8" s="176">
        <v>198416</v>
      </c>
      <c r="E8" s="176">
        <v>191403</v>
      </c>
      <c r="F8" s="176">
        <v>324240</v>
      </c>
      <c r="G8" s="176">
        <v>306995</v>
      </c>
      <c r="H8" s="176">
        <v>212302</v>
      </c>
      <c r="I8" s="176">
        <v>203998</v>
      </c>
      <c r="J8" s="176">
        <v>311171</v>
      </c>
      <c r="K8" s="176">
        <v>289548.00000000006</v>
      </c>
      <c r="L8" s="176">
        <v>252261</v>
      </c>
      <c r="M8" s="176">
        <v>215664.00000000003</v>
      </c>
      <c r="N8" s="176">
        <v>293369.11019999994</v>
      </c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</row>
    <row r="9" spans="1:40" ht="15" thickBot="1" x14ac:dyDescent="0.4">
      <c r="A9" s="175" t="s">
        <v>925</v>
      </c>
      <c r="B9" s="177"/>
      <c r="C9" s="176">
        <f t="shared" ref="C9:I9" si="0">+SUM(C10:C12)</f>
        <v>-9895</v>
      </c>
      <c r="D9" s="176">
        <f t="shared" si="0"/>
        <v>-7242</v>
      </c>
      <c r="E9" s="176">
        <f t="shared" si="0"/>
        <v>-8047</v>
      </c>
      <c r="F9" s="176">
        <f t="shared" si="0"/>
        <v>-13385</v>
      </c>
      <c r="G9" s="176">
        <f t="shared" si="0"/>
        <v>-13668</v>
      </c>
      <c r="H9" s="176">
        <f t="shared" si="0"/>
        <v>-8008</v>
      </c>
      <c r="I9" s="176">
        <f t="shared" si="0"/>
        <v>-7256</v>
      </c>
      <c r="J9" s="176">
        <f>+SUM(J10:J12)</f>
        <v>-11338</v>
      </c>
      <c r="K9" s="176">
        <f>+SUM(K10:K12)</f>
        <v>-10903.000000000004</v>
      </c>
      <c r="L9" s="176">
        <f>+SUM(L10:L12)</f>
        <v>-11343</v>
      </c>
      <c r="M9" s="176">
        <f>+SUM(M10:M12)</f>
        <v>-6328</v>
      </c>
      <c r="N9" s="176">
        <f>+SUM(N10:N12)</f>
        <v>-10141</v>
      </c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4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</row>
    <row r="10" spans="1:40" x14ac:dyDescent="0.35">
      <c r="A10" s="505" t="s">
        <v>926</v>
      </c>
      <c r="B10" s="169"/>
      <c r="C10" s="177">
        <v>-1762</v>
      </c>
      <c r="D10" s="177">
        <v>-1290</v>
      </c>
      <c r="E10" s="177">
        <v>-1433</v>
      </c>
      <c r="F10" s="177">
        <v>-2387</v>
      </c>
      <c r="G10" s="177">
        <v>-2448</v>
      </c>
      <c r="H10" s="177">
        <v>-1426</v>
      </c>
      <c r="I10" s="177">
        <v>-1292</v>
      </c>
      <c r="J10" s="177">
        <v>-2065</v>
      </c>
      <c r="K10" s="177">
        <v>-1961.0000000000002</v>
      </c>
      <c r="L10" s="177">
        <v>-1845</v>
      </c>
      <c r="M10" s="177">
        <v>-1299</v>
      </c>
      <c r="N10" s="177">
        <v>-1806</v>
      </c>
    </row>
    <row r="11" spans="1:40" x14ac:dyDescent="0.35">
      <c r="A11" s="505" t="s">
        <v>927</v>
      </c>
      <c r="B11" s="169"/>
      <c r="C11" s="177">
        <v>-8133</v>
      </c>
      <c r="D11" s="177">
        <v>-5952</v>
      </c>
      <c r="E11" s="177">
        <v>-6614</v>
      </c>
      <c r="F11" s="177">
        <v>-10998</v>
      </c>
      <c r="G11" s="177">
        <v>-11220</v>
      </c>
      <c r="H11" s="177">
        <v>-6582</v>
      </c>
      <c r="I11" s="177">
        <v>-5964</v>
      </c>
      <c r="J11" s="177">
        <v>-9245</v>
      </c>
      <c r="K11" s="177">
        <v>-9021.0000000000036</v>
      </c>
      <c r="L11" s="177">
        <v>-8543</v>
      </c>
      <c r="M11" s="177">
        <v>-5969</v>
      </c>
      <c r="N11" s="177">
        <v>-8335</v>
      </c>
    </row>
    <row r="12" spans="1:40" ht="15" thickBot="1" x14ac:dyDescent="0.4">
      <c r="A12" s="505" t="s">
        <v>928</v>
      </c>
      <c r="B12" s="169"/>
      <c r="C12" s="177"/>
      <c r="D12" s="177"/>
      <c r="E12" s="177"/>
      <c r="F12" s="177"/>
      <c r="G12" s="177"/>
      <c r="H12" s="177"/>
      <c r="I12" s="177"/>
      <c r="J12" s="177">
        <v>-28</v>
      </c>
      <c r="K12" s="177">
        <v>79</v>
      </c>
      <c r="L12" s="177">
        <v>-955</v>
      </c>
      <c r="M12" s="177">
        <v>940</v>
      </c>
      <c r="N12" s="177">
        <v>1.3877787807814457E-14</v>
      </c>
    </row>
    <row r="13" spans="1:40" ht="15" thickBot="1" x14ac:dyDescent="0.4">
      <c r="A13" s="175" t="s">
        <v>256</v>
      </c>
      <c r="B13" s="177"/>
      <c r="C13" s="176">
        <f>+C8+C9</f>
        <v>261210</v>
      </c>
      <c r="D13" s="176">
        <f t="shared" ref="D13:M13" si="1">+D8+D9</f>
        <v>191174</v>
      </c>
      <c r="E13" s="176">
        <f t="shared" si="1"/>
        <v>183356</v>
      </c>
      <c r="F13" s="176">
        <f t="shared" si="1"/>
        <v>310855</v>
      </c>
      <c r="G13" s="176">
        <f t="shared" si="1"/>
        <v>293327</v>
      </c>
      <c r="H13" s="176">
        <f t="shared" si="1"/>
        <v>204294</v>
      </c>
      <c r="I13" s="176">
        <f t="shared" si="1"/>
        <v>196742</v>
      </c>
      <c r="J13" s="176">
        <f t="shared" si="1"/>
        <v>299833</v>
      </c>
      <c r="K13" s="176">
        <f t="shared" si="1"/>
        <v>278645.00000000006</v>
      </c>
      <c r="L13" s="176">
        <f t="shared" si="1"/>
        <v>240918</v>
      </c>
      <c r="M13" s="176">
        <f t="shared" si="1"/>
        <v>209336.00000000003</v>
      </c>
      <c r="N13" s="176">
        <f>+N8+N9</f>
        <v>283228.11019999994</v>
      </c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4"/>
      <c r="AD13" s="504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</row>
    <row r="14" spans="1:40" x14ac:dyDescent="0.35">
      <c r="A14" s="506" t="s">
        <v>929</v>
      </c>
      <c r="B14" s="177"/>
      <c r="C14" s="503">
        <f>SUM(C15:C21)</f>
        <v>-58906</v>
      </c>
      <c r="D14" s="503">
        <f t="shared" ref="D14:M14" si="2">SUM(D15:D21)</f>
        <v>-58375</v>
      </c>
      <c r="E14" s="503">
        <f t="shared" si="2"/>
        <v>-71839</v>
      </c>
      <c r="F14" s="503">
        <f t="shared" si="2"/>
        <v>-110068</v>
      </c>
      <c r="G14" s="503">
        <f t="shared" si="2"/>
        <v>-79745</v>
      </c>
      <c r="H14" s="503">
        <f t="shared" si="2"/>
        <v>-67093</v>
      </c>
      <c r="I14" s="503">
        <f t="shared" si="2"/>
        <v>-70534</v>
      </c>
      <c r="J14" s="503">
        <f t="shared" si="2"/>
        <v>-68865</v>
      </c>
      <c r="K14" s="503">
        <f t="shared" si="2"/>
        <v>-64443.000000000058</v>
      </c>
      <c r="L14" s="503">
        <f t="shared" si="2"/>
        <v>-83151.392959999997</v>
      </c>
      <c r="M14" s="503">
        <f t="shared" si="2"/>
        <v>-77370</v>
      </c>
      <c r="N14" s="507">
        <f>SUM(N15:N21)</f>
        <v>-72335</v>
      </c>
    </row>
    <row r="15" spans="1:40" x14ac:dyDescent="0.35">
      <c r="A15" s="508" t="s">
        <v>930</v>
      </c>
      <c r="B15" s="177"/>
      <c r="C15" s="177">
        <v>-20258</v>
      </c>
      <c r="D15" s="177">
        <v>-19018</v>
      </c>
      <c r="E15" s="177">
        <v>-19077</v>
      </c>
      <c r="F15" s="177">
        <v>-21264</v>
      </c>
      <c r="G15" s="177">
        <v>-26895</v>
      </c>
      <c r="H15" s="177">
        <v>-19750</v>
      </c>
      <c r="I15" s="177">
        <v>-25506</v>
      </c>
      <c r="J15" s="177">
        <v>-26341</v>
      </c>
      <c r="K15" s="177">
        <v>-29412.999999999996</v>
      </c>
      <c r="L15" s="177">
        <v>-27763.94616</v>
      </c>
      <c r="M15" s="177">
        <v>-25286</v>
      </c>
      <c r="N15" s="177">
        <v>-28382</v>
      </c>
    </row>
    <row r="16" spans="1:40" x14ac:dyDescent="0.35">
      <c r="A16" s="508" t="s">
        <v>931</v>
      </c>
      <c r="B16" s="177"/>
      <c r="C16" s="177">
        <v>-12613</v>
      </c>
      <c r="D16" s="177">
        <v>-12039</v>
      </c>
      <c r="E16" s="177">
        <v>-12264</v>
      </c>
      <c r="F16" s="177">
        <v>-15466</v>
      </c>
      <c r="G16" s="177">
        <v>-15664</v>
      </c>
      <c r="H16" s="177">
        <v>-16439</v>
      </c>
      <c r="I16" s="177">
        <v>-16575</v>
      </c>
      <c r="J16" s="177">
        <v>-17665</v>
      </c>
      <c r="K16" s="177">
        <v>-18177</v>
      </c>
      <c r="L16" s="177">
        <v>-18045.446799999998</v>
      </c>
      <c r="M16" s="177">
        <v>-18252</v>
      </c>
      <c r="N16" s="177">
        <v>-19038</v>
      </c>
    </row>
    <row r="17" spans="1:40" x14ac:dyDescent="0.35">
      <c r="A17" s="508" t="s">
        <v>932</v>
      </c>
      <c r="B17" s="177"/>
      <c r="C17" s="177">
        <v>-11972</v>
      </c>
      <c r="D17" s="177">
        <v>-10764</v>
      </c>
      <c r="E17" s="177">
        <v>-21877</v>
      </c>
      <c r="F17" s="177">
        <v>-54337</v>
      </c>
      <c r="G17" s="177">
        <v>-31184</v>
      </c>
      <c r="H17" s="177">
        <v>-11481</v>
      </c>
      <c r="I17" s="177">
        <v>-1103</v>
      </c>
      <c r="J17" s="177">
        <v>-6103</v>
      </c>
      <c r="K17" s="177">
        <v>4291.9999999999982</v>
      </c>
      <c r="L17" s="177">
        <v>-12504</v>
      </c>
      <c r="M17" s="177">
        <v>-8625</v>
      </c>
      <c r="N17" s="177">
        <v>-2678</v>
      </c>
    </row>
    <row r="18" spans="1:40" x14ac:dyDescent="0.35">
      <c r="A18" s="508" t="s">
        <v>933</v>
      </c>
      <c r="B18" s="177"/>
      <c r="C18" s="177">
        <v>-4157</v>
      </c>
      <c r="D18" s="177">
        <v>-5054</v>
      </c>
      <c r="E18" s="177">
        <v>-6320</v>
      </c>
      <c r="F18" s="177">
        <v>-6827</v>
      </c>
      <c r="G18" s="177">
        <v>-6635</v>
      </c>
      <c r="H18" s="177">
        <v>-7033</v>
      </c>
      <c r="I18" s="177">
        <v>-8196</v>
      </c>
      <c r="J18" s="177">
        <v>-8817</v>
      </c>
      <c r="K18" s="177">
        <v>-5122</v>
      </c>
      <c r="L18" s="177">
        <v>-5502</v>
      </c>
      <c r="M18" s="177">
        <v>-7820</v>
      </c>
      <c r="N18" s="177">
        <v>-6568</v>
      </c>
    </row>
    <row r="19" spans="1:40" x14ac:dyDescent="0.35">
      <c r="A19" s="508" t="s">
        <v>934</v>
      </c>
      <c r="B19" s="177"/>
      <c r="C19" s="177">
        <v>0</v>
      </c>
      <c r="D19" s="177">
        <v>0</v>
      </c>
      <c r="E19" s="177">
        <v>0</v>
      </c>
      <c r="F19" s="177">
        <v>-402</v>
      </c>
      <c r="G19" s="177">
        <v>0</v>
      </c>
      <c r="H19" s="177">
        <v>0</v>
      </c>
      <c r="I19" s="177">
        <v>0</v>
      </c>
      <c r="J19" s="177">
        <v>-2431</v>
      </c>
      <c r="K19" s="177">
        <v>-6419</v>
      </c>
      <c r="L19" s="177">
        <v>-2190</v>
      </c>
      <c r="M19" s="177">
        <v>-4598</v>
      </c>
      <c r="N19" s="177">
        <v>-3576</v>
      </c>
    </row>
    <row r="20" spans="1:40" x14ac:dyDescent="0.35">
      <c r="A20" s="508" t="s">
        <v>935</v>
      </c>
      <c r="B20" s="179"/>
      <c r="C20" s="177">
        <v>-3576</v>
      </c>
      <c r="D20" s="177">
        <v>-2928</v>
      </c>
      <c r="E20" s="177">
        <v>-4561</v>
      </c>
      <c r="F20" s="177">
        <v>-4883</v>
      </c>
      <c r="G20" s="177">
        <v>-6664</v>
      </c>
      <c r="H20" s="177">
        <v>-4328</v>
      </c>
      <c r="I20" s="177">
        <v>-4935</v>
      </c>
      <c r="J20" s="177">
        <v>-3545</v>
      </c>
      <c r="K20" s="177">
        <v>-5632.0000000000018</v>
      </c>
      <c r="L20" s="177">
        <v>-3156</v>
      </c>
      <c r="M20" s="177">
        <v>-4870</v>
      </c>
      <c r="N20" s="177">
        <v>-3124</v>
      </c>
      <c r="T20" s="509"/>
    </row>
    <row r="21" spans="1:40" ht="15" thickBot="1" x14ac:dyDescent="0.4">
      <c r="A21" s="508" t="s">
        <v>270</v>
      </c>
      <c r="B21" s="177"/>
      <c r="C21" s="177">
        <v>-6330</v>
      </c>
      <c r="D21" s="177">
        <v>-8572</v>
      </c>
      <c r="E21" s="177">
        <v>-7740</v>
      </c>
      <c r="F21" s="177">
        <v>-6889</v>
      </c>
      <c r="G21" s="177">
        <v>7297</v>
      </c>
      <c r="H21" s="177">
        <v>-8062</v>
      </c>
      <c r="I21" s="177">
        <v>-14219</v>
      </c>
      <c r="J21" s="177">
        <v>-3962.9999999999991</v>
      </c>
      <c r="K21" s="177">
        <v>-3972.0000000000609</v>
      </c>
      <c r="L21" s="177">
        <f>-5096-4471-2194-563-1666</f>
        <v>-13990</v>
      </c>
      <c r="M21" s="177">
        <v>-7919.0000000000009</v>
      </c>
      <c r="N21" s="177">
        <v>-8969.0000000000018</v>
      </c>
      <c r="T21" s="509"/>
    </row>
    <row r="22" spans="1:40" ht="15" thickBot="1" x14ac:dyDescent="0.4">
      <c r="A22" s="175" t="s">
        <v>936</v>
      </c>
      <c r="B22" s="177"/>
      <c r="C22" s="176">
        <f>SUM(C23:C26)</f>
        <v>-12841</v>
      </c>
      <c r="D22" s="176">
        <f t="shared" ref="D22:M22" si="3">SUM(D23:D26)</f>
        <v>-8681</v>
      </c>
      <c r="E22" s="176">
        <f t="shared" si="3"/>
        <v>-9603</v>
      </c>
      <c r="F22" s="176">
        <f t="shared" si="3"/>
        <v>-10657</v>
      </c>
      <c r="G22" s="176">
        <f t="shared" si="3"/>
        <v>-82082</v>
      </c>
      <c r="H22" s="176">
        <f t="shared" si="3"/>
        <v>-25375</v>
      </c>
      <c r="I22" s="176">
        <f t="shared" si="3"/>
        <v>-12212</v>
      </c>
      <c r="J22" s="176">
        <f t="shared" si="3"/>
        <v>-10088</v>
      </c>
      <c r="K22" s="176">
        <f t="shared" si="3"/>
        <v>-19699.000000000007</v>
      </c>
      <c r="L22" s="176">
        <f t="shared" si="3"/>
        <v>-19347.281479999998</v>
      </c>
      <c r="M22" s="176">
        <f t="shared" si="3"/>
        <v>-7246</v>
      </c>
      <c r="N22" s="176">
        <f>SUM(N23:N26)</f>
        <v>-10596</v>
      </c>
      <c r="O22" s="503"/>
      <c r="P22" s="503"/>
      <c r="Q22" s="503"/>
      <c r="R22" s="503"/>
      <c r="S22" s="503"/>
      <c r="T22" s="510"/>
      <c r="U22" s="503"/>
      <c r="V22" s="503"/>
      <c r="W22" s="503"/>
      <c r="X22" s="503"/>
      <c r="Y22" s="503"/>
      <c r="Z22" s="503"/>
      <c r="AA22" s="503"/>
      <c r="AB22" s="503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/>
    </row>
    <row r="23" spans="1:40" x14ac:dyDescent="0.35">
      <c r="A23" s="508" t="s">
        <v>937</v>
      </c>
      <c r="B23" s="177"/>
      <c r="C23" s="177">
        <v>0</v>
      </c>
      <c r="D23" s="177">
        <v>0</v>
      </c>
      <c r="E23" s="177">
        <v>0</v>
      </c>
      <c r="F23" s="177">
        <v>0</v>
      </c>
      <c r="G23" s="177">
        <v>-68935</v>
      </c>
      <c r="H23" s="177">
        <v>0</v>
      </c>
      <c r="I23" s="177">
        <v>0</v>
      </c>
      <c r="J23" s="177">
        <v>0</v>
      </c>
      <c r="K23" s="177">
        <v>-14972</v>
      </c>
      <c r="L23" s="177">
        <v>0</v>
      </c>
      <c r="M23" s="177">
        <v>0</v>
      </c>
      <c r="N23" s="177"/>
      <c r="T23" s="509"/>
    </row>
    <row r="24" spans="1:40" x14ac:dyDescent="0.35">
      <c r="A24" s="508" t="s">
        <v>933</v>
      </c>
      <c r="B24" s="177"/>
      <c r="C24" s="177">
        <v>-1776</v>
      </c>
      <c r="D24" s="177">
        <v>-4345</v>
      </c>
      <c r="E24" s="177">
        <v>-4356</v>
      </c>
      <c r="F24" s="177">
        <v>-4418</v>
      </c>
      <c r="G24" s="177">
        <v>-4465</v>
      </c>
      <c r="H24" s="177">
        <v>-20139</v>
      </c>
      <c r="I24" s="177">
        <v>-5170</v>
      </c>
      <c r="J24" s="177">
        <v>-4162</v>
      </c>
      <c r="K24" s="177">
        <v>8456.9999999999964</v>
      </c>
      <c r="L24" s="177">
        <v>-5606.2814799999996</v>
      </c>
      <c r="M24" s="177">
        <v>-5158</v>
      </c>
      <c r="N24" s="177">
        <v>-6376</v>
      </c>
      <c r="T24" s="509"/>
    </row>
    <row r="25" spans="1:40" x14ac:dyDescent="0.35">
      <c r="A25" s="508" t="s">
        <v>935</v>
      </c>
      <c r="B25" s="169"/>
      <c r="C25" s="177">
        <v>-5554</v>
      </c>
      <c r="D25" s="177">
        <v>-2602</v>
      </c>
      <c r="E25" s="177">
        <v>-2736</v>
      </c>
      <c r="F25" s="177">
        <v>-4708</v>
      </c>
      <c r="G25" s="177">
        <v>-4885</v>
      </c>
      <c r="H25" s="177">
        <v>-4110</v>
      </c>
      <c r="I25" s="177">
        <v>-4916</v>
      </c>
      <c r="J25" s="177">
        <v>-4478</v>
      </c>
      <c r="K25" s="177">
        <v>-6130.0000000000009</v>
      </c>
      <c r="L25" s="177">
        <v>-13015</v>
      </c>
      <c r="M25" s="177">
        <v>-488</v>
      </c>
      <c r="N25" s="177">
        <v>-2630</v>
      </c>
      <c r="T25" s="509"/>
      <c r="U25" s="509"/>
    </row>
    <row r="26" spans="1:40" x14ac:dyDescent="0.35">
      <c r="A26" s="508" t="s">
        <v>270</v>
      </c>
      <c r="B26" s="169"/>
      <c r="C26" s="177">
        <v>-5511</v>
      </c>
      <c r="D26" s="177">
        <v>-1734</v>
      </c>
      <c r="E26" s="177">
        <v>-2511</v>
      </c>
      <c r="F26" s="177">
        <v>-1531</v>
      </c>
      <c r="G26" s="177">
        <v>-3797</v>
      </c>
      <c r="H26" s="177">
        <v>-1126</v>
      </c>
      <c r="I26" s="177">
        <v>-2126</v>
      </c>
      <c r="J26" s="177">
        <v>-1448</v>
      </c>
      <c r="K26" s="177">
        <v>-7054.0000000000018</v>
      </c>
      <c r="L26" s="177">
        <f>-289-215-222</f>
        <v>-726</v>
      </c>
      <c r="M26" s="177">
        <v>-1600</v>
      </c>
      <c r="N26" s="177">
        <v>-1590</v>
      </c>
      <c r="T26" s="509"/>
      <c r="U26" s="509"/>
    </row>
    <row r="27" spans="1:40" x14ac:dyDescent="0.35">
      <c r="A27" s="505" t="s">
        <v>938</v>
      </c>
      <c r="B27" s="169"/>
      <c r="C27" s="177">
        <v>631</v>
      </c>
      <c r="D27" s="177">
        <v>0</v>
      </c>
      <c r="E27" s="177">
        <v>0</v>
      </c>
      <c r="F27" s="177">
        <v>0</v>
      </c>
      <c r="G27" s="177">
        <v>1159</v>
      </c>
      <c r="H27" s="177">
        <v>0</v>
      </c>
      <c r="I27" s="177">
        <v>0</v>
      </c>
      <c r="J27" s="177">
        <v>0</v>
      </c>
      <c r="K27" s="177">
        <v>0</v>
      </c>
      <c r="L27" s="177">
        <v>-445</v>
      </c>
      <c r="M27" s="177">
        <v>-36</v>
      </c>
      <c r="N27" s="177">
        <v>-764</v>
      </c>
      <c r="T27" s="509"/>
      <c r="U27" s="510"/>
    </row>
    <row r="28" spans="1:40" x14ac:dyDescent="0.35">
      <c r="A28" s="505" t="s">
        <v>939</v>
      </c>
      <c r="B28" s="169"/>
      <c r="C28" s="177">
        <v>-1085</v>
      </c>
      <c r="D28" s="177">
        <v>0</v>
      </c>
      <c r="E28" s="177">
        <v>0</v>
      </c>
      <c r="F28" s="177">
        <v>557</v>
      </c>
      <c r="G28" s="177">
        <v>-557</v>
      </c>
      <c r="H28" s="177">
        <v>0</v>
      </c>
      <c r="I28" s="177">
        <v>0</v>
      </c>
      <c r="J28" s="177">
        <v>0</v>
      </c>
      <c r="K28" s="177">
        <v>0</v>
      </c>
      <c r="L28" s="177"/>
      <c r="M28" s="177">
        <v>0</v>
      </c>
      <c r="N28" s="177"/>
      <c r="U28" s="509"/>
    </row>
    <row r="29" spans="1:40" x14ac:dyDescent="0.35">
      <c r="A29" s="596" t="s">
        <v>272</v>
      </c>
      <c r="B29" s="177"/>
      <c r="C29" s="595">
        <f>+C13+C14+C22+C27+C28</f>
        <v>189009</v>
      </c>
      <c r="D29" s="595">
        <f t="shared" ref="D29:M29" si="4">+D13+D14+D22+D27+D28</f>
        <v>124118</v>
      </c>
      <c r="E29" s="595">
        <f t="shared" si="4"/>
        <v>101914</v>
      </c>
      <c r="F29" s="595">
        <f t="shared" si="4"/>
        <v>190687</v>
      </c>
      <c r="G29" s="595">
        <f t="shared" si="4"/>
        <v>132102</v>
      </c>
      <c r="H29" s="595">
        <f t="shared" si="4"/>
        <v>111826</v>
      </c>
      <c r="I29" s="595">
        <f t="shared" si="4"/>
        <v>113996</v>
      </c>
      <c r="J29" s="595">
        <f t="shared" si="4"/>
        <v>220880</v>
      </c>
      <c r="K29" s="595">
        <f t="shared" si="4"/>
        <v>194503</v>
      </c>
      <c r="L29" s="595">
        <f t="shared" si="4"/>
        <v>137974.32556</v>
      </c>
      <c r="M29" s="595">
        <f t="shared" si="4"/>
        <v>124684.00000000003</v>
      </c>
      <c r="N29" s="595">
        <f>+N13+N14+N22+N27+N28</f>
        <v>199533.11019999994</v>
      </c>
      <c r="O29" s="511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3"/>
      <c r="AD29" s="514"/>
      <c r="AE29" s="514"/>
      <c r="AF29" s="514"/>
      <c r="AG29" s="514"/>
      <c r="AH29" s="514"/>
      <c r="AI29" s="514"/>
      <c r="AJ29" s="514"/>
      <c r="AK29" s="514"/>
      <c r="AL29" s="514"/>
      <c r="AM29" s="514"/>
      <c r="AN29" s="514"/>
    </row>
    <row r="30" spans="1:40" s="520" customFormat="1" x14ac:dyDescent="0.35">
      <c r="A30" s="169" t="s">
        <v>940</v>
      </c>
      <c r="B30" s="177"/>
      <c r="C30" s="515">
        <v>-67143</v>
      </c>
      <c r="D30" s="515">
        <v>-62475</v>
      </c>
      <c r="E30" s="515">
        <v>-62689</v>
      </c>
      <c r="F30" s="515">
        <v>-64196</v>
      </c>
      <c r="G30" s="515">
        <v>-66490</v>
      </c>
      <c r="H30" s="515">
        <v>-75223</v>
      </c>
      <c r="I30" s="515">
        <v>-71270</v>
      </c>
      <c r="J30" s="515">
        <v>-73413</v>
      </c>
      <c r="K30" s="515">
        <v>-78914</v>
      </c>
      <c r="L30" s="515">
        <f>-64719-1275-9441-533-148</f>
        <v>-76116</v>
      </c>
      <c r="M30" s="515">
        <v>-75285</v>
      </c>
      <c r="N30" s="516">
        <v>-74291.000000000015</v>
      </c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8"/>
      <c r="AD30" s="519"/>
      <c r="AE30" s="519"/>
      <c r="AF30" s="519"/>
      <c r="AG30" s="519"/>
      <c r="AH30" s="519"/>
      <c r="AI30" s="519"/>
      <c r="AJ30" s="519"/>
      <c r="AK30" s="519"/>
      <c r="AL30" s="519"/>
      <c r="AM30" s="519"/>
      <c r="AN30" s="519"/>
    </row>
    <row r="31" spans="1:40" s="520" customFormat="1" x14ac:dyDescent="0.35">
      <c r="A31" s="521" t="s">
        <v>274</v>
      </c>
      <c r="B31" s="177"/>
      <c r="C31" s="522">
        <f>+SUM(C29:C30)</f>
        <v>121866</v>
      </c>
      <c r="D31" s="522">
        <f t="shared" ref="D31:I31" si="5">+SUM(D29:D30)</f>
        <v>61643</v>
      </c>
      <c r="E31" s="522">
        <f t="shared" si="5"/>
        <v>39225</v>
      </c>
      <c r="F31" s="522">
        <f t="shared" si="5"/>
        <v>126491</v>
      </c>
      <c r="G31" s="522">
        <f t="shared" si="5"/>
        <v>65612</v>
      </c>
      <c r="H31" s="522">
        <f t="shared" si="5"/>
        <v>36603</v>
      </c>
      <c r="I31" s="522">
        <f t="shared" si="5"/>
        <v>42726</v>
      </c>
      <c r="J31" s="522">
        <f>+SUM(J29:J30)</f>
        <v>147467</v>
      </c>
      <c r="K31" s="522">
        <f>+SUM(K29:K30)</f>
        <v>115589</v>
      </c>
      <c r="L31" s="522">
        <f>+SUM(L29:L30)</f>
        <v>61858.325559999997</v>
      </c>
      <c r="M31" s="522">
        <f>+SUM(M29:M30)</f>
        <v>49399.000000000029</v>
      </c>
      <c r="N31" s="523">
        <f>+SUM(N29:N30)</f>
        <v>125242.11019999992</v>
      </c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5"/>
      <c r="AD31" s="526"/>
      <c r="AE31" s="526"/>
      <c r="AF31" s="526"/>
      <c r="AG31" s="526"/>
      <c r="AH31" s="526"/>
      <c r="AI31" s="526"/>
      <c r="AJ31" s="526"/>
      <c r="AK31" s="526"/>
      <c r="AL31" s="526"/>
      <c r="AM31" s="526"/>
      <c r="AN31" s="526"/>
    </row>
    <row r="32" spans="1:40" s="520" customFormat="1" x14ac:dyDescent="0.35">
      <c r="A32" s="521" t="s">
        <v>277</v>
      </c>
      <c r="B32" s="177"/>
      <c r="C32" s="522">
        <f>+SUM(C33:C34)</f>
        <v>-93474</v>
      </c>
      <c r="D32" s="522">
        <f t="shared" ref="D32:I32" si="6">+SUM(D33:D34)</f>
        <v>-101383</v>
      </c>
      <c r="E32" s="522">
        <f t="shared" si="6"/>
        <v>-97082</v>
      </c>
      <c r="F32" s="522">
        <f t="shared" si="6"/>
        <v>-110203</v>
      </c>
      <c r="G32" s="522">
        <f t="shared" si="6"/>
        <v>-270445</v>
      </c>
      <c r="H32" s="522">
        <f t="shared" si="6"/>
        <v>-114954</v>
      </c>
      <c r="I32" s="522">
        <f t="shared" si="6"/>
        <v>-129750</v>
      </c>
      <c r="J32" s="522">
        <f>+SUM(J33:J34)</f>
        <v>-57270.000000000015</v>
      </c>
      <c r="K32" s="522">
        <f>+SUM(K33:K34)</f>
        <v>-62299</v>
      </c>
      <c r="L32" s="522">
        <f>+SUM(L33:L34)</f>
        <v>-90569</v>
      </c>
      <c r="M32" s="522">
        <f>+SUM(M33:M34)</f>
        <v>-85892</v>
      </c>
      <c r="N32" s="523">
        <f>+SUM(N33:N34)</f>
        <v>-49793</v>
      </c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5"/>
      <c r="AD32" s="526"/>
      <c r="AE32" s="526"/>
      <c r="AF32" s="526"/>
      <c r="AG32" s="526"/>
      <c r="AH32" s="526"/>
      <c r="AI32" s="526"/>
      <c r="AJ32" s="526"/>
      <c r="AK32" s="526"/>
      <c r="AL32" s="526"/>
      <c r="AM32" s="526"/>
      <c r="AN32" s="526"/>
    </row>
    <row r="33" spans="1:40" x14ac:dyDescent="0.35">
      <c r="A33" s="527" t="s">
        <v>278</v>
      </c>
      <c r="B33" s="169"/>
      <c r="C33" s="528">
        <v>6706</v>
      </c>
      <c r="D33" s="528">
        <v>2763</v>
      </c>
      <c r="E33" s="528">
        <v>5720</v>
      </c>
      <c r="F33" s="528">
        <v>10097</v>
      </c>
      <c r="G33" s="528">
        <v>15331</v>
      </c>
      <c r="H33" s="528">
        <v>17213</v>
      </c>
      <c r="I33" s="528">
        <v>21515</v>
      </c>
      <c r="J33" s="528">
        <v>25351</v>
      </c>
      <c r="K33" s="528">
        <v>29656.999999999996</v>
      </c>
      <c r="L33" s="528">
        <v>30531</v>
      </c>
      <c r="M33" s="528">
        <v>26853</v>
      </c>
      <c r="N33" s="529">
        <v>28646</v>
      </c>
    </row>
    <row r="34" spans="1:40" ht="15" thickBot="1" x14ac:dyDescent="0.4">
      <c r="A34" s="530" t="s">
        <v>279</v>
      </c>
      <c r="B34" s="177"/>
      <c r="C34" s="528">
        <v>-100180</v>
      </c>
      <c r="D34" s="528">
        <v>-104146</v>
      </c>
      <c r="E34" s="528">
        <v>-102802</v>
      </c>
      <c r="F34" s="528">
        <v>-120300</v>
      </c>
      <c r="G34" s="528">
        <v>-285776</v>
      </c>
      <c r="H34" s="528">
        <v>-132167</v>
      </c>
      <c r="I34" s="528">
        <v>-151265</v>
      </c>
      <c r="J34" s="528">
        <v>-82621.000000000015</v>
      </c>
      <c r="K34" s="528">
        <v>-91956</v>
      </c>
      <c r="L34" s="528">
        <v>-121100</v>
      </c>
      <c r="M34" s="528">
        <v>-112745</v>
      </c>
      <c r="N34" s="529">
        <v>-78439</v>
      </c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504"/>
      <c r="AD34" s="504"/>
      <c r="AE34" s="504"/>
      <c r="AF34" s="504"/>
      <c r="AG34" s="504"/>
      <c r="AH34" s="504"/>
      <c r="AI34" s="504"/>
      <c r="AJ34" s="504"/>
      <c r="AK34" s="504"/>
      <c r="AL34" s="504"/>
      <c r="AM34" s="504"/>
      <c r="AN34" s="504"/>
    </row>
    <row r="35" spans="1:40" ht="15" thickBot="1" x14ac:dyDescent="0.4">
      <c r="A35" s="175" t="s">
        <v>314</v>
      </c>
      <c r="B35" s="177"/>
      <c r="C35" s="176">
        <f>+C31+C32</f>
        <v>28392</v>
      </c>
      <c r="D35" s="176">
        <f t="shared" ref="D35:M35" si="7">+D31+D32</f>
        <v>-39740</v>
      </c>
      <c r="E35" s="176">
        <f t="shared" si="7"/>
        <v>-57857</v>
      </c>
      <c r="F35" s="176">
        <f t="shared" si="7"/>
        <v>16288</v>
      </c>
      <c r="G35" s="176">
        <f t="shared" si="7"/>
        <v>-204833</v>
      </c>
      <c r="H35" s="176">
        <f t="shared" si="7"/>
        <v>-78351</v>
      </c>
      <c r="I35" s="176">
        <f t="shared" si="7"/>
        <v>-87024</v>
      </c>
      <c r="J35" s="176">
        <f t="shared" si="7"/>
        <v>90196.999999999985</v>
      </c>
      <c r="K35" s="176">
        <f t="shared" si="7"/>
        <v>53290</v>
      </c>
      <c r="L35" s="176">
        <f t="shared" si="7"/>
        <v>-28710.674440000003</v>
      </c>
      <c r="M35" s="176">
        <f t="shared" si="7"/>
        <v>-36492.999999999971</v>
      </c>
      <c r="N35" s="176">
        <f>+N31+N32</f>
        <v>75449.110199999923</v>
      </c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3"/>
      <c r="Z35" s="503"/>
      <c r="AA35" s="503"/>
      <c r="AB35" s="503"/>
      <c r="AC35" s="504"/>
      <c r="AD35" s="504"/>
      <c r="AE35" s="504"/>
      <c r="AF35" s="504"/>
      <c r="AG35" s="504"/>
      <c r="AH35" s="504"/>
      <c r="AI35" s="504"/>
      <c r="AJ35" s="504"/>
      <c r="AK35" s="504"/>
      <c r="AL35" s="504"/>
      <c r="AM35" s="504"/>
      <c r="AN35" s="504"/>
    </row>
    <row r="36" spans="1:40" x14ac:dyDescent="0.35">
      <c r="A36" s="527" t="s">
        <v>941</v>
      </c>
      <c r="B36" s="169"/>
      <c r="C36" s="528">
        <v>3209</v>
      </c>
      <c r="D36" s="528">
        <v>3210</v>
      </c>
      <c r="E36" s="528">
        <v>3209</v>
      </c>
      <c r="F36" s="528">
        <v>3209</v>
      </c>
      <c r="G36" s="528">
        <v>3211</v>
      </c>
      <c r="H36" s="528">
        <v>3210</v>
      </c>
      <c r="I36" s="528">
        <v>3210</v>
      </c>
      <c r="J36" s="528">
        <v>3210</v>
      </c>
      <c r="K36" s="528">
        <v>2585</v>
      </c>
      <c r="L36" s="528">
        <v>3304</v>
      </c>
      <c r="M36" s="528">
        <v>3225</v>
      </c>
      <c r="N36" s="529">
        <v>3210</v>
      </c>
    </row>
    <row r="37" spans="1:40" ht="15" thickBot="1" x14ac:dyDescent="0.4">
      <c r="A37" s="527" t="s">
        <v>942</v>
      </c>
      <c r="B37" s="169"/>
      <c r="C37" s="528">
        <v>-9151</v>
      </c>
      <c r="D37" s="528">
        <v>-6562</v>
      </c>
      <c r="E37" s="528">
        <v>-6389</v>
      </c>
      <c r="F37" s="528">
        <v>-14599</v>
      </c>
      <c r="G37" s="528">
        <v>-12226</v>
      </c>
      <c r="H37" s="528">
        <v>-10936</v>
      </c>
      <c r="I37" s="528">
        <v>-13059</v>
      </c>
      <c r="J37" s="528">
        <v>-17195</v>
      </c>
      <c r="K37" s="528">
        <v>-20283</v>
      </c>
      <c r="L37" s="528">
        <v>-16327.986955795997</v>
      </c>
      <c r="M37" s="528">
        <v>-15709</v>
      </c>
      <c r="N37" s="529">
        <v>-21492</v>
      </c>
    </row>
    <row r="38" spans="1:40" ht="15" thickBot="1" x14ac:dyDescent="0.4">
      <c r="A38" s="175" t="s">
        <v>943</v>
      </c>
      <c r="B38" s="177"/>
      <c r="C38" s="176">
        <f>+SUM(C35:C37)</f>
        <v>22450</v>
      </c>
      <c r="D38" s="176">
        <f t="shared" ref="D38:M38" si="8">+SUM(D35:D37)</f>
        <v>-43092</v>
      </c>
      <c r="E38" s="176">
        <f t="shared" si="8"/>
        <v>-61037</v>
      </c>
      <c r="F38" s="176">
        <f t="shared" si="8"/>
        <v>4898</v>
      </c>
      <c r="G38" s="176">
        <f t="shared" si="8"/>
        <v>-213848</v>
      </c>
      <c r="H38" s="176">
        <f t="shared" si="8"/>
        <v>-86077</v>
      </c>
      <c r="I38" s="176">
        <f t="shared" si="8"/>
        <v>-96873</v>
      </c>
      <c r="J38" s="176">
        <f t="shared" si="8"/>
        <v>76211.999999999985</v>
      </c>
      <c r="K38" s="176">
        <f t="shared" si="8"/>
        <v>35592</v>
      </c>
      <c r="L38" s="176">
        <f t="shared" si="8"/>
        <v>-41734.661395796</v>
      </c>
      <c r="M38" s="176">
        <f t="shared" si="8"/>
        <v>-48976.999999999971</v>
      </c>
      <c r="N38" s="176">
        <f>+SUM(N35:N37)</f>
        <v>57167.110199999923</v>
      </c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4"/>
      <c r="AD38" s="504"/>
      <c r="AE38" s="504"/>
      <c r="AF38" s="504"/>
      <c r="AG38" s="504"/>
      <c r="AH38" s="504"/>
      <c r="AI38" s="504"/>
      <c r="AJ38" s="504"/>
      <c r="AK38" s="504"/>
      <c r="AL38" s="504"/>
      <c r="AM38" s="504"/>
      <c r="AN38" s="504"/>
    </row>
    <row r="39" spans="1:40" x14ac:dyDescent="0.35">
      <c r="C39"/>
    </row>
    <row r="40" spans="1:40" x14ac:dyDescent="0.35">
      <c r="C40"/>
    </row>
    <row r="41" spans="1:40" x14ac:dyDescent="0.35">
      <c r="C41"/>
    </row>
    <row r="42" spans="1:40" x14ac:dyDescent="0.35">
      <c r="C42"/>
    </row>
    <row r="43" spans="1:40" x14ac:dyDescent="0.35">
      <c r="C43"/>
    </row>
    <row r="44" spans="1:40" x14ac:dyDescent="0.35">
      <c r="C44"/>
    </row>
    <row r="45" spans="1:40" x14ac:dyDescent="0.35">
      <c r="C45"/>
    </row>
    <row r="46" spans="1:40" x14ac:dyDescent="0.35">
      <c r="C46"/>
    </row>
    <row r="47" spans="1:40" x14ac:dyDescent="0.35">
      <c r="C47"/>
    </row>
    <row r="48" spans="1:40" x14ac:dyDescent="0.35">
      <c r="C48"/>
    </row>
    <row r="49" spans="3:3" x14ac:dyDescent="0.35">
      <c r="C49"/>
    </row>
    <row r="50" spans="3:3" x14ac:dyDescent="0.35">
      <c r="C50"/>
    </row>
    <row r="51" spans="3:3" x14ac:dyDescent="0.35">
      <c r="C51"/>
    </row>
    <row r="52" spans="3:3" x14ac:dyDescent="0.35">
      <c r="C52"/>
    </row>
    <row r="53" spans="3:3" x14ac:dyDescent="0.35">
      <c r="C53"/>
    </row>
    <row r="54" spans="3:3" x14ac:dyDescent="0.35">
      <c r="C54"/>
    </row>
    <row r="55" spans="3:3" x14ac:dyDescent="0.35">
      <c r="C55"/>
    </row>
    <row r="56" spans="3:3" x14ac:dyDescent="0.35">
      <c r="C56"/>
    </row>
    <row r="57" spans="3:3" x14ac:dyDescent="0.35">
      <c r="C57"/>
    </row>
    <row r="58" spans="3:3" x14ac:dyDescent="0.35">
      <c r="C58"/>
    </row>
    <row r="59" spans="3:3" x14ac:dyDescent="0.35">
      <c r="C59"/>
    </row>
    <row r="60" spans="3:3" x14ac:dyDescent="0.35">
      <c r="C60"/>
    </row>
    <row r="61" spans="3:3" x14ac:dyDescent="0.35">
      <c r="C61"/>
    </row>
    <row r="62" spans="3:3" x14ac:dyDescent="0.35">
      <c r="C62"/>
    </row>
    <row r="63" spans="3:3" x14ac:dyDescent="0.35">
      <c r="C63"/>
    </row>
    <row r="64" spans="3:3" x14ac:dyDescent="0.35">
      <c r="C64"/>
    </row>
    <row r="65" spans="3:3" x14ac:dyDescent="0.35">
      <c r="C65"/>
    </row>
    <row r="66" spans="3:3" x14ac:dyDescent="0.35">
      <c r="C66"/>
    </row>
    <row r="67" spans="3:3" x14ac:dyDescent="0.35">
      <c r="C67"/>
    </row>
    <row r="68" spans="3:3" x14ac:dyDescent="0.35">
      <c r="C68"/>
    </row>
    <row r="69" spans="3:3" x14ac:dyDescent="0.35">
      <c r="C69"/>
    </row>
    <row r="70" spans="3:3" x14ac:dyDescent="0.35">
      <c r="C70"/>
    </row>
    <row r="71" spans="3:3" x14ac:dyDescent="0.35">
      <c r="C71"/>
    </row>
    <row r="72" spans="3:3" x14ac:dyDescent="0.35">
      <c r="C72"/>
    </row>
    <row r="73" spans="3:3" x14ac:dyDescent="0.35">
      <c r="C73"/>
    </row>
    <row r="74" spans="3:3" x14ac:dyDescent="0.35">
      <c r="C7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39665-E88D-420D-82E6-E7AEE2BAB7B0}">
  <sheetPr>
    <tabColor theme="9" tint="0.79998168889431442"/>
  </sheetPr>
  <dimension ref="B6:AT90"/>
  <sheetViews>
    <sheetView zoomScale="70" zoomScaleNormal="70" workbookViewId="0">
      <pane xSplit="2" ySplit="6" topLeftCell="AF7" activePane="bottomRight" state="frozen"/>
      <selection activeCell="G18" sqref="G18"/>
      <selection pane="topRight" activeCell="G18" sqref="G18"/>
      <selection pane="bottomLeft" activeCell="G18" sqref="G18"/>
      <selection pane="bottomRight" activeCell="AT82" sqref="AT82:AT85"/>
    </sheetView>
  </sheetViews>
  <sheetFormatPr defaultColWidth="9.1796875" defaultRowHeight="13" outlineLevelCol="1" x14ac:dyDescent="0.3"/>
  <cols>
    <col min="1" max="1" width="5.1796875" style="61" customWidth="1"/>
    <col min="2" max="2" width="34" style="61" customWidth="1"/>
    <col min="3" max="26" width="12.453125" style="61" hidden="1" customWidth="1" outlineLevel="1"/>
    <col min="27" max="27" width="12.453125" style="61" customWidth="1" collapsed="1"/>
    <col min="28" max="39" width="12.453125" style="61" customWidth="1"/>
    <col min="40" max="46" width="12.453125" style="61" bestFit="1" customWidth="1"/>
    <col min="47" max="16384" width="9.1796875" style="61"/>
  </cols>
  <sheetData>
    <row r="6" spans="2:46" x14ac:dyDescent="0.3">
      <c r="B6" s="578" t="s">
        <v>432</v>
      </c>
      <c r="C6" s="164" t="s">
        <v>289</v>
      </c>
      <c r="D6" s="164" t="s">
        <v>290</v>
      </c>
      <c r="E6" s="164" t="s">
        <v>291</v>
      </c>
      <c r="F6" s="164" t="s">
        <v>292</v>
      </c>
      <c r="G6" s="164" t="s">
        <v>293</v>
      </c>
      <c r="H6" s="164" t="s">
        <v>294</v>
      </c>
      <c r="I6" s="164" t="s">
        <v>295</v>
      </c>
      <c r="J6" s="164" t="s">
        <v>296</v>
      </c>
      <c r="K6" s="164" t="s">
        <v>297</v>
      </c>
      <c r="L6" s="164" t="s">
        <v>298</v>
      </c>
      <c r="M6" s="164" t="s">
        <v>299</v>
      </c>
      <c r="N6" s="164" t="s">
        <v>300</v>
      </c>
      <c r="O6" s="164" t="s">
        <v>301</v>
      </c>
      <c r="P6" s="164" t="s">
        <v>302</v>
      </c>
      <c r="Q6" s="164" t="s">
        <v>303</v>
      </c>
      <c r="R6" s="164" t="s">
        <v>304</v>
      </c>
      <c r="S6" s="164" t="s">
        <v>57</v>
      </c>
      <c r="T6" s="164" t="s">
        <v>58</v>
      </c>
      <c r="U6" s="164" t="s">
        <v>59</v>
      </c>
      <c r="V6" s="164" t="s">
        <v>60</v>
      </c>
      <c r="W6" s="164" t="s">
        <v>61</v>
      </c>
      <c r="X6" s="164" t="s">
        <v>62</v>
      </c>
      <c r="Y6" s="164" t="s">
        <v>63</v>
      </c>
      <c r="Z6" s="164" t="s">
        <v>64</v>
      </c>
      <c r="AA6" s="164" t="s">
        <v>65</v>
      </c>
      <c r="AB6" s="164" t="s">
        <v>66</v>
      </c>
      <c r="AC6" s="164" t="s">
        <v>67</v>
      </c>
      <c r="AD6" s="164" t="s">
        <v>68</v>
      </c>
      <c r="AE6" s="164" t="s">
        <v>69</v>
      </c>
      <c r="AF6" s="164" t="s">
        <v>70</v>
      </c>
      <c r="AG6" s="164" t="s">
        <v>71</v>
      </c>
      <c r="AH6" s="164" t="s">
        <v>72</v>
      </c>
      <c r="AI6" s="164" t="s">
        <v>73</v>
      </c>
      <c r="AJ6" s="164" t="s">
        <v>74</v>
      </c>
      <c r="AK6" s="164" t="s">
        <v>75</v>
      </c>
      <c r="AL6" s="164" t="s">
        <v>76</v>
      </c>
      <c r="AM6" s="164" t="s">
        <v>77</v>
      </c>
      <c r="AN6" s="164" t="s">
        <v>78</v>
      </c>
      <c r="AO6" s="164" t="s">
        <v>79</v>
      </c>
      <c r="AP6" s="164" t="s">
        <v>80</v>
      </c>
      <c r="AQ6" s="164" t="s">
        <v>81</v>
      </c>
      <c r="AR6" s="164" t="s">
        <v>82</v>
      </c>
      <c r="AS6" s="164" t="s">
        <v>83</v>
      </c>
      <c r="AT6" s="164" t="s">
        <v>685</v>
      </c>
    </row>
    <row r="7" spans="2:46" x14ac:dyDescent="0.3">
      <c r="B7" s="271" t="s">
        <v>433</v>
      </c>
      <c r="C7" s="272">
        <v>1526615.4867999807</v>
      </c>
      <c r="D7" s="272">
        <v>1581813.1632261479</v>
      </c>
      <c r="E7" s="272">
        <v>1699002.9119384571</v>
      </c>
      <c r="F7" s="272">
        <v>1745389.1146598607</v>
      </c>
      <c r="G7" s="272">
        <v>1583219.4156067655</v>
      </c>
      <c r="H7" s="272">
        <v>1660906.8014424639</v>
      </c>
      <c r="I7" s="272">
        <v>1813517.5957417819</v>
      </c>
      <c r="J7" s="272">
        <v>1864066.0124096428</v>
      </c>
      <c r="K7" s="272">
        <v>1683773.3463106123</v>
      </c>
      <c r="L7" s="272">
        <v>1743627.2382556917</v>
      </c>
      <c r="M7" s="272">
        <v>1860011.3503605344</v>
      </c>
      <c r="N7" s="272">
        <v>1948277.612314831</v>
      </c>
      <c r="O7" s="272">
        <v>1767976.6093684826</v>
      </c>
      <c r="P7" s="272">
        <v>1846433.8785640257</v>
      </c>
      <c r="Q7" s="272">
        <v>1934752.8616930454</v>
      </c>
      <c r="R7" s="272">
        <v>1981507.3484924228</v>
      </c>
      <c r="S7" s="272">
        <v>1709191</v>
      </c>
      <c r="T7" s="272">
        <v>1831783</v>
      </c>
      <c r="U7" s="272">
        <v>1955279</v>
      </c>
      <c r="V7" s="272">
        <v>1993483</v>
      </c>
      <c r="W7" s="272">
        <v>1742942.0553852729</v>
      </c>
      <c r="X7" s="260">
        <v>1821911.2945724502</v>
      </c>
      <c r="Y7" s="260">
        <v>1967896.6213962552</v>
      </c>
      <c r="Z7" s="260">
        <v>1985304.5531040998</v>
      </c>
      <c r="AA7" s="260">
        <v>1779750.8516329874</v>
      </c>
      <c r="AB7" s="260">
        <v>1889468.6414841129</v>
      </c>
      <c r="AC7" s="260">
        <v>2031818.6113393791</v>
      </c>
      <c r="AD7" s="260">
        <v>2125307.8748774254</v>
      </c>
      <c r="AE7" s="260">
        <v>1865334.0670048376</v>
      </c>
      <c r="AF7" s="260">
        <v>1901764.5931744881</v>
      </c>
      <c r="AG7" s="260">
        <v>2117282.7991008889</v>
      </c>
      <c r="AH7" s="260">
        <v>2201710.221504706</v>
      </c>
      <c r="AI7" s="260">
        <v>1959722.1635070001</v>
      </c>
      <c r="AJ7" s="260">
        <v>2082997.4178913299</v>
      </c>
      <c r="AK7" s="260">
        <v>2196610.6192615889</v>
      </c>
      <c r="AL7" s="260">
        <v>2209970.28690982</v>
      </c>
      <c r="AM7" s="260">
        <v>1966425.9398538147</v>
      </c>
      <c r="AN7" s="260">
        <v>2088053.6346000803</v>
      </c>
      <c r="AO7" s="260">
        <v>2255893.6854976648</v>
      </c>
      <c r="AP7" s="260">
        <v>2302604.2781308992</v>
      </c>
      <c r="AQ7" s="260">
        <v>2053738.1087607869</v>
      </c>
      <c r="AR7" s="260">
        <v>2254358.1012226432</v>
      </c>
      <c r="AS7" s="260">
        <v>2457907.9195126863</v>
      </c>
      <c r="AT7" s="260">
        <v>2581449.16903061</v>
      </c>
    </row>
    <row r="8" spans="2:46" x14ac:dyDescent="0.3">
      <c r="B8" s="273" t="s">
        <v>434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60"/>
      <c r="Y8" s="260"/>
      <c r="Z8" s="260"/>
      <c r="AA8" s="260">
        <v>2166.4990000000003</v>
      </c>
      <c r="AB8" s="260">
        <v>3195.0579982450004</v>
      </c>
      <c r="AC8" s="260">
        <v>5747.0200000000023</v>
      </c>
      <c r="AD8" s="260">
        <v>8838.7829999999994</v>
      </c>
      <c r="AE8" s="260">
        <v>11325.987999999999</v>
      </c>
      <c r="AF8" s="260">
        <v>16158.523394680007</v>
      </c>
      <c r="AG8" s="260">
        <v>24886.670653799993</v>
      </c>
      <c r="AH8" s="260">
        <v>27084.328999999998</v>
      </c>
      <c r="AI8" s="260">
        <v>28209.815999999992</v>
      </c>
      <c r="AJ8" s="260">
        <v>35876.932000000001</v>
      </c>
      <c r="AK8" s="260">
        <v>48507.407999999981</v>
      </c>
      <c r="AL8" s="260">
        <v>52918.842000000019</v>
      </c>
      <c r="AM8" s="260">
        <v>51767.37900000003</v>
      </c>
      <c r="AN8" s="260">
        <v>68319.449000000022</v>
      </c>
      <c r="AO8" s="260">
        <v>89884.172091149987</v>
      </c>
      <c r="AP8" s="260">
        <v>98024.286254620005</v>
      </c>
      <c r="AQ8" s="260">
        <v>98911.24660749</v>
      </c>
      <c r="AR8" s="260">
        <v>118912.10500000001</v>
      </c>
      <c r="AS8" s="260">
        <v>139020.807</v>
      </c>
      <c r="AT8" s="260">
        <v>145271.323</v>
      </c>
    </row>
    <row r="9" spans="2:46" x14ac:dyDescent="0.3">
      <c r="B9" s="274" t="s">
        <v>435</v>
      </c>
      <c r="C9" s="275">
        <f>SUM(C7:C7)</f>
        <v>1526615.4867999807</v>
      </c>
      <c r="D9" s="275">
        <f>SUM(D7:D7)</f>
        <v>1581813.1632261479</v>
      </c>
      <c r="E9" s="275">
        <f t="shared" ref="E9:X9" si="0">SUM(E7:E7)</f>
        <v>1699002.9119384571</v>
      </c>
      <c r="F9" s="275">
        <f t="shared" si="0"/>
        <v>1745389.1146598607</v>
      </c>
      <c r="G9" s="275">
        <f t="shared" si="0"/>
        <v>1583219.4156067655</v>
      </c>
      <c r="H9" s="275">
        <f t="shared" si="0"/>
        <v>1660906.8014424639</v>
      </c>
      <c r="I9" s="275">
        <f t="shared" si="0"/>
        <v>1813517.5957417819</v>
      </c>
      <c r="J9" s="275">
        <f t="shared" si="0"/>
        <v>1864066.0124096428</v>
      </c>
      <c r="K9" s="275">
        <f t="shared" si="0"/>
        <v>1683773.3463106123</v>
      </c>
      <c r="L9" s="275">
        <f t="shared" si="0"/>
        <v>1743627.2382556917</v>
      </c>
      <c r="M9" s="275">
        <f t="shared" si="0"/>
        <v>1860011.3503605344</v>
      </c>
      <c r="N9" s="275">
        <f t="shared" si="0"/>
        <v>1948277.612314831</v>
      </c>
      <c r="O9" s="275">
        <f t="shared" si="0"/>
        <v>1767976.6093684826</v>
      </c>
      <c r="P9" s="275">
        <f t="shared" si="0"/>
        <v>1846433.8785640257</v>
      </c>
      <c r="Q9" s="275">
        <f t="shared" si="0"/>
        <v>1934752.8616930454</v>
      </c>
      <c r="R9" s="275">
        <f t="shared" si="0"/>
        <v>1981507.3484924228</v>
      </c>
      <c r="S9" s="275">
        <f t="shared" si="0"/>
        <v>1709191</v>
      </c>
      <c r="T9" s="275">
        <f t="shared" si="0"/>
        <v>1831783</v>
      </c>
      <c r="U9" s="275">
        <f t="shared" si="0"/>
        <v>1955279</v>
      </c>
      <c r="V9" s="275">
        <f t="shared" si="0"/>
        <v>1993483</v>
      </c>
      <c r="W9" s="275">
        <f t="shared" si="0"/>
        <v>1742942.0553852729</v>
      </c>
      <c r="X9" s="275">
        <f t="shared" si="0"/>
        <v>1821911.2945724502</v>
      </c>
      <c r="Y9" s="275">
        <f>SUM(Y7:Y8)</f>
        <v>1967896.6213962552</v>
      </c>
      <c r="Z9" s="275">
        <f>SUM(Z7:Z8)</f>
        <v>1985304.5531040998</v>
      </c>
      <c r="AA9" s="275">
        <f>SUM(AA7:AA8)</f>
        <v>1781917.3506329875</v>
      </c>
      <c r="AB9" s="275">
        <f t="shared" ref="AB9:AT9" si="1">SUM(AB7:AB8)</f>
        <v>1892663.6994823581</v>
      </c>
      <c r="AC9" s="275">
        <f t="shared" si="1"/>
        <v>2037565.6313393791</v>
      </c>
      <c r="AD9" s="275">
        <f t="shared" si="1"/>
        <v>2134146.6578774252</v>
      </c>
      <c r="AE9" s="275">
        <f t="shared" si="1"/>
        <v>1876660.0550048375</v>
      </c>
      <c r="AF9" s="275">
        <f t="shared" si="1"/>
        <v>1917923.1165691682</v>
      </c>
      <c r="AG9" s="275">
        <f t="shared" si="1"/>
        <v>2142169.4697546889</v>
      </c>
      <c r="AH9" s="275">
        <f t="shared" si="1"/>
        <v>2228794.5505047059</v>
      </c>
      <c r="AI9" s="275">
        <f t="shared" si="1"/>
        <v>1987931.9795070002</v>
      </c>
      <c r="AJ9" s="275">
        <f t="shared" si="1"/>
        <v>2118874.3498913296</v>
      </c>
      <c r="AK9" s="275">
        <f t="shared" si="1"/>
        <v>2245118.0272615887</v>
      </c>
      <c r="AL9" s="275">
        <f t="shared" si="1"/>
        <v>2262889.1289098202</v>
      </c>
      <c r="AM9" s="275">
        <f t="shared" si="1"/>
        <v>2018193.3188538146</v>
      </c>
      <c r="AN9" s="275">
        <f t="shared" si="1"/>
        <v>2156373.0836000806</v>
      </c>
      <c r="AO9" s="275">
        <f t="shared" si="1"/>
        <v>2345777.857588815</v>
      </c>
      <c r="AP9" s="275">
        <f t="shared" si="1"/>
        <v>2400628.5643855194</v>
      </c>
      <c r="AQ9" s="275">
        <f t="shared" si="1"/>
        <v>2152649.3553682771</v>
      </c>
      <c r="AR9" s="275">
        <f t="shared" si="1"/>
        <v>2373270.2062226431</v>
      </c>
      <c r="AS9" s="275">
        <f t="shared" si="1"/>
        <v>2596928.7265126863</v>
      </c>
      <c r="AT9" s="275">
        <f t="shared" si="1"/>
        <v>2726720.4920306099</v>
      </c>
    </row>
    <row r="10" spans="2:46" x14ac:dyDescent="0.3">
      <c r="B10" s="259" t="s">
        <v>436</v>
      </c>
      <c r="C10" s="272">
        <v>1237996.2379283668</v>
      </c>
      <c r="D10" s="272">
        <v>1251922.78168</v>
      </c>
      <c r="E10" s="272">
        <v>1363727.3566432905</v>
      </c>
      <c r="F10" s="272">
        <v>1442845.4009800002</v>
      </c>
      <c r="G10" s="272">
        <v>1335719.714414</v>
      </c>
      <c r="H10" s="272">
        <v>1354850.1634104759</v>
      </c>
      <c r="I10" s="272">
        <v>1490813.4507200001</v>
      </c>
      <c r="J10" s="272">
        <v>1531393.7356199999</v>
      </c>
      <c r="K10" s="272">
        <v>1413950.7979339999</v>
      </c>
      <c r="L10" s="272">
        <v>1425746.8517399998</v>
      </c>
      <c r="M10" s="272">
        <v>1520358.1663560942</v>
      </c>
      <c r="N10" s="272">
        <v>1600149.9113690017</v>
      </c>
      <c r="O10" s="272">
        <v>1461894.6266399999</v>
      </c>
      <c r="P10" s="272">
        <v>1529112.276178</v>
      </c>
      <c r="Q10" s="272">
        <v>1563196.3576740001</v>
      </c>
      <c r="R10" s="272">
        <v>1615903.5772998317</v>
      </c>
      <c r="S10" s="272">
        <v>1400107.8546250002</v>
      </c>
      <c r="T10" s="272">
        <v>1483749.4529328307</v>
      </c>
      <c r="U10" s="272">
        <v>1602158.1703430791</v>
      </c>
      <c r="V10" s="272">
        <v>1708083.6452422519</v>
      </c>
      <c r="W10" s="272">
        <v>1455239.4517215765</v>
      </c>
      <c r="X10" s="260">
        <v>1523032.2242709999</v>
      </c>
      <c r="Y10" s="260">
        <v>1599619.1839255127</v>
      </c>
      <c r="Z10" s="260">
        <v>1642391.0072042223</v>
      </c>
      <c r="AA10" s="260">
        <v>1480746.6595438749</v>
      </c>
      <c r="AB10" s="260">
        <v>1551130.401232536</v>
      </c>
      <c r="AC10" s="260">
        <v>1648471.1285478328</v>
      </c>
      <c r="AD10" s="260">
        <v>1754749.8470075002</v>
      </c>
      <c r="AE10" s="260">
        <v>1554624.3368220003</v>
      </c>
      <c r="AF10" s="260">
        <v>1561072.5060305039</v>
      </c>
      <c r="AG10" s="260">
        <v>1723654.1053529044</v>
      </c>
      <c r="AH10" s="260">
        <v>1814126.0742293333</v>
      </c>
      <c r="AI10" s="260">
        <v>1637831.7855050005</v>
      </c>
      <c r="AJ10" s="260">
        <v>1674008.1887353605</v>
      </c>
      <c r="AK10" s="260">
        <v>1819167.5297750935</v>
      </c>
      <c r="AL10" s="260">
        <v>1884923.2375259355</v>
      </c>
      <c r="AM10" s="260">
        <v>1674400.3366751831</v>
      </c>
      <c r="AN10" s="260">
        <v>1760671.7368007372</v>
      </c>
      <c r="AO10" s="260">
        <v>1922073.8926191628</v>
      </c>
      <c r="AP10" s="260">
        <v>1990333.9562998377</v>
      </c>
      <c r="AQ10" s="260">
        <v>1793543.2940435545</v>
      </c>
      <c r="AR10" s="260">
        <v>1938820.955984375</v>
      </c>
      <c r="AS10" s="260">
        <v>2100994.8576775403</v>
      </c>
      <c r="AT10" s="260">
        <v>2240726.8231000248</v>
      </c>
    </row>
    <row r="11" spans="2:46" x14ac:dyDescent="0.3">
      <c r="B11" s="259" t="s">
        <v>437</v>
      </c>
      <c r="C11" s="272">
        <v>114.05799999999999</v>
      </c>
      <c r="D11" s="272">
        <v>116.54899999999999</v>
      </c>
      <c r="E11" s="272">
        <v>133.244</v>
      </c>
      <c r="F11" s="272">
        <v>131.40199999999999</v>
      </c>
      <c r="G11" s="272">
        <v>111.21970999999999</v>
      </c>
      <c r="H11" s="272">
        <v>120.422</v>
      </c>
      <c r="I11" s="272">
        <v>139.31900000000002</v>
      </c>
      <c r="J11" s="272">
        <v>136.40100000000001</v>
      </c>
      <c r="K11" s="272">
        <v>121.655</v>
      </c>
      <c r="L11" s="272">
        <v>132.41200000000001</v>
      </c>
      <c r="M11" s="272">
        <v>144.20000000000002</v>
      </c>
      <c r="N11" s="272">
        <v>158.22500000000002</v>
      </c>
      <c r="O11" s="272">
        <v>356.48955599999999</v>
      </c>
      <c r="P11" s="272">
        <v>386.45155899999997</v>
      </c>
      <c r="Q11" s="272">
        <v>1838.397666999999</v>
      </c>
      <c r="R11" s="272">
        <v>2691.0476666666677</v>
      </c>
      <c r="S11" s="272">
        <v>2454.0745663333337</v>
      </c>
      <c r="T11" s="272">
        <v>2722.0059999999994</v>
      </c>
      <c r="U11" s="272">
        <v>2343.048086666668</v>
      </c>
      <c r="V11" s="272">
        <v>1607.775408666666</v>
      </c>
      <c r="W11" s="272">
        <v>1715.7239705802467</v>
      </c>
      <c r="X11" s="260">
        <v>1853.4546610660482</v>
      </c>
      <c r="Y11" s="260">
        <v>1264.3880833333335</v>
      </c>
      <c r="Z11" s="260">
        <v>1411.5641190555555</v>
      </c>
      <c r="AA11" s="260">
        <v>1329.1043958333339</v>
      </c>
      <c r="AB11" s="260">
        <v>3154.0878725358425</v>
      </c>
      <c r="AC11" s="260">
        <v>2436.8126108333322</v>
      </c>
      <c r="AD11" s="260">
        <v>1733.6872708333331</v>
      </c>
      <c r="AE11" s="260">
        <v>2475.8066706666668</v>
      </c>
      <c r="AF11" s="260">
        <v>1429.8231666666666</v>
      </c>
      <c r="AG11" s="260">
        <v>1504.3503333333333</v>
      </c>
      <c r="AH11" s="260">
        <v>1188.2680186666666</v>
      </c>
      <c r="AI11" s="260">
        <v>1826.0140833333339</v>
      </c>
      <c r="AJ11" s="260">
        <v>1393.1388333333332</v>
      </c>
      <c r="AK11" s="260">
        <v>1809.472500000001</v>
      </c>
      <c r="AL11" s="260">
        <v>1942.6497733292185</v>
      </c>
      <c r="AM11" s="260">
        <v>2223.7395833333335</v>
      </c>
      <c r="AN11" s="260">
        <v>1483.9377870370372</v>
      </c>
      <c r="AO11" s="260">
        <v>2092.5880000000002</v>
      </c>
      <c r="AP11" s="260">
        <v>1191.0473299999999</v>
      </c>
      <c r="AQ11" s="260">
        <v>2402.6529895833337</v>
      </c>
      <c r="AR11" s="260">
        <v>1999.8315564516126</v>
      </c>
      <c r="AS11" s="260">
        <v>5183.9675460322596</v>
      </c>
      <c r="AT11" s="260">
        <v>2297.2633919322602</v>
      </c>
    </row>
    <row r="12" spans="2:46" x14ac:dyDescent="0.3">
      <c r="B12" s="259" t="s">
        <v>438</v>
      </c>
      <c r="C12" s="276">
        <v>288505.19087161397</v>
      </c>
      <c r="D12" s="276">
        <v>329773.83254614787</v>
      </c>
      <c r="E12" s="276">
        <v>335142.31129516655</v>
      </c>
      <c r="F12" s="276">
        <v>302412.31167986058</v>
      </c>
      <c r="G12" s="276">
        <v>247388.48148276549</v>
      </c>
      <c r="H12" s="276">
        <v>305936.21603198792</v>
      </c>
      <c r="I12" s="276">
        <v>322564.82602178177</v>
      </c>
      <c r="J12" s="276">
        <v>332535.87578964286</v>
      </c>
      <c r="K12" s="276">
        <v>269700.89337661234</v>
      </c>
      <c r="L12" s="276">
        <v>317747.97451569187</v>
      </c>
      <c r="M12" s="276">
        <v>339508.98400444019</v>
      </c>
      <c r="N12" s="276">
        <v>347969.4759458293</v>
      </c>
      <c r="O12" s="276">
        <v>305725.4931724827</v>
      </c>
      <c r="P12" s="276">
        <v>316935.1508270257</v>
      </c>
      <c r="Q12" s="276">
        <v>369718.10635204526</v>
      </c>
      <c r="R12" s="276">
        <v>362912.72352592449</v>
      </c>
      <c r="S12" s="276">
        <v>306629.07080866653</v>
      </c>
      <c r="T12" s="276">
        <v>345311.54106716934</v>
      </c>
      <c r="U12" s="276">
        <v>350777.78157025418</v>
      </c>
      <c r="V12" s="276">
        <v>283791.57934908144</v>
      </c>
      <c r="W12" s="276">
        <v>285986.87969311618</v>
      </c>
      <c r="X12" s="277">
        <v>297025.61564038426</v>
      </c>
      <c r="Y12" s="277">
        <v>367013.04938740935</v>
      </c>
      <c r="Z12" s="277">
        <v>341501.98178082198</v>
      </c>
      <c r="AA12" s="277">
        <v>301170.69108911231</v>
      </c>
      <c r="AB12" s="277">
        <v>341533.29824982211</v>
      </c>
      <c r="AC12" s="277">
        <v>389094.50279154611</v>
      </c>
      <c r="AD12" s="277">
        <v>379396.81086992548</v>
      </c>
      <c r="AE12" s="277">
        <v>322035.71818283742</v>
      </c>
      <c r="AF12" s="277">
        <v>356850.6105386641</v>
      </c>
      <c r="AG12" s="277">
        <v>418515.36440178461</v>
      </c>
      <c r="AH12" s="277">
        <v>414668.47627537255</v>
      </c>
      <c r="AI12" s="277">
        <v>350100.19400199963</v>
      </c>
      <c r="AJ12" s="277">
        <v>444866.16115596937</v>
      </c>
      <c r="AK12" s="277">
        <v>425950.49748649535</v>
      </c>
      <c r="AL12" s="277">
        <v>377965.89138388459</v>
      </c>
      <c r="AM12" s="277">
        <v>341569.24259529816</v>
      </c>
      <c r="AN12" s="277">
        <v>395701.34679934336</v>
      </c>
      <c r="AO12" s="277">
        <v>423703.96496965236</v>
      </c>
      <c r="AP12" s="277">
        <v>409103.56075568171</v>
      </c>
      <c r="AQ12" s="277">
        <v>356703.40833513928</v>
      </c>
      <c r="AR12" s="277">
        <v>432449.41868181655</v>
      </c>
      <c r="AS12" s="277">
        <v>490749.9012891138</v>
      </c>
      <c r="AT12" s="277">
        <v>483696.40553865279</v>
      </c>
    </row>
    <row r="13" spans="2:46" x14ac:dyDescent="0.3">
      <c r="B13" s="278" t="s">
        <v>439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80"/>
      <c r="Y13" s="280"/>
      <c r="Z13" s="280"/>
      <c r="AA13" s="280">
        <v>300860.22908911243</v>
      </c>
      <c r="AB13" s="280">
        <v>341046.26325157733</v>
      </c>
      <c r="AC13" s="280">
        <v>387666.64079154591</v>
      </c>
      <c r="AD13" s="280">
        <v>378125.06786992546</v>
      </c>
      <c r="AE13" s="280">
        <v>319632.31418283749</v>
      </c>
      <c r="AF13" s="280">
        <v>352588.32414398424</v>
      </c>
      <c r="AG13" s="280">
        <v>412595.49574798462</v>
      </c>
      <c r="AH13" s="280">
        <v>411601.68727537279</v>
      </c>
      <c r="AI13" s="280">
        <v>345655.76000199985</v>
      </c>
      <c r="AJ13" s="280">
        <v>438034.60415596917</v>
      </c>
      <c r="AK13" s="280">
        <v>416501.90748649515</v>
      </c>
      <c r="AL13" s="280">
        <v>371992.00538388483</v>
      </c>
      <c r="AM13" s="280">
        <v>334347.73459529801</v>
      </c>
      <c r="AN13" s="280">
        <v>383153.1107993435</v>
      </c>
      <c r="AO13" s="280">
        <v>405257.21187850263</v>
      </c>
      <c r="AP13" s="280">
        <v>394336.56884579919</v>
      </c>
      <c r="AQ13" s="280">
        <v>339961.19972764933</v>
      </c>
      <c r="AR13" s="280">
        <v>413359.75268181635</v>
      </c>
      <c r="AS13" s="280">
        <v>470563.56928911386</v>
      </c>
      <c r="AT13" s="280">
        <v>469615.00353865302</v>
      </c>
    </row>
    <row r="14" spans="2:46" x14ac:dyDescent="0.3">
      <c r="B14" s="259" t="s">
        <v>440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</row>
    <row r="15" spans="2:46" x14ac:dyDescent="0.3">
      <c r="B15" s="259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2:46" x14ac:dyDescent="0.3">
      <c r="B16" s="578" t="s">
        <v>441</v>
      </c>
      <c r="C16" s="164" t="s">
        <v>289</v>
      </c>
      <c r="D16" s="164" t="s">
        <v>290</v>
      </c>
      <c r="E16" s="164" t="s">
        <v>291</v>
      </c>
      <c r="F16" s="164" t="s">
        <v>292</v>
      </c>
      <c r="G16" s="164" t="s">
        <v>293</v>
      </c>
      <c r="H16" s="164" t="s">
        <v>294</v>
      </c>
      <c r="I16" s="164" t="s">
        <v>295</v>
      </c>
      <c r="J16" s="164" t="s">
        <v>296</v>
      </c>
      <c r="K16" s="164" t="s">
        <v>297</v>
      </c>
      <c r="L16" s="164" t="s">
        <v>298</v>
      </c>
      <c r="M16" s="164" t="s">
        <v>299</v>
      </c>
      <c r="N16" s="164" t="s">
        <v>300</v>
      </c>
      <c r="O16" s="164" t="s">
        <v>301</v>
      </c>
      <c r="P16" s="164" t="s">
        <v>302</v>
      </c>
      <c r="Q16" s="164" t="s">
        <v>303</v>
      </c>
      <c r="R16" s="164" t="s">
        <v>304</v>
      </c>
      <c r="S16" s="164" t="s">
        <v>57</v>
      </c>
      <c r="T16" s="164" t="s">
        <v>58</v>
      </c>
      <c r="U16" s="164" t="s">
        <v>59</v>
      </c>
      <c r="V16" s="164" t="s">
        <v>60</v>
      </c>
      <c r="W16" s="164" t="s">
        <v>61</v>
      </c>
      <c r="X16" s="164" t="s">
        <v>62</v>
      </c>
      <c r="Y16" s="164" t="s">
        <v>63</v>
      </c>
      <c r="Z16" s="164" t="s">
        <v>64</v>
      </c>
      <c r="AA16" s="164" t="str">
        <f>AA6</f>
        <v>1T19</v>
      </c>
      <c r="AB16" s="164" t="s">
        <v>66</v>
      </c>
      <c r="AC16" s="164" t="s">
        <v>67</v>
      </c>
      <c r="AD16" s="164" t="s">
        <v>68</v>
      </c>
      <c r="AE16" s="164" t="str">
        <f t="shared" ref="AE16:AT16" si="2">AE6</f>
        <v>1T20</v>
      </c>
      <c r="AF16" s="164" t="str">
        <f t="shared" si="2"/>
        <v>2T20</v>
      </c>
      <c r="AG16" s="164" t="str">
        <f t="shared" si="2"/>
        <v>3T20</v>
      </c>
      <c r="AH16" s="164" t="str">
        <f t="shared" si="2"/>
        <v>4T20</v>
      </c>
      <c r="AI16" s="164" t="str">
        <f t="shared" si="2"/>
        <v>1T21</v>
      </c>
      <c r="AJ16" s="164" t="str">
        <f t="shared" si="2"/>
        <v>2T21</v>
      </c>
      <c r="AK16" s="164" t="str">
        <f t="shared" si="2"/>
        <v>3T21</v>
      </c>
      <c r="AL16" s="164" t="str">
        <f t="shared" si="2"/>
        <v>4T21</v>
      </c>
      <c r="AM16" s="164" t="str">
        <f t="shared" si="2"/>
        <v>1T22</v>
      </c>
      <c r="AN16" s="164" t="str">
        <f t="shared" si="2"/>
        <v>2T22</v>
      </c>
      <c r="AO16" s="164" t="str">
        <f t="shared" si="2"/>
        <v>3T22</v>
      </c>
      <c r="AP16" s="164" t="str">
        <f t="shared" si="2"/>
        <v>4T22</v>
      </c>
      <c r="AQ16" s="164" t="str">
        <f t="shared" si="2"/>
        <v>1T23</v>
      </c>
      <c r="AR16" s="164" t="str">
        <f t="shared" si="2"/>
        <v>2T23</v>
      </c>
      <c r="AS16" s="164" t="str">
        <f t="shared" si="2"/>
        <v>3T23</v>
      </c>
      <c r="AT16" s="164" t="str">
        <f t="shared" si="2"/>
        <v>4T23</v>
      </c>
    </row>
    <row r="17" spans="2:46" x14ac:dyDescent="0.3">
      <c r="B17" s="271" t="s">
        <v>433</v>
      </c>
      <c r="C17" s="282">
        <v>2509501.7060000002</v>
      </c>
      <c r="D17" s="282">
        <v>2661205.0489999996</v>
      </c>
      <c r="E17" s="282">
        <v>2801315.7760000001</v>
      </c>
      <c r="F17" s="282">
        <v>2869545.4389999998</v>
      </c>
      <c r="G17" s="282">
        <v>2639580.992819</v>
      </c>
      <c r="H17" s="282">
        <v>2780922.677832</v>
      </c>
      <c r="I17" s="282">
        <v>2923297.7091629999</v>
      </c>
      <c r="J17" s="282">
        <v>3011242.8395789987</v>
      </c>
      <c r="K17" s="282">
        <v>2690125.5700970008</v>
      </c>
      <c r="L17" s="282">
        <v>2807034.459549</v>
      </c>
      <c r="M17" s="282">
        <v>2963488.6574300001</v>
      </c>
      <c r="N17" s="282">
        <v>3041036.7716290001</v>
      </c>
      <c r="O17" s="282">
        <v>2800561.9614049997</v>
      </c>
      <c r="P17" s="282">
        <v>2929411.8209899995</v>
      </c>
      <c r="Q17" s="282">
        <v>3008775.7994609997</v>
      </c>
      <c r="R17" s="282">
        <v>3015288.1430269992</v>
      </c>
      <c r="S17" s="282">
        <v>2672958.046451</v>
      </c>
      <c r="T17" s="282">
        <v>2897436.0124920001</v>
      </c>
      <c r="U17" s="282">
        <v>3076740.6430409993</v>
      </c>
      <c r="V17" s="282">
        <v>3065911.1293193242</v>
      </c>
      <c r="W17" s="282">
        <v>2746540.3066916177</v>
      </c>
      <c r="X17" s="260">
        <v>2844799.911659</v>
      </c>
      <c r="Y17" s="260">
        <v>3024188.1343684308</v>
      </c>
      <c r="Z17" s="260">
        <v>3062118.9826388247</v>
      </c>
      <c r="AA17" s="260">
        <v>2788108.5060966332</v>
      </c>
      <c r="AB17" s="260">
        <v>2945799.5335277398</v>
      </c>
      <c r="AC17" s="260">
        <v>3132366.4374117199</v>
      </c>
      <c r="AD17" s="260">
        <v>3155890.6027908493</v>
      </c>
      <c r="AE17" s="260">
        <v>2873863.0822594259</v>
      </c>
      <c r="AF17" s="260">
        <v>2908296.3431524271</v>
      </c>
      <c r="AG17" s="260">
        <v>3322148.0637392174</v>
      </c>
      <c r="AH17" s="260">
        <v>3288021.8645551694</v>
      </c>
      <c r="AI17" s="260">
        <v>2974698.1339864014</v>
      </c>
      <c r="AJ17" s="260">
        <v>3161171.5250826865</v>
      </c>
      <c r="AK17" s="260">
        <v>3351573.4195166784</v>
      </c>
      <c r="AL17" s="260">
        <v>3365162.8518906841</v>
      </c>
      <c r="AM17" s="260">
        <v>3053230.030443382</v>
      </c>
      <c r="AN17" s="260">
        <v>3202961.2033871971</v>
      </c>
      <c r="AO17" s="260">
        <v>3500751.028924033</v>
      </c>
      <c r="AP17" s="277">
        <v>3452999.8296258794</v>
      </c>
      <c r="AQ17" s="277">
        <v>3105549.1199188172</v>
      </c>
      <c r="AR17" s="277">
        <v>3381109.3023034134</v>
      </c>
      <c r="AS17" s="277">
        <v>3699764.3017650107</v>
      </c>
      <c r="AT17" s="277">
        <v>3804598.4518197281</v>
      </c>
    </row>
    <row r="18" spans="2:46" x14ac:dyDescent="0.3">
      <c r="B18" s="271" t="s">
        <v>442</v>
      </c>
      <c r="C18" s="282">
        <v>102632.63999</v>
      </c>
      <c r="D18" s="282">
        <v>110318.74709</v>
      </c>
      <c r="E18" s="282">
        <v>115621.07097</v>
      </c>
      <c r="F18" s="282">
        <v>120510.24145999999</v>
      </c>
      <c r="G18" s="282">
        <v>106758.75399</v>
      </c>
      <c r="H18" s="282">
        <v>113355.38521000001</v>
      </c>
      <c r="I18" s="282">
        <v>121301.49673999999</v>
      </c>
      <c r="J18" s="282">
        <v>127321.95121000003</v>
      </c>
      <c r="K18" s="282">
        <v>113601.188818</v>
      </c>
      <c r="L18" s="282">
        <v>102635.620307</v>
      </c>
      <c r="M18" s="282">
        <v>109496.67886100001</v>
      </c>
      <c r="N18" s="282">
        <v>115611.527485</v>
      </c>
      <c r="O18" s="282">
        <v>105948.222471</v>
      </c>
      <c r="P18" s="282">
        <v>107084.155918</v>
      </c>
      <c r="Q18" s="282">
        <v>110838.80999699999</v>
      </c>
      <c r="R18" s="282">
        <v>111177.11994666667</v>
      </c>
      <c r="S18" s="282">
        <v>92186.681693934632</v>
      </c>
      <c r="T18" s="282">
        <v>90874.765197050699</v>
      </c>
      <c r="U18" s="282">
        <v>97391.081392158085</v>
      </c>
      <c r="V18" s="282">
        <v>98703.485641807099</v>
      </c>
      <c r="W18" s="282">
        <v>87756.596782186461</v>
      </c>
      <c r="X18" s="260">
        <v>91577.904120000021</v>
      </c>
      <c r="Y18" s="260">
        <v>100470.26348999998</v>
      </c>
      <c r="Z18" s="260">
        <v>98359.341780000017</v>
      </c>
      <c r="AA18" s="260">
        <v>70159.918357000017</v>
      </c>
      <c r="AB18" s="260">
        <v>72084.386335999981</v>
      </c>
      <c r="AC18" s="260">
        <v>78538.429994607824</v>
      </c>
      <c r="AD18" s="260">
        <v>78508.03360155056</v>
      </c>
      <c r="AE18" s="260">
        <v>74143.589719162919</v>
      </c>
      <c r="AF18" s="260">
        <v>73493.287170605472</v>
      </c>
      <c r="AG18" s="260">
        <v>88081.192773005067</v>
      </c>
      <c r="AH18" s="260">
        <v>82544.296225383412</v>
      </c>
      <c r="AI18" s="260">
        <v>63467.153614719857</v>
      </c>
      <c r="AJ18" s="260">
        <v>69073.112262955343</v>
      </c>
      <c r="AK18" s="260">
        <v>74564.931499295781</v>
      </c>
      <c r="AL18" s="260">
        <v>76330.624848383261</v>
      </c>
      <c r="AM18" s="260">
        <v>66148.448995060477</v>
      </c>
      <c r="AN18" s="260">
        <v>66732.063101269276</v>
      </c>
      <c r="AO18" s="260">
        <v>75864.288340524887</v>
      </c>
      <c r="AP18" s="260">
        <v>75341.773573030718</v>
      </c>
      <c r="AQ18" s="260">
        <v>74412.811360676031</v>
      </c>
      <c r="AR18" s="260">
        <v>62900.077876791482</v>
      </c>
      <c r="AS18" s="260">
        <v>64102.332257790935</v>
      </c>
      <c r="AT18" s="260">
        <v>68358.843953242103</v>
      </c>
    </row>
    <row r="19" spans="2:46" x14ac:dyDescent="0.3">
      <c r="B19" s="273" t="s">
        <v>434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60"/>
      <c r="Y19" s="260"/>
      <c r="Z19" s="260"/>
      <c r="AA19" s="260"/>
      <c r="AB19" s="260"/>
      <c r="AC19" s="260"/>
      <c r="AD19" s="260"/>
      <c r="AE19" s="260">
        <v>9860.2340000000004</v>
      </c>
      <c r="AF19" s="260">
        <v>15034.46</v>
      </c>
      <c r="AG19" s="260">
        <v>21873.008999999998</v>
      </c>
      <c r="AH19" s="260">
        <v>24756.544999999998</v>
      </c>
      <c r="AI19" s="260">
        <v>28248.456296999993</v>
      </c>
      <c r="AJ19" s="260">
        <v>39835.748999999996</v>
      </c>
      <c r="AK19" s="260">
        <v>50978.900999999998</v>
      </c>
      <c r="AL19" s="260">
        <v>56137.644</v>
      </c>
      <c r="AM19" s="260">
        <v>59292.176000000007</v>
      </c>
      <c r="AN19" s="260">
        <v>74153.45100000003</v>
      </c>
      <c r="AO19" s="260">
        <v>101168.64386274994</v>
      </c>
      <c r="AP19" s="260">
        <v>109760.13221990003</v>
      </c>
      <c r="AQ19" s="260">
        <v>123904.21995410029</v>
      </c>
      <c r="AR19" s="260">
        <v>151304.04263084999</v>
      </c>
      <c r="AS19" s="260">
        <v>187391.55399999995</v>
      </c>
      <c r="AT19" s="260">
        <v>205238.75613289999</v>
      </c>
    </row>
    <row r="20" spans="2:46" x14ac:dyDescent="0.3">
      <c r="B20" s="274" t="s">
        <v>435</v>
      </c>
      <c r="C20" s="275">
        <f>SUM(C17:C18)</f>
        <v>2612134.3459900003</v>
      </c>
      <c r="D20" s="275">
        <f>SUM(D17:D18)</f>
        <v>2771523.7960899998</v>
      </c>
      <c r="E20" s="275">
        <f t="shared" ref="E20:X20" si="3">SUM(E17:E18)</f>
        <v>2916936.8469700003</v>
      </c>
      <c r="F20" s="275">
        <f t="shared" si="3"/>
        <v>2990055.6804599999</v>
      </c>
      <c r="G20" s="275">
        <f t="shared" si="3"/>
        <v>2746339.7468090001</v>
      </c>
      <c r="H20" s="275">
        <f t="shared" si="3"/>
        <v>2894278.0630419999</v>
      </c>
      <c r="I20" s="275">
        <f t="shared" si="3"/>
        <v>3044599.2059029997</v>
      </c>
      <c r="J20" s="275">
        <f t="shared" si="3"/>
        <v>3138564.7907889988</v>
      </c>
      <c r="K20" s="275">
        <f t="shared" si="3"/>
        <v>2803726.7589150006</v>
      </c>
      <c r="L20" s="275">
        <f t="shared" si="3"/>
        <v>2909670.0798559999</v>
      </c>
      <c r="M20" s="275">
        <f t="shared" si="3"/>
        <v>3072985.3362910002</v>
      </c>
      <c r="N20" s="275">
        <f t="shared" si="3"/>
        <v>3156648.2991140001</v>
      </c>
      <c r="O20" s="275">
        <f t="shared" si="3"/>
        <v>2906510.1838759999</v>
      </c>
      <c r="P20" s="275">
        <f t="shared" si="3"/>
        <v>3036495.9769079993</v>
      </c>
      <c r="Q20" s="275">
        <f t="shared" si="3"/>
        <v>3119614.6094579995</v>
      </c>
      <c r="R20" s="275">
        <f t="shared" si="3"/>
        <v>3126465.2629736657</v>
      </c>
      <c r="S20" s="275">
        <f t="shared" si="3"/>
        <v>2765144.7281449349</v>
      </c>
      <c r="T20" s="275">
        <f t="shared" si="3"/>
        <v>2988310.7776890509</v>
      </c>
      <c r="U20" s="275">
        <f t="shared" si="3"/>
        <v>3174131.7244331576</v>
      </c>
      <c r="V20" s="275">
        <f t="shared" si="3"/>
        <v>3164614.6149611315</v>
      </c>
      <c r="W20" s="275">
        <f t="shared" si="3"/>
        <v>2834296.9034738042</v>
      </c>
      <c r="X20" s="275">
        <f t="shared" si="3"/>
        <v>2936377.8157790001</v>
      </c>
      <c r="Y20" s="275">
        <f t="shared" ref="Y20:AD20" si="4">+SUM(Y17:Y19)</f>
        <v>3124658.3978584306</v>
      </c>
      <c r="Z20" s="275">
        <f t="shared" si="4"/>
        <v>3160478.3244188246</v>
      </c>
      <c r="AA20" s="275">
        <f t="shared" si="4"/>
        <v>2858268.4244536334</v>
      </c>
      <c r="AB20" s="275">
        <f t="shared" si="4"/>
        <v>3017883.91986374</v>
      </c>
      <c r="AC20" s="275">
        <f t="shared" si="4"/>
        <v>3210904.8674063277</v>
      </c>
      <c r="AD20" s="275">
        <f t="shared" si="4"/>
        <v>3234398.6363923997</v>
      </c>
      <c r="AE20" s="275">
        <f>+SUM(AE17:AE19)</f>
        <v>2957866.9059785889</v>
      </c>
      <c r="AF20" s="275">
        <f t="shared" ref="AF20:AT20" si="5">+SUM(AF17:AF19)</f>
        <v>2996824.0903230323</v>
      </c>
      <c r="AG20" s="275">
        <f t="shared" si="5"/>
        <v>3432102.2655122224</v>
      </c>
      <c r="AH20" s="275">
        <f t="shared" si="5"/>
        <v>3395322.7057805527</v>
      </c>
      <c r="AI20" s="275">
        <f t="shared" si="5"/>
        <v>3066413.7438981212</v>
      </c>
      <c r="AJ20" s="275">
        <f t="shared" si="5"/>
        <v>3270080.3863456417</v>
      </c>
      <c r="AK20" s="275">
        <f t="shared" si="5"/>
        <v>3477117.2520159744</v>
      </c>
      <c r="AL20" s="275">
        <f t="shared" si="5"/>
        <v>3497631.1207390674</v>
      </c>
      <c r="AM20" s="275">
        <f t="shared" si="5"/>
        <v>3178670.6554384422</v>
      </c>
      <c r="AN20" s="275">
        <f t="shared" si="5"/>
        <v>3343846.7174884663</v>
      </c>
      <c r="AO20" s="275">
        <f t="shared" si="5"/>
        <v>3677783.9611273077</v>
      </c>
      <c r="AP20" s="275">
        <f t="shared" si="5"/>
        <v>3638101.73541881</v>
      </c>
      <c r="AQ20" s="275">
        <f t="shared" si="5"/>
        <v>3303866.1512335935</v>
      </c>
      <c r="AR20" s="275">
        <f t="shared" si="5"/>
        <v>3595313.4228110546</v>
      </c>
      <c r="AS20" s="275">
        <f t="shared" si="5"/>
        <v>3951258.1880228017</v>
      </c>
      <c r="AT20" s="275">
        <f t="shared" si="5"/>
        <v>4078196.05190587</v>
      </c>
    </row>
    <row r="21" spans="2:46" x14ac:dyDescent="0.3">
      <c r="B21" s="259" t="s">
        <v>436</v>
      </c>
      <c r="C21" s="272">
        <v>1656068.9679999999</v>
      </c>
      <c r="D21" s="272">
        <v>1765453.953</v>
      </c>
      <c r="E21" s="272">
        <v>1863187.0870000003</v>
      </c>
      <c r="F21" s="272">
        <v>1998072.773</v>
      </c>
      <c r="G21" s="272">
        <v>1887720.5249999999</v>
      </c>
      <c r="H21" s="272">
        <v>1987624.5270000002</v>
      </c>
      <c r="I21" s="272">
        <v>2095996.7169999999</v>
      </c>
      <c r="J21" s="272">
        <v>2159906.068</v>
      </c>
      <c r="K21" s="272">
        <v>1975730.5630000001</v>
      </c>
      <c r="L21" s="272">
        <v>1882863.4780000001</v>
      </c>
      <c r="M21" s="272">
        <v>2174548.4810000001</v>
      </c>
      <c r="N21" s="272">
        <v>2422326.3929999997</v>
      </c>
      <c r="O21" s="272">
        <v>2002101.5968240001</v>
      </c>
      <c r="P21" s="272">
        <v>2088856.3543029986</v>
      </c>
      <c r="Q21" s="272">
        <v>2316200.3490019985</v>
      </c>
      <c r="R21" s="272">
        <v>2332312.869022999</v>
      </c>
      <c r="S21" s="272">
        <v>1959174.3571019999</v>
      </c>
      <c r="T21" s="272">
        <v>2170178.2829780001</v>
      </c>
      <c r="U21" s="272">
        <v>2281048.9241780001</v>
      </c>
      <c r="V21" s="272">
        <v>2356630.7025609971</v>
      </c>
      <c r="W21" s="272">
        <v>2039607.702419</v>
      </c>
      <c r="X21" s="282">
        <v>2140437.620017</v>
      </c>
      <c r="Y21" s="282">
        <v>2211013.2408540002</v>
      </c>
      <c r="Z21" s="282">
        <v>2249551.9877067497</v>
      </c>
      <c r="AA21" s="282">
        <v>1954385.15288206</v>
      </c>
      <c r="AB21" s="282">
        <v>2088654.6510695298</v>
      </c>
      <c r="AC21" s="282">
        <v>2247822.1727060704</v>
      </c>
      <c r="AD21" s="282">
        <v>2326094.32250077</v>
      </c>
      <c r="AE21" s="282">
        <v>2089310.3761811585</v>
      </c>
      <c r="AF21" s="260">
        <v>2036276.3400466195</v>
      </c>
      <c r="AG21" s="260">
        <v>2399142.7308608703</v>
      </c>
      <c r="AH21" s="260">
        <v>2325463.200335816</v>
      </c>
      <c r="AI21" s="260">
        <v>2167144.9577237247</v>
      </c>
      <c r="AJ21" s="260">
        <v>2305199.1051781327</v>
      </c>
      <c r="AK21" s="260">
        <v>2472009.2068795683</v>
      </c>
      <c r="AL21" s="260">
        <v>2506734.6470890949</v>
      </c>
      <c r="AM21" s="260">
        <v>2307446.9097290817</v>
      </c>
      <c r="AN21" s="260">
        <v>2440691.1773466393</v>
      </c>
      <c r="AO21" s="260">
        <v>2646778.149478646</v>
      </c>
      <c r="AP21" s="260">
        <v>2637647.839518839</v>
      </c>
      <c r="AQ21" s="260">
        <v>2427842.3332823822</v>
      </c>
      <c r="AR21" s="260">
        <v>2584484.9082702771</v>
      </c>
      <c r="AS21" s="260">
        <v>2834237.1093314504</v>
      </c>
      <c r="AT21" s="260">
        <v>3012332.990287039</v>
      </c>
    </row>
    <row r="22" spans="2:46" x14ac:dyDescent="0.3">
      <c r="B22" s="259" t="s">
        <v>437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82"/>
      <c r="Y22" s="282"/>
      <c r="Z22" s="282"/>
      <c r="AA22" s="282"/>
      <c r="AB22" s="282"/>
      <c r="AC22" s="282"/>
      <c r="AD22" s="282"/>
      <c r="AE22" s="282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>
        <v>10559.42288</v>
      </c>
      <c r="AT22" s="260">
        <v>4061.3919799999999</v>
      </c>
    </row>
    <row r="23" spans="2:46" x14ac:dyDescent="0.3">
      <c r="B23" s="259" t="s">
        <v>438</v>
      </c>
      <c r="C23" s="272">
        <v>956065.37799000042</v>
      </c>
      <c r="D23" s="272">
        <v>1006069.8430899999</v>
      </c>
      <c r="E23" s="272">
        <v>1053749.75997</v>
      </c>
      <c r="F23" s="272">
        <v>991982.9074599999</v>
      </c>
      <c r="G23" s="272">
        <v>858619.22180900024</v>
      </c>
      <c r="H23" s="272">
        <v>906653.5360419997</v>
      </c>
      <c r="I23" s="272">
        <v>948602.48890299979</v>
      </c>
      <c r="J23" s="272">
        <v>978658.72278899886</v>
      </c>
      <c r="K23" s="272">
        <v>827996.19591500051</v>
      </c>
      <c r="L23" s="272">
        <v>1026806.6018559998</v>
      </c>
      <c r="M23" s="272">
        <v>898436.8552910001</v>
      </c>
      <c r="N23" s="272">
        <v>734321.90611400036</v>
      </c>
      <c r="O23" s="272">
        <v>904408.58705199976</v>
      </c>
      <c r="P23" s="272">
        <v>947639.62260500062</v>
      </c>
      <c r="Q23" s="272">
        <v>803414.26045600092</v>
      </c>
      <c r="R23" s="272">
        <v>794152.39395066677</v>
      </c>
      <c r="S23" s="272">
        <v>805970.37104293494</v>
      </c>
      <c r="T23" s="272">
        <v>818132.49471105076</v>
      </c>
      <c r="U23" s="272">
        <v>893082.80025515752</v>
      </c>
      <c r="V23" s="272">
        <v>807983.91240013437</v>
      </c>
      <c r="W23" s="272">
        <v>794689.20105480426</v>
      </c>
      <c r="X23" s="282">
        <v>795940.19576200005</v>
      </c>
      <c r="Y23" s="282">
        <v>913645.15700443042</v>
      </c>
      <c r="Z23" s="282">
        <v>910926.33671207493</v>
      </c>
      <c r="AA23" s="282">
        <v>903883.27157157334</v>
      </c>
      <c r="AB23" s="282">
        <v>929229.26879421016</v>
      </c>
      <c r="AC23" s="282">
        <v>963082.69470025739</v>
      </c>
      <c r="AD23" s="282">
        <v>908304.31389162969</v>
      </c>
      <c r="AE23" s="282">
        <v>868556.52979742992</v>
      </c>
      <c r="AF23" s="260">
        <v>960547.75027641316</v>
      </c>
      <c r="AG23" s="260">
        <v>1032959.534651352</v>
      </c>
      <c r="AH23" s="260">
        <v>1069859.5054447369</v>
      </c>
      <c r="AI23" s="260">
        <v>899268.78617439664</v>
      </c>
      <c r="AJ23" s="260">
        <v>964881.2811675088</v>
      </c>
      <c r="AK23" s="260">
        <v>1005108.0451364055</v>
      </c>
      <c r="AL23" s="260">
        <v>990896.47364997247</v>
      </c>
      <c r="AM23" s="260">
        <v>871223.74570936058</v>
      </c>
      <c r="AN23" s="260">
        <v>903155.54014182731</v>
      </c>
      <c r="AO23" s="260">
        <v>1031005.8116486621</v>
      </c>
      <c r="AP23" s="260">
        <v>1000453.895899971</v>
      </c>
      <c r="AQ23" s="260">
        <v>876023.81795121124</v>
      </c>
      <c r="AR23" s="260">
        <v>1010828.5145407775</v>
      </c>
      <c r="AS23" s="260">
        <v>1106461.6558113501</v>
      </c>
      <c r="AT23" s="260">
        <v>1061801.6696388309</v>
      </c>
    </row>
    <row r="24" spans="2:46" x14ac:dyDescent="0.3">
      <c r="B24" s="283" t="s">
        <v>439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5"/>
      <c r="Y24" s="285"/>
      <c r="Z24" s="285"/>
      <c r="AA24" s="285"/>
      <c r="AB24" s="285"/>
      <c r="AC24" s="285"/>
      <c r="AD24" s="285"/>
      <c r="AE24" s="285"/>
      <c r="AF24" s="286">
        <v>957170.88627641334</v>
      </c>
      <c r="AG24" s="286">
        <v>1028127.4986513518</v>
      </c>
      <c r="AH24" s="286">
        <v>1066625.3224447365</v>
      </c>
      <c r="AI24" s="286">
        <v>893094.75887739658</v>
      </c>
      <c r="AJ24" s="286">
        <v>957273.63516750897</v>
      </c>
      <c r="AK24" s="286">
        <v>994544.05813640554</v>
      </c>
      <c r="AL24" s="286">
        <v>981844.75464997289</v>
      </c>
      <c r="AM24" s="286">
        <v>858701.25370936061</v>
      </c>
      <c r="AN24" s="286">
        <v>888566.67314182734</v>
      </c>
      <c r="AO24" s="286">
        <v>1009867.183785912</v>
      </c>
      <c r="AP24" s="286">
        <v>983356.45968007157</v>
      </c>
      <c r="AQ24" s="286">
        <v>847506.22099711141</v>
      </c>
      <c r="AR24" s="286">
        <v>977820.88590992754</v>
      </c>
      <c r="AS24" s="286">
        <v>1072387.6038113516</v>
      </c>
      <c r="AT24" s="286">
        <v>1034637.4035059311</v>
      </c>
    </row>
    <row r="25" spans="2:46" x14ac:dyDescent="0.3">
      <c r="B25" s="259" t="s">
        <v>443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</row>
    <row r="27" spans="2:46" x14ac:dyDescent="0.3">
      <c r="B27" s="578" t="s">
        <v>444</v>
      </c>
      <c r="C27" s="164" t="s">
        <v>289</v>
      </c>
      <c r="D27" s="164" t="s">
        <v>290</v>
      </c>
      <c r="E27" s="164" t="s">
        <v>291</v>
      </c>
      <c r="F27" s="164" t="s">
        <v>292</v>
      </c>
      <c r="G27" s="164" t="s">
        <v>293</v>
      </c>
      <c r="H27" s="164" t="s">
        <v>294</v>
      </c>
      <c r="I27" s="164" t="s">
        <v>295</v>
      </c>
      <c r="J27" s="164" t="s">
        <v>296</v>
      </c>
      <c r="K27" s="164" t="s">
        <v>297</v>
      </c>
      <c r="L27" s="164" t="s">
        <v>298</v>
      </c>
      <c r="M27" s="164" t="s">
        <v>299</v>
      </c>
      <c r="N27" s="164" t="s">
        <v>300</v>
      </c>
      <c r="O27" s="164" t="s">
        <v>301</v>
      </c>
      <c r="P27" s="164" t="s">
        <v>302</v>
      </c>
      <c r="Q27" s="164" t="s">
        <v>303</v>
      </c>
      <c r="R27" s="164" t="s">
        <v>304</v>
      </c>
      <c r="S27" s="164" t="s">
        <v>57</v>
      </c>
      <c r="T27" s="164" t="s">
        <v>58</v>
      </c>
      <c r="U27" s="164" t="s">
        <v>59</v>
      </c>
      <c r="V27" s="164" t="s">
        <v>60</v>
      </c>
      <c r="W27" s="164" t="s">
        <v>61</v>
      </c>
      <c r="X27" s="164" t="s">
        <v>62</v>
      </c>
      <c r="Y27" s="164" t="s">
        <v>63</v>
      </c>
      <c r="Z27" s="164" t="s">
        <v>64</v>
      </c>
      <c r="AA27" s="164" t="str">
        <f>AA16</f>
        <v>1T19</v>
      </c>
      <c r="AB27" s="164" t="s">
        <v>66</v>
      </c>
      <c r="AC27" s="164" t="s">
        <v>67</v>
      </c>
      <c r="AD27" s="164" t="s">
        <v>68</v>
      </c>
      <c r="AE27" s="164" t="str">
        <f>AE16</f>
        <v>1T20</v>
      </c>
      <c r="AF27" s="164" t="str">
        <f t="shared" ref="AF27:AK27" si="6">AF6</f>
        <v>2T20</v>
      </c>
      <c r="AG27" s="164" t="str">
        <f t="shared" si="6"/>
        <v>3T20</v>
      </c>
      <c r="AH27" s="164" t="str">
        <f t="shared" si="6"/>
        <v>4T20</v>
      </c>
      <c r="AI27" s="164" t="str">
        <f t="shared" si="6"/>
        <v>1T21</v>
      </c>
      <c r="AJ27" s="164" t="str">
        <f t="shared" si="6"/>
        <v>2T21</v>
      </c>
      <c r="AK27" s="164" t="str">
        <f t="shared" si="6"/>
        <v>3T21</v>
      </c>
      <c r="AL27" s="164" t="str">
        <f t="shared" ref="AL27:AT27" si="7">AL16</f>
        <v>4T21</v>
      </c>
      <c r="AM27" s="164" t="str">
        <f t="shared" si="7"/>
        <v>1T22</v>
      </c>
      <c r="AN27" s="164" t="str">
        <f t="shared" si="7"/>
        <v>2T22</v>
      </c>
      <c r="AO27" s="164" t="str">
        <f t="shared" si="7"/>
        <v>3T22</v>
      </c>
      <c r="AP27" s="164" t="str">
        <f t="shared" si="7"/>
        <v>4T22</v>
      </c>
      <c r="AQ27" s="164" t="str">
        <f t="shared" si="7"/>
        <v>1T23</v>
      </c>
      <c r="AR27" s="164" t="str">
        <f t="shared" si="7"/>
        <v>2T23</v>
      </c>
      <c r="AS27" s="164" t="str">
        <f t="shared" si="7"/>
        <v>3T23</v>
      </c>
      <c r="AT27" s="164" t="str">
        <f t="shared" si="7"/>
        <v>4T23</v>
      </c>
    </row>
    <row r="28" spans="2:46" x14ac:dyDescent="0.3">
      <c r="B28" s="271" t="s">
        <v>433</v>
      </c>
      <c r="C28" s="272">
        <v>982756.98611199996</v>
      </c>
      <c r="D28" s="272">
        <v>1008400.6968825001</v>
      </c>
      <c r="E28" s="272">
        <v>1116006.4541419996</v>
      </c>
      <c r="F28" s="272">
        <v>1163797.4270306695</v>
      </c>
      <c r="G28" s="272">
        <v>1012137.1069558323</v>
      </c>
      <c r="H28" s="272">
        <v>1078103.1968451715</v>
      </c>
      <c r="I28" s="272">
        <v>1195195.6312286668</v>
      </c>
      <c r="J28" s="272">
        <v>1269982.3915386898</v>
      </c>
      <c r="K28" s="272">
        <v>1090785.43099776</v>
      </c>
      <c r="L28" s="272">
        <v>1124015.9471939998</v>
      </c>
      <c r="M28" s="272">
        <v>1244463.4943397832</v>
      </c>
      <c r="N28" s="272">
        <v>1373201.1764449743</v>
      </c>
      <c r="O28" s="272">
        <v>1143053.4569721599</v>
      </c>
      <c r="P28" s="272">
        <v>1233470.5446909992</v>
      </c>
      <c r="Q28" s="272">
        <v>1305495.9945849995</v>
      </c>
      <c r="R28" s="272">
        <v>1389232.978935089</v>
      </c>
      <c r="S28" s="272">
        <v>1124865.0467790519</v>
      </c>
      <c r="T28" s="272">
        <v>1201841.8416649997</v>
      </c>
      <c r="U28" s="272">
        <v>1301018.0979124345</v>
      </c>
      <c r="V28" s="272">
        <v>1386665.239641377</v>
      </c>
      <c r="W28" s="272">
        <v>1106627.6490966196</v>
      </c>
      <c r="X28" s="260">
        <v>1172507.0177652109</v>
      </c>
      <c r="Y28" s="260">
        <v>1302472.0533890065</v>
      </c>
      <c r="Z28" s="260">
        <v>1326162.796845854</v>
      </c>
      <c r="AA28" s="260">
        <v>1123918.6677301938</v>
      </c>
      <c r="AB28" s="260">
        <v>1179998.9287554589</v>
      </c>
      <c r="AC28" s="260">
        <v>1292329.8868828914</v>
      </c>
      <c r="AD28" s="260">
        <v>1392841.5450556441</v>
      </c>
      <c r="AE28" s="260">
        <v>1107184.0714686487</v>
      </c>
      <c r="AF28" s="260">
        <v>1109068.0430000001</v>
      </c>
      <c r="AG28" s="260">
        <v>1251751.0240392722</v>
      </c>
      <c r="AH28" s="260">
        <v>1348860.1825934746</v>
      </c>
      <c r="AI28" s="260">
        <v>1138003.3341037231</v>
      </c>
      <c r="AJ28" s="260">
        <v>1206119.5989999999</v>
      </c>
      <c r="AK28" s="260">
        <v>1312436.1302899285</v>
      </c>
      <c r="AL28" s="260">
        <v>1301914.1037059505</v>
      </c>
      <c r="AM28" s="260">
        <v>1083374.1508182979</v>
      </c>
      <c r="AN28" s="260">
        <v>1137134.499535789</v>
      </c>
      <c r="AO28" s="260">
        <v>1249301.9463274151</v>
      </c>
      <c r="AP28" s="260">
        <v>1284093.334081606</v>
      </c>
      <c r="AQ28" s="260">
        <v>1090164.0457566471</v>
      </c>
      <c r="AR28" s="260">
        <v>1176386.7871043095</v>
      </c>
      <c r="AS28" s="260">
        <v>1322804.8604703799</v>
      </c>
      <c r="AT28" s="260">
        <v>1430858.8696935601</v>
      </c>
    </row>
    <row r="29" spans="2:46" x14ac:dyDescent="0.3">
      <c r="B29" s="273" t="s">
        <v>434</v>
      </c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60"/>
      <c r="Y29" s="260"/>
      <c r="Z29" s="260"/>
      <c r="AA29" s="260">
        <v>2392.0199999999986</v>
      </c>
      <c r="AB29" s="260">
        <v>2644.0830000000078</v>
      </c>
      <c r="AC29" s="260">
        <v>5533.2700000000023</v>
      </c>
      <c r="AD29" s="260">
        <v>7919.707000000004</v>
      </c>
      <c r="AE29" s="260">
        <v>10276.014999999996</v>
      </c>
      <c r="AF29" s="260">
        <v>16733.957000000009</v>
      </c>
      <c r="AG29" s="260">
        <v>23393.055999999964</v>
      </c>
      <c r="AH29" s="260">
        <v>25778.708000000028</v>
      </c>
      <c r="AI29" s="260">
        <v>26647.286000000062</v>
      </c>
      <c r="AJ29" s="260">
        <v>36559.4010000001</v>
      </c>
      <c r="AK29" s="260">
        <v>46644.899999999965</v>
      </c>
      <c r="AL29" s="260">
        <v>51153.838999999964</v>
      </c>
      <c r="AM29" s="260">
        <v>55767.289999999892</v>
      </c>
      <c r="AN29" s="260">
        <v>68188.562999999951</v>
      </c>
      <c r="AO29" s="260">
        <v>91028.556000000041</v>
      </c>
      <c r="AP29" s="260">
        <v>94766.582999999999</v>
      </c>
      <c r="AQ29" s="260">
        <v>95718.903000000078</v>
      </c>
      <c r="AR29" s="260">
        <v>116814.97100000002</v>
      </c>
      <c r="AS29" s="260">
        <v>143432.97899999999</v>
      </c>
      <c r="AT29" s="260">
        <v>150856.85200000001</v>
      </c>
    </row>
    <row r="30" spans="2:46" x14ac:dyDescent="0.3">
      <c r="B30" s="274" t="s">
        <v>435</v>
      </c>
      <c r="C30" s="275">
        <f>SUM(C28:C28)</f>
        <v>982756.98611199996</v>
      </c>
      <c r="D30" s="275">
        <f>SUM(D28:D28)</f>
        <v>1008400.6968825001</v>
      </c>
      <c r="E30" s="275">
        <f t="shared" ref="E30:X30" si="8">SUM(E28:E28)</f>
        <v>1116006.4541419996</v>
      </c>
      <c r="F30" s="275">
        <f t="shared" si="8"/>
        <v>1163797.4270306695</v>
      </c>
      <c r="G30" s="275">
        <f t="shared" si="8"/>
        <v>1012137.1069558323</v>
      </c>
      <c r="H30" s="275">
        <f t="shared" si="8"/>
        <v>1078103.1968451715</v>
      </c>
      <c r="I30" s="275">
        <f t="shared" si="8"/>
        <v>1195195.6312286668</v>
      </c>
      <c r="J30" s="275">
        <f t="shared" si="8"/>
        <v>1269982.3915386898</v>
      </c>
      <c r="K30" s="275">
        <f t="shared" si="8"/>
        <v>1090785.43099776</v>
      </c>
      <c r="L30" s="275">
        <f t="shared" si="8"/>
        <v>1124015.9471939998</v>
      </c>
      <c r="M30" s="275">
        <f t="shared" si="8"/>
        <v>1244463.4943397832</v>
      </c>
      <c r="N30" s="275">
        <f t="shared" si="8"/>
        <v>1373201.1764449743</v>
      </c>
      <c r="O30" s="275">
        <f t="shared" si="8"/>
        <v>1143053.4569721599</v>
      </c>
      <c r="P30" s="275">
        <f t="shared" si="8"/>
        <v>1233470.5446909992</v>
      </c>
      <c r="Q30" s="275">
        <f t="shared" si="8"/>
        <v>1305495.9945849995</v>
      </c>
      <c r="R30" s="275">
        <f t="shared" si="8"/>
        <v>1389232.978935089</v>
      </c>
      <c r="S30" s="275">
        <f t="shared" si="8"/>
        <v>1124865.0467790519</v>
      </c>
      <c r="T30" s="275">
        <f t="shared" si="8"/>
        <v>1201841.8416649997</v>
      </c>
      <c r="U30" s="275">
        <f t="shared" si="8"/>
        <v>1301018.0979124345</v>
      </c>
      <c r="V30" s="275">
        <f t="shared" si="8"/>
        <v>1386665.239641377</v>
      </c>
      <c r="W30" s="275">
        <f t="shared" si="8"/>
        <v>1106627.6490966196</v>
      </c>
      <c r="X30" s="275">
        <f t="shared" si="8"/>
        <v>1172507.0177652109</v>
      </c>
      <c r="Y30" s="275">
        <f>+SUM(Y28:Y29)</f>
        <v>1302472.0533890065</v>
      </c>
      <c r="Z30" s="275">
        <f>+SUM(Z28:Z29)</f>
        <v>1326162.796845854</v>
      </c>
      <c r="AA30" s="275">
        <f>+SUM(AA28:AA29)</f>
        <v>1126310.6877301938</v>
      </c>
      <c r="AB30" s="275">
        <f t="shared" ref="AB30:AT30" si="9">+SUM(AB28:AB29)</f>
        <v>1182643.011755459</v>
      </c>
      <c r="AC30" s="275">
        <f t="shared" si="9"/>
        <v>1297863.1568828914</v>
      </c>
      <c r="AD30" s="275">
        <f t="shared" si="9"/>
        <v>1400761.2520556441</v>
      </c>
      <c r="AE30" s="275">
        <f t="shared" si="9"/>
        <v>1117460.0864686486</v>
      </c>
      <c r="AF30" s="275">
        <f t="shared" si="9"/>
        <v>1125802</v>
      </c>
      <c r="AG30" s="275">
        <f t="shared" si="9"/>
        <v>1275144.0800392721</v>
      </c>
      <c r="AH30" s="275">
        <f t="shared" si="9"/>
        <v>1374638.8905934747</v>
      </c>
      <c r="AI30" s="275">
        <f t="shared" si="9"/>
        <v>1164650.6201037231</v>
      </c>
      <c r="AJ30" s="275">
        <f t="shared" si="9"/>
        <v>1242679</v>
      </c>
      <c r="AK30" s="275">
        <f t="shared" si="9"/>
        <v>1359081.0302899284</v>
      </c>
      <c r="AL30" s="275">
        <f t="shared" si="9"/>
        <v>1353067.9427059505</v>
      </c>
      <c r="AM30" s="275">
        <f t="shared" si="9"/>
        <v>1139141.4408182977</v>
      </c>
      <c r="AN30" s="275">
        <f t="shared" si="9"/>
        <v>1205323.0625357889</v>
      </c>
      <c r="AO30" s="275">
        <f t="shared" si="9"/>
        <v>1340330.5023274152</v>
      </c>
      <c r="AP30" s="275">
        <f t="shared" si="9"/>
        <v>1378859.9170816061</v>
      </c>
      <c r="AQ30" s="275">
        <f t="shared" si="9"/>
        <v>1185882.9487566473</v>
      </c>
      <c r="AR30" s="275">
        <f t="shared" si="9"/>
        <v>1293201.7581043094</v>
      </c>
      <c r="AS30" s="275">
        <f t="shared" si="9"/>
        <v>1466237.83947038</v>
      </c>
      <c r="AT30" s="275">
        <f t="shared" si="9"/>
        <v>1581715.72169356</v>
      </c>
    </row>
    <row r="31" spans="2:46" x14ac:dyDescent="0.3">
      <c r="B31" s="259" t="s">
        <v>436</v>
      </c>
      <c r="C31" s="272">
        <v>688043.28446800006</v>
      </c>
      <c r="D31" s="272">
        <v>716807.18229200016</v>
      </c>
      <c r="E31" s="272">
        <v>775250.76144479995</v>
      </c>
      <c r="F31" s="272">
        <v>811717.67531199998</v>
      </c>
      <c r="G31" s="272">
        <v>751174.473</v>
      </c>
      <c r="H31" s="272">
        <v>756630.83293675247</v>
      </c>
      <c r="I31" s="272">
        <v>841180.69144430524</v>
      </c>
      <c r="J31" s="272">
        <v>871819.65899999999</v>
      </c>
      <c r="K31" s="272">
        <v>792327.4926749916</v>
      </c>
      <c r="L31" s="272">
        <v>796065.24676184508</v>
      </c>
      <c r="M31" s="272">
        <v>852063.52971400251</v>
      </c>
      <c r="N31" s="272">
        <v>919045.72080637957</v>
      </c>
      <c r="O31" s="272">
        <v>806999.32263335795</v>
      </c>
      <c r="P31" s="272">
        <v>856290.14455109264</v>
      </c>
      <c r="Q31" s="272">
        <v>902430.73313999851</v>
      </c>
      <c r="R31" s="272">
        <v>950744.72488787957</v>
      </c>
      <c r="S31" s="272">
        <v>830279.71631956182</v>
      </c>
      <c r="T31" s="272">
        <v>867353.80320473842</v>
      </c>
      <c r="U31" s="272">
        <v>922231.25657458021</v>
      </c>
      <c r="V31" s="272">
        <v>989806.3030446918</v>
      </c>
      <c r="W31" s="272">
        <v>820254.50399999996</v>
      </c>
      <c r="X31" s="260">
        <v>838606.68399999989</v>
      </c>
      <c r="Y31" s="260">
        <v>913685.88500000001</v>
      </c>
      <c r="Z31" s="260">
        <v>829384.95700000005</v>
      </c>
      <c r="AA31" s="260">
        <v>859291.03199212777</v>
      </c>
      <c r="AB31" s="260">
        <v>896323.35468582716</v>
      </c>
      <c r="AC31" s="260">
        <v>958096.41700000002</v>
      </c>
      <c r="AD31" s="260">
        <v>1077025.5000000002</v>
      </c>
      <c r="AE31" s="260">
        <v>904747.88700000022</v>
      </c>
      <c r="AF31" s="260">
        <v>869112.46700000006</v>
      </c>
      <c r="AG31" s="260">
        <v>960757.93099999998</v>
      </c>
      <c r="AH31" s="260">
        <v>1103997.0380000002</v>
      </c>
      <c r="AI31" s="260">
        <v>953448.65500000014</v>
      </c>
      <c r="AJ31" s="260">
        <v>996648.17800000007</v>
      </c>
      <c r="AK31" s="260">
        <v>1075841.1060000001</v>
      </c>
      <c r="AL31" s="260">
        <v>1085327.7630000003</v>
      </c>
      <c r="AM31" s="260">
        <v>911521.20400000003</v>
      </c>
      <c r="AN31" s="260">
        <v>954317.0632548721</v>
      </c>
      <c r="AO31" s="260">
        <v>1081633.0149781201</v>
      </c>
      <c r="AP31" s="260">
        <v>1080618.5105601801</v>
      </c>
      <c r="AQ31" s="260">
        <v>949328.72046668001</v>
      </c>
      <c r="AR31" s="260">
        <v>1024562.6345297607</v>
      </c>
      <c r="AS31" s="260">
        <v>1150620.8855965938</v>
      </c>
      <c r="AT31" s="260">
        <v>1233976.6912537592</v>
      </c>
    </row>
    <row r="32" spans="2:46" x14ac:dyDescent="0.3">
      <c r="B32" s="259" t="s">
        <v>437</v>
      </c>
      <c r="C32" s="272">
        <v>24720.379468000003</v>
      </c>
      <c r="D32" s="272">
        <v>25974.084292000003</v>
      </c>
      <c r="E32" s="272">
        <v>27535.693444800003</v>
      </c>
      <c r="F32" s="272">
        <v>29171.060312000001</v>
      </c>
      <c r="G32" s="272">
        <v>26864.347999999998</v>
      </c>
      <c r="H32" s="272">
        <v>28895.479936752505</v>
      </c>
      <c r="I32" s="272">
        <v>33391.927444305198</v>
      </c>
      <c r="J32" s="272">
        <v>33285.366000000002</v>
      </c>
      <c r="K32" s="272">
        <v>30467.275674991673</v>
      </c>
      <c r="L32" s="272">
        <v>31011.724761845093</v>
      </c>
      <c r="M32" s="272">
        <v>33290.018714002501</v>
      </c>
      <c r="N32" s="272">
        <v>35386.541806379697</v>
      </c>
      <c r="O32" s="272">
        <v>32248.860633357999</v>
      </c>
      <c r="P32" s="272">
        <v>34403.665551092701</v>
      </c>
      <c r="Q32" s="272">
        <v>36263.119139998402</v>
      </c>
      <c r="R32" s="272">
        <v>36213.923887879595</v>
      </c>
      <c r="S32" s="272">
        <v>31998.781319561731</v>
      </c>
      <c r="T32" s="272">
        <v>32825.451204738398</v>
      </c>
      <c r="U32" s="272">
        <v>35462.7305745802</v>
      </c>
      <c r="V32" s="272">
        <v>34864.7050446918</v>
      </c>
      <c r="W32" s="272">
        <v>29862.91472567321</v>
      </c>
      <c r="X32" s="260">
        <v>31004.696208293906</v>
      </c>
      <c r="Y32" s="260">
        <v>33312.177684063499</v>
      </c>
      <c r="Z32" s="260">
        <v>34095.757067614599</v>
      </c>
      <c r="AA32" s="260">
        <v>30452.26299212774</v>
      </c>
      <c r="AB32" s="260">
        <v>32018.805685827298</v>
      </c>
      <c r="AC32" s="260">
        <v>35481</v>
      </c>
      <c r="AD32" s="260">
        <v>34983.775999999998</v>
      </c>
      <c r="AE32" s="260">
        <v>32416.33</v>
      </c>
      <c r="AF32" s="260">
        <v>34414.71</v>
      </c>
      <c r="AG32" s="260">
        <v>39505.686999999998</v>
      </c>
      <c r="AH32" s="260">
        <v>38860.991000000002</v>
      </c>
      <c r="AI32" s="260">
        <v>36424.182000000001</v>
      </c>
      <c r="AJ32" s="260">
        <v>37824.080000000002</v>
      </c>
      <c r="AK32" s="260">
        <v>41043.202000000005</v>
      </c>
      <c r="AL32" s="260">
        <v>40353.236000000004</v>
      </c>
      <c r="AM32" s="260">
        <v>37382.29</v>
      </c>
      <c r="AN32" s="260">
        <v>36591.605000000003</v>
      </c>
      <c r="AO32" s="260">
        <v>38024.331000000006</v>
      </c>
      <c r="AP32" s="260">
        <v>31638.651885780004</v>
      </c>
      <c r="AQ32" s="260">
        <v>47063.362139050012</v>
      </c>
      <c r="AR32" s="260">
        <v>38386.433417526699</v>
      </c>
      <c r="AS32" s="260">
        <v>43027.037722453802</v>
      </c>
      <c r="AT32" s="260">
        <v>45632.668140361697</v>
      </c>
    </row>
    <row r="33" spans="2:46" x14ac:dyDescent="0.3">
      <c r="B33" s="259" t="s">
        <v>438</v>
      </c>
      <c r="C33" s="272">
        <v>269993.32217599987</v>
      </c>
      <c r="D33" s="272">
        <v>265619.43029849994</v>
      </c>
      <c r="E33" s="272">
        <v>313219.99925239966</v>
      </c>
      <c r="F33" s="272">
        <v>322908.69140666956</v>
      </c>
      <c r="G33" s="272">
        <v>234098.28595583234</v>
      </c>
      <c r="H33" s="272">
        <v>292576.88397166651</v>
      </c>
      <c r="I33" s="272">
        <v>320623.0123400563</v>
      </c>
      <c r="J33" s="272">
        <v>364877.36653868988</v>
      </c>
      <c r="K33" s="272">
        <v>267990.66264777677</v>
      </c>
      <c r="L33" s="272">
        <v>296938.97567030962</v>
      </c>
      <c r="M33" s="272">
        <v>359109.9459117782</v>
      </c>
      <c r="N33" s="272">
        <v>418768.91383221501</v>
      </c>
      <c r="O33" s="272">
        <v>303805.27370544395</v>
      </c>
      <c r="P33" s="272">
        <v>342776.73458881385</v>
      </c>
      <c r="Q33" s="272">
        <v>366802.14230500261</v>
      </c>
      <c r="R33" s="272">
        <v>402274.33015932981</v>
      </c>
      <c r="S33" s="272">
        <v>262586.54913992836</v>
      </c>
      <c r="T33" s="272">
        <v>301662.5872555229</v>
      </c>
      <c r="U33" s="272">
        <v>343324.11076327407</v>
      </c>
      <c r="V33" s="272">
        <v>361994.23155199341</v>
      </c>
      <c r="W33" s="272">
        <v>256510.23037094632</v>
      </c>
      <c r="X33" s="282">
        <v>302895.60755691712</v>
      </c>
      <c r="Y33" s="282">
        <v>355473.89070494298</v>
      </c>
      <c r="Z33" s="282">
        <v>462682.46277823928</v>
      </c>
      <c r="AA33" s="282">
        <v>267019.65573806613</v>
      </c>
      <c r="AB33" s="282">
        <v>286319.65706963174</v>
      </c>
      <c r="AC33" s="282">
        <v>339766.73988289142</v>
      </c>
      <c r="AD33" s="282">
        <v>323735.75205564382</v>
      </c>
      <c r="AE33" s="282">
        <v>212712.19946864835</v>
      </c>
      <c r="AF33" s="282">
        <v>256689.53299999988</v>
      </c>
      <c r="AG33" s="282">
        <v>314386.14903927204</v>
      </c>
      <c r="AH33" s="282">
        <v>270641.85259347438</v>
      </c>
      <c r="AI33" s="282">
        <v>211201.96510372308</v>
      </c>
      <c r="AJ33" s="282">
        <v>246030.82200000004</v>
      </c>
      <c r="AK33" s="282">
        <v>283239.92428992846</v>
      </c>
      <c r="AL33" s="282">
        <v>267740.17970595037</v>
      </c>
      <c r="AM33" s="282">
        <v>190237.94681829764</v>
      </c>
      <c r="AN33" s="282">
        <v>213484.24753578909</v>
      </c>
      <c r="AO33" s="282">
        <v>258697.48734929477</v>
      </c>
      <c r="AP33" s="282">
        <v>266602.75463564607</v>
      </c>
      <c r="AQ33" s="282">
        <v>189490.86615091728</v>
      </c>
      <c r="AR33" s="282">
        <v>230252.69015702204</v>
      </c>
      <c r="AS33" s="282">
        <v>272589.91615133232</v>
      </c>
      <c r="AT33" s="282">
        <v>302106.36229943915</v>
      </c>
    </row>
    <row r="34" spans="2:46" x14ac:dyDescent="0.3">
      <c r="B34" s="283" t="s">
        <v>439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5"/>
      <c r="Y34" s="285"/>
      <c r="Z34" s="285"/>
      <c r="AA34" s="285">
        <v>269907.82573806623</v>
      </c>
      <c r="AB34" s="285">
        <v>290201.8700696319</v>
      </c>
      <c r="AC34" s="285">
        <v>342318.27788289159</v>
      </c>
      <c r="AD34" s="285">
        <v>326606.83305564383</v>
      </c>
      <c r="AE34" s="285">
        <v>212529.88246864858</v>
      </c>
      <c r="AF34" s="285">
        <v>252207.17100000003</v>
      </c>
      <c r="AG34" s="285">
        <v>309391.46503927215</v>
      </c>
      <c r="AH34" s="285">
        <v>269918.83359347435</v>
      </c>
      <c r="AI34" s="285">
        <v>209681.30510372305</v>
      </c>
      <c r="AJ34" s="285">
        <v>238500.10699999984</v>
      </c>
      <c r="AK34" s="285">
        <v>273424.91128992854</v>
      </c>
      <c r="AL34" s="285">
        <v>260817.00870595046</v>
      </c>
      <c r="AM34" s="285">
        <v>177608.97581829785</v>
      </c>
      <c r="AN34" s="285">
        <v>197155.34453578902</v>
      </c>
      <c r="AO34" s="285">
        <v>234516.96834929497</v>
      </c>
      <c r="AP34" s="285">
        <v>249663.84263564591</v>
      </c>
      <c r="AQ34" s="285">
        <v>167201.64315091705</v>
      </c>
      <c r="AR34" s="285">
        <v>204108.32115702209</v>
      </c>
      <c r="AS34" s="285">
        <v>247786.51515133228</v>
      </c>
      <c r="AT34" s="285">
        <v>286337.37229943916</v>
      </c>
    </row>
    <row r="35" spans="2:46" x14ac:dyDescent="0.3">
      <c r="B35" s="259" t="s">
        <v>440</v>
      </c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</row>
    <row r="36" spans="2:46" x14ac:dyDescent="0.3">
      <c r="V36" s="287"/>
      <c r="W36" s="246"/>
      <c r="X36" s="246"/>
      <c r="Y36" s="246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</row>
    <row r="37" spans="2:46" x14ac:dyDescent="0.3">
      <c r="B37" s="578" t="s">
        <v>445</v>
      </c>
      <c r="C37" s="164" t="s">
        <v>289</v>
      </c>
      <c r="D37" s="164" t="s">
        <v>290</v>
      </c>
      <c r="E37" s="164" t="s">
        <v>291</v>
      </c>
      <c r="F37" s="164" t="s">
        <v>292</v>
      </c>
      <c r="G37" s="164" t="s">
        <v>293</v>
      </c>
      <c r="H37" s="164" t="s">
        <v>294</v>
      </c>
      <c r="I37" s="164" t="s">
        <v>295</v>
      </c>
      <c r="J37" s="164" t="s">
        <v>296</v>
      </c>
      <c r="K37" s="164" t="s">
        <v>297</v>
      </c>
      <c r="L37" s="164" t="s">
        <v>298</v>
      </c>
      <c r="M37" s="164" t="s">
        <v>299</v>
      </c>
      <c r="N37" s="164" t="s">
        <v>300</v>
      </c>
      <c r="O37" s="164" t="s">
        <v>301</v>
      </c>
      <c r="P37" s="164" t="s">
        <v>302</v>
      </c>
      <c r="Q37" s="164" t="s">
        <v>303</v>
      </c>
      <c r="R37" s="164" t="s">
        <v>304</v>
      </c>
      <c r="S37" s="164" t="s">
        <v>57</v>
      </c>
      <c r="T37" s="164" t="s">
        <v>58</v>
      </c>
      <c r="U37" s="164" t="s">
        <v>59</v>
      </c>
      <c r="V37" s="164" t="s">
        <v>60</v>
      </c>
      <c r="W37" s="164" t="s">
        <v>61</v>
      </c>
      <c r="X37" s="164" t="s">
        <v>62</v>
      </c>
      <c r="Y37" s="164" t="s">
        <v>63</v>
      </c>
      <c r="Z37" s="164" t="s">
        <v>64</v>
      </c>
      <c r="AA37" s="164" t="str">
        <f>AA27</f>
        <v>1T19</v>
      </c>
      <c r="AB37" s="164" t="s">
        <v>66</v>
      </c>
      <c r="AC37" s="164" t="s">
        <v>67</v>
      </c>
      <c r="AD37" s="164" t="s">
        <v>68</v>
      </c>
      <c r="AE37" s="164" t="str">
        <f t="shared" ref="AE37:AT37" si="10">AE27</f>
        <v>1T20</v>
      </c>
      <c r="AF37" s="164" t="str">
        <f t="shared" si="10"/>
        <v>2T20</v>
      </c>
      <c r="AG37" s="164" t="str">
        <f t="shared" si="10"/>
        <v>3T20</v>
      </c>
      <c r="AH37" s="164" t="str">
        <f t="shared" si="10"/>
        <v>4T20</v>
      </c>
      <c r="AI37" s="164" t="str">
        <f t="shared" si="10"/>
        <v>1T21</v>
      </c>
      <c r="AJ37" s="164" t="str">
        <f t="shared" si="10"/>
        <v>2T21</v>
      </c>
      <c r="AK37" s="164" t="str">
        <f t="shared" si="10"/>
        <v>3T21</v>
      </c>
      <c r="AL37" s="164" t="str">
        <f t="shared" si="10"/>
        <v>4T21</v>
      </c>
      <c r="AM37" s="164" t="str">
        <f t="shared" si="10"/>
        <v>1T22</v>
      </c>
      <c r="AN37" s="164" t="str">
        <f t="shared" si="10"/>
        <v>2T22</v>
      </c>
      <c r="AO37" s="164" t="str">
        <f t="shared" si="10"/>
        <v>3T22</v>
      </c>
      <c r="AP37" s="164" t="str">
        <f t="shared" si="10"/>
        <v>4T22</v>
      </c>
      <c r="AQ37" s="164" t="str">
        <f t="shared" si="10"/>
        <v>1T23</v>
      </c>
      <c r="AR37" s="164" t="str">
        <f t="shared" si="10"/>
        <v>2T23</v>
      </c>
      <c r="AS37" s="164" t="str">
        <f t="shared" si="10"/>
        <v>3T23</v>
      </c>
      <c r="AT37" s="164" t="str">
        <f t="shared" si="10"/>
        <v>4T23</v>
      </c>
    </row>
    <row r="38" spans="2:46" x14ac:dyDescent="0.3">
      <c r="B38" s="271" t="s">
        <v>433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>
        <v>1313269</v>
      </c>
      <c r="T38" s="272">
        <v>1154152</v>
      </c>
      <c r="U38" s="272">
        <v>1024398</v>
      </c>
      <c r="V38" s="272">
        <v>1214749</v>
      </c>
      <c r="W38" s="272">
        <v>1257033.7940000002</v>
      </c>
      <c r="X38" s="260">
        <v>1145603.2889999999</v>
      </c>
      <c r="Y38" s="260">
        <v>1119954.1199999999</v>
      </c>
      <c r="Z38" s="260">
        <v>1308972.7820000001</v>
      </c>
      <c r="AA38" s="260">
        <v>1315070.6939999999</v>
      </c>
      <c r="AB38" s="260">
        <v>1234017.3239999998</v>
      </c>
      <c r="AC38" s="260">
        <v>1127407.6284965009</v>
      </c>
      <c r="AD38" s="260">
        <v>1346161.4140663424</v>
      </c>
      <c r="AE38" s="260">
        <v>1381402.574425143</v>
      </c>
      <c r="AF38" s="260">
        <v>1157952.4580000001</v>
      </c>
      <c r="AG38" s="260">
        <v>1128447.6075612013</v>
      </c>
      <c r="AH38" s="260">
        <v>1352733.9671441042</v>
      </c>
      <c r="AI38" s="260">
        <v>1360725.4006042525</v>
      </c>
      <c r="AJ38" s="260">
        <v>1192912.3989474056</v>
      </c>
      <c r="AK38" s="260">
        <v>1137947.017234277</v>
      </c>
      <c r="AL38" s="260">
        <v>1362104.2093538081</v>
      </c>
      <c r="AM38" s="260">
        <v>1352186.8149191551</v>
      </c>
      <c r="AN38" s="260">
        <v>1203454.5205839172</v>
      </c>
      <c r="AO38" s="260">
        <v>1098933.7387875526</v>
      </c>
      <c r="AP38" s="260">
        <v>1289049.2905312623</v>
      </c>
      <c r="AQ38" s="260">
        <v>1346772.1086245542</v>
      </c>
      <c r="AR38" s="260">
        <v>1251548.4373576185</v>
      </c>
      <c r="AS38" s="260">
        <v>1170908.821</v>
      </c>
      <c r="AT38" s="260">
        <v>1344385.21622273</v>
      </c>
    </row>
    <row r="39" spans="2:46" x14ac:dyDescent="0.3">
      <c r="B39" s="273" t="s">
        <v>434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60"/>
      <c r="Y39" s="260"/>
      <c r="Z39" s="260"/>
      <c r="AA39" s="260">
        <v>1133.2429999999999</v>
      </c>
      <c r="AB39" s="260">
        <v>1382.5160000000001</v>
      </c>
      <c r="AC39" s="260">
        <v>2072.1800000000003</v>
      </c>
      <c r="AD39" s="260">
        <v>3461.7330000000002</v>
      </c>
      <c r="AE39" s="260">
        <v>4110.7659999999996</v>
      </c>
      <c r="AF39" s="260">
        <v>4592.5419999999995</v>
      </c>
      <c r="AG39" s="260">
        <v>6872.2500039314655</v>
      </c>
      <c r="AH39" s="260">
        <v>9284.3970000000008</v>
      </c>
      <c r="AI39" s="260">
        <v>10969.002999999999</v>
      </c>
      <c r="AJ39" s="260">
        <v>11872.596652302167</v>
      </c>
      <c r="AK39" s="260">
        <v>18630.519112028371</v>
      </c>
      <c r="AL39" s="260">
        <v>30004.551928304885</v>
      </c>
      <c r="AM39" s="260">
        <v>33344.100001786595</v>
      </c>
      <c r="AN39" s="260">
        <v>29963.685999999943</v>
      </c>
      <c r="AO39" s="260">
        <v>40259.784999999996</v>
      </c>
      <c r="AP39" s="260">
        <v>58190.132999999994</v>
      </c>
      <c r="AQ39" s="260">
        <v>66704.812000000049</v>
      </c>
      <c r="AR39" s="260">
        <v>65005.746999999974</v>
      </c>
      <c r="AS39" s="260">
        <v>73220.27</v>
      </c>
      <c r="AT39" s="260">
        <v>105397.13400000001</v>
      </c>
    </row>
    <row r="40" spans="2:46" x14ac:dyDescent="0.3">
      <c r="B40" s="274" t="s">
        <v>435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>
        <v>1313269</v>
      </c>
      <c r="T40" s="275">
        <v>1154152</v>
      </c>
      <c r="U40" s="275">
        <v>1024398</v>
      </c>
      <c r="V40" s="275">
        <v>1214749</v>
      </c>
      <c r="W40" s="275">
        <v>1257033.7940000002</v>
      </c>
      <c r="X40" s="275">
        <v>1145603.2889999999</v>
      </c>
      <c r="Y40" s="275">
        <f>+SUM(Y38:Y39)</f>
        <v>1119954.1199999999</v>
      </c>
      <c r="Z40" s="275">
        <f>+SUM(Z38:Z39)</f>
        <v>1308972.7820000001</v>
      </c>
      <c r="AA40" s="275">
        <f>+SUM(AA38:AA39)</f>
        <v>1316203.9369999999</v>
      </c>
      <c r="AB40" s="275">
        <f t="shared" ref="AB40:AT40" si="11">+SUM(AB38:AB39)</f>
        <v>1235399.8399999999</v>
      </c>
      <c r="AC40" s="275">
        <f t="shared" si="11"/>
        <v>1129479.8084965008</v>
      </c>
      <c r="AD40" s="275">
        <f t="shared" si="11"/>
        <v>1349623.1470663424</v>
      </c>
      <c r="AE40" s="275">
        <f t="shared" si="11"/>
        <v>1385513.340425143</v>
      </c>
      <c r="AF40" s="275">
        <f t="shared" si="11"/>
        <v>1162545</v>
      </c>
      <c r="AG40" s="275">
        <f t="shared" si="11"/>
        <v>1135319.8575651329</v>
      </c>
      <c r="AH40" s="275">
        <f t="shared" si="11"/>
        <v>1362018.3641441043</v>
      </c>
      <c r="AI40" s="275">
        <f t="shared" si="11"/>
        <v>1371694.4036042525</v>
      </c>
      <c r="AJ40" s="275">
        <f t="shared" si="11"/>
        <v>1204784.9955997078</v>
      </c>
      <c r="AK40" s="275">
        <f t="shared" si="11"/>
        <v>1156577.5363463054</v>
      </c>
      <c r="AL40" s="275">
        <f t="shared" si="11"/>
        <v>1392108.7612821129</v>
      </c>
      <c r="AM40" s="275">
        <f t="shared" si="11"/>
        <v>1385530.9149209417</v>
      </c>
      <c r="AN40" s="275">
        <f t="shared" si="11"/>
        <v>1233418.2065839171</v>
      </c>
      <c r="AO40" s="275">
        <f t="shared" si="11"/>
        <v>1139193.5237875525</v>
      </c>
      <c r="AP40" s="275">
        <f t="shared" si="11"/>
        <v>1347239.4235312622</v>
      </c>
      <c r="AQ40" s="275">
        <f t="shared" si="11"/>
        <v>1413476.9206245544</v>
      </c>
      <c r="AR40" s="275">
        <f t="shared" si="11"/>
        <v>1316554.1843576184</v>
      </c>
      <c r="AS40" s="275">
        <f t="shared" si="11"/>
        <v>1244129.091</v>
      </c>
      <c r="AT40" s="275">
        <f t="shared" si="11"/>
        <v>1449782.3502227301</v>
      </c>
    </row>
    <row r="41" spans="2:46" x14ac:dyDescent="0.3">
      <c r="B41" s="259" t="s">
        <v>436</v>
      </c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>
        <v>940849</v>
      </c>
      <c r="T41" s="272">
        <v>927662</v>
      </c>
      <c r="U41" s="272">
        <v>833017</v>
      </c>
      <c r="V41" s="272">
        <v>905384</v>
      </c>
      <c r="W41" s="272">
        <v>940526.86499999999</v>
      </c>
      <c r="X41" s="272">
        <v>880385.35799999989</v>
      </c>
      <c r="Y41" s="272">
        <v>866763.60999999987</v>
      </c>
      <c r="Z41" s="272">
        <v>970090.95700000005</v>
      </c>
      <c r="AA41" s="272">
        <v>961765.13500000013</v>
      </c>
      <c r="AB41" s="272">
        <v>643861.68299999996</v>
      </c>
      <c r="AC41" s="272">
        <v>863540.92277295759</v>
      </c>
      <c r="AD41" s="272">
        <v>1041882.7024809809</v>
      </c>
      <c r="AE41" s="272">
        <v>1031911.0082143547</v>
      </c>
      <c r="AF41" s="272">
        <v>882174.8321968182</v>
      </c>
      <c r="AG41" s="272">
        <v>877847.94974993379</v>
      </c>
      <c r="AH41" s="272">
        <v>1063339.0554110773</v>
      </c>
      <c r="AI41" s="272">
        <v>1045737.011431156</v>
      </c>
      <c r="AJ41" s="272">
        <v>945641.13011194731</v>
      </c>
      <c r="AK41" s="272">
        <v>907664.66915221431</v>
      </c>
      <c r="AL41" s="272">
        <v>1085988.7762996631</v>
      </c>
      <c r="AM41" s="272">
        <v>1065999.0652054227</v>
      </c>
      <c r="AN41" s="272">
        <v>981462.9268372053</v>
      </c>
      <c r="AO41" s="272">
        <v>947105.45335791609</v>
      </c>
      <c r="AP41" s="272">
        <v>1078055.1888036232</v>
      </c>
      <c r="AQ41" s="282">
        <v>1131534.2159510783</v>
      </c>
      <c r="AR41" s="282">
        <v>1090514.934169458</v>
      </c>
      <c r="AS41" s="282">
        <v>1011938.0856047045</v>
      </c>
      <c r="AT41" s="282">
        <v>1169554.9535748463</v>
      </c>
    </row>
    <row r="42" spans="2:46" x14ac:dyDescent="0.3">
      <c r="B42" s="259" t="s">
        <v>437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>
        <v>5175</v>
      </c>
      <c r="T42" s="272">
        <v>4882</v>
      </c>
      <c r="U42" s="272">
        <v>4713</v>
      </c>
      <c r="V42" s="272">
        <v>5409</v>
      </c>
      <c r="W42" s="272">
        <v>5474</v>
      </c>
      <c r="X42" s="272">
        <v>4831</v>
      </c>
      <c r="Y42" s="272">
        <v>4230</v>
      </c>
      <c r="Z42" s="272">
        <v>4422</v>
      </c>
      <c r="AA42" s="272">
        <v>4008</v>
      </c>
      <c r="AB42" s="272">
        <v>4123.0590000000002</v>
      </c>
      <c r="AC42" s="272">
        <v>3952.0550000000003</v>
      </c>
      <c r="AD42" s="272">
        <v>4699.951</v>
      </c>
      <c r="AE42" s="272">
        <v>4618.2070000000003</v>
      </c>
      <c r="AF42" s="272">
        <v>4252.6400000000003</v>
      </c>
      <c r="AG42" s="272">
        <v>4188.42</v>
      </c>
      <c r="AH42" s="272">
        <v>4821.4679999999998</v>
      </c>
      <c r="AI42" s="272">
        <v>4591.29</v>
      </c>
      <c r="AJ42" s="272">
        <v>4219.7640000000001</v>
      </c>
      <c r="AK42" s="272">
        <v>4111.5019999999995</v>
      </c>
      <c r="AL42" s="272">
        <v>4791.6580000000004</v>
      </c>
      <c r="AM42" s="272">
        <v>4525.6329999999998</v>
      </c>
      <c r="AN42" s="272">
        <v>4384.375</v>
      </c>
      <c r="AO42" s="272">
        <v>4320.366</v>
      </c>
      <c r="AP42" s="272">
        <v>4856.5889999999999</v>
      </c>
      <c r="AQ42" s="282">
        <v>4802.6409999999996</v>
      </c>
      <c r="AR42" s="282">
        <v>4473.2950000000001</v>
      </c>
      <c r="AS42" s="282">
        <v>4161.357</v>
      </c>
      <c r="AT42" s="282">
        <v>4799.2849999999999</v>
      </c>
    </row>
    <row r="43" spans="2:46" x14ac:dyDescent="0.3">
      <c r="B43" s="259" t="s">
        <v>438</v>
      </c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>
        <v>367245</v>
      </c>
      <c r="T43" s="272">
        <v>221608</v>
      </c>
      <c r="U43" s="272">
        <v>186668</v>
      </c>
      <c r="V43" s="272">
        <v>303956</v>
      </c>
      <c r="W43" s="272">
        <v>311032.92900000024</v>
      </c>
      <c r="X43" s="282">
        <v>260386.93099999998</v>
      </c>
      <c r="Y43" s="282">
        <v>248960.51</v>
      </c>
      <c r="Z43" s="282">
        <v>334459.82500000007</v>
      </c>
      <c r="AA43" s="282">
        <v>354438.80199999991</v>
      </c>
      <c r="AB43" s="282">
        <v>591538.15699999966</v>
      </c>
      <c r="AC43" s="282">
        <v>265938.88572354306</v>
      </c>
      <c r="AD43" s="282">
        <v>307740.44458536152</v>
      </c>
      <c r="AE43" s="282">
        <v>353602.33221078827</v>
      </c>
      <c r="AF43" s="282">
        <v>280370.16780318209</v>
      </c>
      <c r="AG43" s="282">
        <v>257471.90781519885</v>
      </c>
      <c r="AH43" s="282">
        <v>298679.30873302656</v>
      </c>
      <c r="AI43" s="282">
        <v>325957.39217309642</v>
      </c>
      <c r="AJ43" s="282">
        <v>259143.86548776054</v>
      </c>
      <c r="AK43" s="282">
        <v>248912.86719409106</v>
      </c>
      <c r="AL43" s="282">
        <v>306119.98498244974</v>
      </c>
      <c r="AM43" s="282">
        <v>315006.21671551903</v>
      </c>
      <c r="AN43" s="282">
        <v>251955.27974671198</v>
      </c>
      <c r="AO43" s="282">
        <v>192088.07042963646</v>
      </c>
      <c r="AP43" s="282">
        <v>264327.64572763903</v>
      </c>
      <c r="AQ43" s="282">
        <v>277140.06367347605</v>
      </c>
      <c r="AR43" s="282">
        <v>221565.95518816044</v>
      </c>
      <c r="AS43" s="282">
        <v>228029.64839529558</v>
      </c>
      <c r="AT43" s="282">
        <v>275428.11164788384</v>
      </c>
    </row>
    <row r="44" spans="2:46" x14ac:dyDescent="0.3">
      <c r="B44" s="283" t="s">
        <v>439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5"/>
      <c r="Y44" s="285"/>
      <c r="Z44" s="285"/>
      <c r="AA44" s="285">
        <v>354495.02000000008</v>
      </c>
      <c r="AB44" s="285">
        <v>591651.38399999973</v>
      </c>
      <c r="AC44" s="285">
        <v>265688.50172354328</v>
      </c>
      <c r="AD44" s="285">
        <v>306965.89158536156</v>
      </c>
      <c r="AE44" s="285">
        <v>353795.56621078838</v>
      </c>
      <c r="AF44" s="285">
        <v>279661.29980318202</v>
      </c>
      <c r="AG44" s="285">
        <v>255504.48081126739</v>
      </c>
      <c r="AH44" s="285">
        <v>328805.62773302698</v>
      </c>
      <c r="AI44" s="285">
        <v>325129.69917309645</v>
      </c>
      <c r="AJ44" s="285">
        <v>255345.01561715285</v>
      </c>
      <c r="AK44" s="285">
        <v>241954.9240820627</v>
      </c>
      <c r="AL44" s="285">
        <v>296974.3800541446</v>
      </c>
      <c r="AM44" s="285">
        <v>308220.24171373266</v>
      </c>
      <c r="AN44" s="285">
        <v>248504.28174671164</v>
      </c>
      <c r="AO44" s="285">
        <v>178595.00542963645</v>
      </c>
      <c r="AP44" s="285">
        <v>246972.29672763907</v>
      </c>
      <c r="AQ44" s="285">
        <v>261944.45167347585</v>
      </c>
      <c r="AR44" s="285">
        <v>211598.04618816046</v>
      </c>
      <c r="AS44" s="285">
        <v>209929.9283952956</v>
      </c>
      <c r="AT44" s="285">
        <v>246580.82964788392</v>
      </c>
    </row>
    <row r="45" spans="2:46" x14ac:dyDescent="0.3">
      <c r="B45" s="259" t="s">
        <v>440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</row>
    <row r="47" spans="2:46" x14ac:dyDescent="0.3">
      <c r="B47" s="578" t="s">
        <v>446</v>
      </c>
      <c r="C47" s="164" t="s">
        <v>289</v>
      </c>
      <c r="D47" s="164" t="s">
        <v>290</v>
      </c>
      <c r="E47" s="164" t="s">
        <v>291</v>
      </c>
      <c r="F47" s="164" t="s">
        <v>292</v>
      </c>
      <c r="G47" s="164" t="s">
        <v>293</v>
      </c>
      <c r="H47" s="164" t="s">
        <v>294</v>
      </c>
      <c r="I47" s="164" t="s">
        <v>295</v>
      </c>
      <c r="J47" s="164" t="s">
        <v>296</v>
      </c>
      <c r="K47" s="164" t="s">
        <v>297</v>
      </c>
      <c r="L47" s="164" t="s">
        <v>298</v>
      </c>
      <c r="M47" s="164" t="s">
        <v>299</v>
      </c>
      <c r="N47" s="164" t="s">
        <v>300</v>
      </c>
      <c r="O47" s="164" t="s">
        <v>301</v>
      </c>
      <c r="P47" s="164" t="s">
        <v>302</v>
      </c>
      <c r="Q47" s="164" t="s">
        <v>303</v>
      </c>
      <c r="R47" s="164" t="s">
        <v>304</v>
      </c>
      <c r="S47" s="164" t="s">
        <v>57</v>
      </c>
      <c r="T47" s="164" t="s">
        <v>58</v>
      </c>
      <c r="U47" s="164" t="s">
        <v>59</v>
      </c>
      <c r="V47" s="164" t="s">
        <v>60</v>
      </c>
      <c r="W47" s="164" t="s">
        <v>61</v>
      </c>
      <c r="X47" s="164" t="s">
        <v>62</v>
      </c>
      <c r="Y47" s="164" t="s">
        <v>63</v>
      </c>
      <c r="Z47" s="164" t="s">
        <v>64</v>
      </c>
      <c r="AA47" s="164" t="str">
        <f>AA37</f>
        <v>1T19</v>
      </c>
      <c r="AB47" s="164" t="s">
        <v>66</v>
      </c>
      <c r="AC47" s="164" t="s">
        <v>67</v>
      </c>
      <c r="AD47" s="164" t="s">
        <v>68</v>
      </c>
      <c r="AE47" s="164" t="str">
        <f t="shared" ref="AE47:AT47" si="12">AE37</f>
        <v>1T20</v>
      </c>
      <c r="AF47" s="164" t="str">
        <f t="shared" si="12"/>
        <v>2T20</v>
      </c>
      <c r="AG47" s="164" t="str">
        <f t="shared" si="12"/>
        <v>3T20</v>
      </c>
      <c r="AH47" s="164" t="str">
        <f t="shared" si="12"/>
        <v>4T20</v>
      </c>
      <c r="AI47" s="164" t="str">
        <f t="shared" si="12"/>
        <v>1T21</v>
      </c>
      <c r="AJ47" s="164" t="str">
        <f t="shared" si="12"/>
        <v>2T21</v>
      </c>
      <c r="AK47" s="164" t="str">
        <f t="shared" si="12"/>
        <v>3T21</v>
      </c>
      <c r="AL47" s="164" t="str">
        <f t="shared" si="12"/>
        <v>4T21</v>
      </c>
      <c r="AM47" s="164" t="str">
        <f t="shared" si="12"/>
        <v>1T22</v>
      </c>
      <c r="AN47" s="164" t="str">
        <f t="shared" si="12"/>
        <v>2T22</v>
      </c>
      <c r="AO47" s="164" t="str">
        <f t="shared" si="12"/>
        <v>3T22</v>
      </c>
      <c r="AP47" s="164" t="str">
        <f t="shared" si="12"/>
        <v>4T22</v>
      </c>
      <c r="AQ47" s="164" t="str">
        <f t="shared" si="12"/>
        <v>1T23</v>
      </c>
      <c r="AR47" s="164" t="str">
        <f t="shared" si="12"/>
        <v>2T23</v>
      </c>
      <c r="AS47" s="164" t="str">
        <f t="shared" si="12"/>
        <v>3T23</v>
      </c>
      <c r="AT47" s="164" t="str">
        <f t="shared" si="12"/>
        <v>4T23</v>
      </c>
    </row>
    <row r="48" spans="2:46" x14ac:dyDescent="0.3">
      <c r="B48" s="271" t="s">
        <v>433</v>
      </c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60"/>
      <c r="Y48" s="260"/>
      <c r="Z48" s="260"/>
      <c r="AA48" s="260"/>
      <c r="AB48" s="260"/>
      <c r="AC48" s="260"/>
      <c r="AD48" s="260"/>
      <c r="AE48" s="260"/>
      <c r="AF48" s="260"/>
      <c r="AG48" s="260">
        <v>2189848.8214456076</v>
      </c>
      <c r="AH48" s="260">
        <v>2421298.2024441473</v>
      </c>
      <c r="AI48" s="260">
        <v>2702008.8241919307</v>
      </c>
      <c r="AJ48" s="260">
        <v>2263144.9930928042</v>
      </c>
      <c r="AK48" s="260">
        <v>2185183.4387885449</v>
      </c>
      <c r="AL48" s="260">
        <v>2374408.5180929508</v>
      </c>
      <c r="AM48" s="260">
        <v>2775113.4988698876</v>
      </c>
      <c r="AN48" s="260">
        <v>2219409.670670602</v>
      </c>
      <c r="AO48" s="260">
        <v>2148246.7044669744</v>
      </c>
      <c r="AP48" s="260">
        <v>2347448.6335789193</v>
      </c>
      <c r="AQ48" s="260">
        <v>2859278.6680733743</v>
      </c>
      <c r="AR48" s="260">
        <v>2171364.7187439031</v>
      </c>
      <c r="AS48" s="260">
        <v>2134828.3901629276</v>
      </c>
      <c r="AT48" s="260">
        <v>2331645.1571236905</v>
      </c>
    </row>
    <row r="49" spans="2:46" x14ac:dyDescent="0.3">
      <c r="B49" s="273" t="s">
        <v>434</v>
      </c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>
        <v>31881.957999999999</v>
      </c>
      <c r="AJ49" s="260">
        <v>23967.942999999999</v>
      </c>
      <c r="AK49" s="260">
        <v>24653.397999999997</v>
      </c>
      <c r="AL49" s="260">
        <v>51859.155000000013</v>
      </c>
      <c r="AM49" s="260">
        <v>57663.393000000025</v>
      </c>
      <c r="AN49" s="260">
        <v>47811.458000127015</v>
      </c>
      <c r="AO49" s="260">
        <v>55259.724000225004</v>
      </c>
      <c r="AP49" s="260">
        <v>88782.78899999999</v>
      </c>
      <c r="AQ49" s="260">
        <v>111353.386</v>
      </c>
      <c r="AR49" s="260">
        <v>82067.633998953999</v>
      </c>
      <c r="AS49" s="260">
        <v>70854.74900016599</v>
      </c>
      <c r="AT49" s="260">
        <v>99157.168999999994</v>
      </c>
    </row>
    <row r="50" spans="2:46" x14ac:dyDescent="0.3">
      <c r="B50" s="274" t="s">
        <v>435</v>
      </c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>
        <f>+SUM(AG48:AG49)</f>
        <v>2189848.8214456076</v>
      </c>
      <c r="AH50" s="275">
        <f t="shared" ref="AH50:AT50" si="13">+SUM(AH48:AH49)</f>
        <v>2421298.2024441473</v>
      </c>
      <c r="AI50" s="275">
        <f t="shared" si="13"/>
        <v>2733890.7821919308</v>
      </c>
      <c r="AJ50" s="275">
        <f t="shared" si="13"/>
        <v>2287112.9360928042</v>
      </c>
      <c r="AK50" s="275">
        <f t="shared" si="13"/>
        <v>2209836.8367885449</v>
      </c>
      <c r="AL50" s="275">
        <f t="shared" si="13"/>
        <v>2426267.6730929506</v>
      </c>
      <c r="AM50" s="275">
        <f t="shared" si="13"/>
        <v>2832776.8918698877</v>
      </c>
      <c r="AN50" s="275">
        <f t="shared" si="13"/>
        <v>2267221.1286707292</v>
      </c>
      <c r="AO50" s="275">
        <f t="shared" si="13"/>
        <v>2203506.4284671992</v>
      </c>
      <c r="AP50" s="275">
        <f t="shared" si="13"/>
        <v>2436231.4225789192</v>
      </c>
      <c r="AQ50" s="275">
        <f t="shared" si="13"/>
        <v>2970632.0540733743</v>
      </c>
      <c r="AR50" s="275">
        <f t="shared" si="13"/>
        <v>2253432.3527428573</v>
      </c>
      <c r="AS50" s="275">
        <f t="shared" si="13"/>
        <v>2205683.1391630936</v>
      </c>
      <c r="AT50" s="275">
        <f t="shared" si="13"/>
        <v>2430802.3261236902</v>
      </c>
    </row>
    <row r="51" spans="2:46" x14ac:dyDescent="0.3">
      <c r="B51" s="259" t="s">
        <v>436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>
        <v>1808736.343793706</v>
      </c>
      <c r="AH51" s="272">
        <v>1799105.964667337</v>
      </c>
      <c r="AI51" s="272">
        <v>2261190.3456494617</v>
      </c>
      <c r="AJ51" s="272">
        <v>1968104.746192927</v>
      </c>
      <c r="AK51" s="272">
        <v>1760905.6963577201</v>
      </c>
      <c r="AL51" s="272">
        <v>1869197.7646663368</v>
      </c>
      <c r="AM51" s="272">
        <v>2378499.5677081533</v>
      </c>
      <c r="AN51" s="272">
        <v>1900914.6863652267</v>
      </c>
      <c r="AO51" s="272">
        <v>1900285.0043742633</v>
      </c>
      <c r="AP51" s="272">
        <v>1967632.5864333091</v>
      </c>
      <c r="AQ51" s="282">
        <v>2513408.372180324</v>
      </c>
      <c r="AR51" s="282">
        <v>2055105.345245915</v>
      </c>
      <c r="AS51" s="282">
        <v>1947139.7398957319</v>
      </c>
      <c r="AT51" s="282">
        <v>2018439.8072361602</v>
      </c>
    </row>
    <row r="52" spans="2:46" x14ac:dyDescent="0.3">
      <c r="B52" s="259" t="s">
        <v>437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>
        <v>11439.867</v>
      </c>
      <c r="AH52" s="272">
        <v>12420.375</v>
      </c>
      <c r="AI52" s="272">
        <v>15151.186764256006</v>
      </c>
      <c r="AJ52" s="272">
        <v>14632.198761490028</v>
      </c>
      <c r="AK52" s="272">
        <v>12600.839453161738</v>
      </c>
      <c r="AL52" s="272">
        <v>12959.749186542269</v>
      </c>
      <c r="AM52" s="272">
        <v>16404.885351480421</v>
      </c>
      <c r="AN52" s="272">
        <v>13604.669417033212</v>
      </c>
      <c r="AO52" s="272">
        <v>13238.516325097564</v>
      </c>
      <c r="AP52" s="272">
        <v>14056.917965504097</v>
      </c>
      <c r="AQ52" s="282">
        <v>19552.020650945477</v>
      </c>
      <c r="AR52" s="282">
        <v>15750.640402166944</v>
      </c>
      <c r="AS52" s="282">
        <v>13309.000136122293</v>
      </c>
      <c r="AT52" s="282">
        <v>12394.38499049705</v>
      </c>
    </row>
    <row r="53" spans="2:46" x14ac:dyDescent="0.3">
      <c r="B53" s="259" t="s">
        <v>438</v>
      </c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82"/>
      <c r="Y53" s="282"/>
      <c r="Z53" s="282"/>
      <c r="AA53" s="282"/>
      <c r="AB53" s="282"/>
      <c r="AC53" s="282"/>
      <c r="AD53" s="282"/>
      <c r="AE53" s="282"/>
      <c r="AF53" s="282"/>
      <c r="AG53" s="282">
        <v>369672.61065190152</v>
      </c>
      <c r="AH53" s="282">
        <v>609771.8627768103</v>
      </c>
      <c r="AI53" s="282">
        <v>472700.43654246908</v>
      </c>
      <c r="AJ53" s="282">
        <v>319008.18989987735</v>
      </c>
      <c r="AK53" s="282">
        <v>448931.1404308246</v>
      </c>
      <c r="AL53" s="282">
        <v>557069.90842661436</v>
      </c>
      <c r="AM53" s="282">
        <v>437872.43881025398</v>
      </c>
      <c r="AN53" s="282">
        <v>352701.7728884691</v>
      </c>
      <c r="AO53" s="282">
        <v>303221.4240929361</v>
      </c>
      <c r="AP53" s="282">
        <v>455321.10738561006</v>
      </c>
      <c r="AQ53" s="282">
        <v>437671.66124210472</v>
      </c>
      <c r="AR53" s="282">
        <v>182576.36709477537</v>
      </c>
      <c r="AS53" s="282">
        <v>245234.39913123945</v>
      </c>
      <c r="AT53" s="282">
        <v>399968.13389703305</v>
      </c>
    </row>
    <row r="54" spans="2:46" x14ac:dyDescent="0.3">
      <c r="B54" s="283" t="s">
        <v>439</v>
      </c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>
        <v>459603.63154246897</v>
      </c>
      <c r="AJ54" s="285">
        <v>314598.84989987721</v>
      </c>
      <c r="AK54" s="285">
        <v>443170.24343082472</v>
      </c>
      <c r="AL54" s="285">
        <v>528182.44342661405</v>
      </c>
      <c r="AM54" s="285">
        <v>421000.89581025392</v>
      </c>
      <c r="AN54" s="285">
        <v>326607.05788834207</v>
      </c>
      <c r="AO54" s="285">
        <v>276281.69309271086</v>
      </c>
      <c r="AP54" s="285">
        <v>432240.46281891927</v>
      </c>
      <c r="AQ54" s="285">
        <v>402962.36624210479</v>
      </c>
      <c r="AR54" s="285">
        <v>170988.67009582109</v>
      </c>
      <c r="AS54" s="285">
        <v>240790.13613107317</v>
      </c>
      <c r="AT54" s="285">
        <v>376470.77589703328</v>
      </c>
    </row>
    <row r="55" spans="2:46" x14ac:dyDescent="0.3">
      <c r="B55" s="259" t="s">
        <v>440</v>
      </c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</row>
    <row r="57" spans="2:46" x14ac:dyDescent="0.3">
      <c r="B57" s="578" t="s">
        <v>447</v>
      </c>
      <c r="C57" s="164" t="s">
        <v>289</v>
      </c>
      <c r="D57" s="164" t="s">
        <v>290</v>
      </c>
      <c r="E57" s="164" t="s">
        <v>291</v>
      </c>
      <c r="F57" s="164" t="s">
        <v>292</v>
      </c>
      <c r="G57" s="164" t="s">
        <v>293</v>
      </c>
      <c r="H57" s="164" t="s">
        <v>294</v>
      </c>
      <c r="I57" s="164" t="s">
        <v>295</v>
      </c>
      <c r="J57" s="164" t="s">
        <v>296</v>
      </c>
      <c r="K57" s="164" t="s">
        <v>297</v>
      </c>
      <c r="L57" s="164" t="s">
        <v>298</v>
      </c>
      <c r="M57" s="164" t="s">
        <v>299</v>
      </c>
      <c r="N57" s="164" t="s">
        <v>300</v>
      </c>
      <c r="O57" s="164" t="s">
        <v>301</v>
      </c>
      <c r="P57" s="164" t="s">
        <v>302</v>
      </c>
      <c r="Q57" s="164" t="s">
        <v>303</v>
      </c>
      <c r="R57" s="164" t="s">
        <v>304</v>
      </c>
      <c r="S57" s="164" t="s">
        <v>57</v>
      </c>
      <c r="T57" s="164" t="s">
        <v>58</v>
      </c>
      <c r="U57" s="164" t="s">
        <v>59</v>
      </c>
      <c r="V57" s="164" t="s">
        <v>60</v>
      </c>
      <c r="W57" s="164" t="s">
        <v>61</v>
      </c>
      <c r="X57" s="164" t="s">
        <v>62</v>
      </c>
      <c r="Y57" s="164" t="s">
        <v>63</v>
      </c>
      <c r="Z57" s="164" t="s">
        <v>64</v>
      </c>
      <c r="AA57" s="164" t="str">
        <f>AA47</f>
        <v>1T19</v>
      </c>
      <c r="AB57" s="164" t="s">
        <v>66</v>
      </c>
      <c r="AC57" s="164" t="s">
        <v>67</v>
      </c>
      <c r="AD57" s="164" t="s">
        <v>68</v>
      </c>
      <c r="AE57" s="164" t="str">
        <f t="shared" ref="AE57:AT57" si="14">AE47</f>
        <v>1T20</v>
      </c>
      <c r="AF57" s="164" t="str">
        <f t="shared" si="14"/>
        <v>2T20</v>
      </c>
      <c r="AG57" s="164" t="str">
        <f t="shared" si="14"/>
        <v>3T20</v>
      </c>
      <c r="AH57" s="164" t="str">
        <f t="shared" si="14"/>
        <v>4T20</v>
      </c>
      <c r="AI57" s="164" t="str">
        <f t="shared" si="14"/>
        <v>1T21</v>
      </c>
      <c r="AJ57" s="164" t="str">
        <f t="shared" si="14"/>
        <v>2T21</v>
      </c>
      <c r="AK57" s="164" t="str">
        <f t="shared" si="14"/>
        <v>3T21</v>
      </c>
      <c r="AL57" s="164" t="str">
        <f t="shared" si="14"/>
        <v>4T21</v>
      </c>
      <c r="AM57" s="164" t="str">
        <f t="shared" si="14"/>
        <v>1T22</v>
      </c>
      <c r="AN57" s="164" t="str">
        <f t="shared" si="14"/>
        <v>2T22</v>
      </c>
      <c r="AO57" s="164" t="str">
        <f t="shared" si="14"/>
        <v>3T22</v>
      </c>
      <c r="AP57" s="164" t="str">
        <f t="shared" si="14"/>
        <v>4T22</v>
      </c>
      <c r="AQ57" s="164" t="str">
        <f t="shared" si="14"/>
        <v>1T23</v>
      </c>
      <c r="AR57" s="164" t="str">
        <f t="shared" si="14"/>
        <v>2T23</v>
      </c>
      <c r="AS57" s="164" t="str">
        <f t="shared" si="14"/>
        <v>3T23</v>
      </c>
      <c r="AT57" s="164" t="str">
        <f t="shared" si="14"/>
        <v>4T23</v>
      </c>
    </row>
    <row r="58" spans="2:46" x14ac:dyDescent="0.3">
      <c r="B58" s="271" t="s">
        <v>433</v>
      </c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>
        <v>510284.96499999997</v>
      </c>
      <c r="AI58" s="260">
        <v>473061.04100000003</v>
      </c>
      <c r="AJ58" s="260">
        <v>514946.17800000001</v>
      </c>
      <c r="AK58" s="260">
        <v>553710.55139545887</v>
      </c>
      <c r="AL58" s="260">
        <v>476578.27585599991</v>
      </c>
      <c r="AM58" s="260">
        <v>457319.00521899993</v>
      </c>
      <c r="AN58" s="260">
        <v>479145.93446600001</v>
      </c>
      <c r="AO58" s="260">
        <v>532881.16737300018</v>
      </c>
      <c r="AP58" s="260">
        <v>540262.86248576839</v>
      </c>
      <c r="AQ58" s="260">
        <v>433050.23555333313</v>
      </c>
      <c r="AR58" s="260">
        <v>475209.20853403036</v>
      </c>
      <c r="AS58" s="260">
        <v>522421.70107795758</v>
      </c>
      <c r="AT58" s="260">
        <v>537681.34191111499</v>
      </c>
    </row>
    <row r="59" spans="2:46" x14ac:dyDescent="0.3">
      <c r="B59" s="271" t="s">
        <v>442</v>
      </c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>
        <v>12277.400758344285</v>
      </c>
      <c r="AI59" s="260">
        <v>11069.567344000001</v>
      </c>
      <c r="AJ59" s="260">
        <v>12244.484409000001</v>
      </c>
      <c r="AK59" s="260">
        <v>13232.09096456612</v>
      </c>
      <c r="AL59" s="260">
        <v>11091.880590524564</v>
      </c>
      <c r="AM59" s="260">
        <v>10965.17473713282</v>
      </c>
      <c r="AN59" s="260">
        <v>11847.797597377908</v>
      </c>
      <c r="AO59" s="260">
        <v>13094.480783325234</v>
      </c>
      <c r="AP59" s="260">
        <v>13201.550968962383</v>
      </c>
      <c r="AQ59" s="260">
        <v>11175.098559355483</v>
      </c>
      <c r="AR59" s="260">
        <v>12422.681189345079</v>
      </c>
      <c r="AS59" s="260">
        <v>13943.84689519418</v>
      </c>
      <c r="AT59" s="260">
        <v>14390.461936641001</v>
      </c>
    </row>
    <row r="60" spans="2:46" x14ac:dyDescent="0.3">
      <c r="B60" s="289" t="s">
        <v>434</v>
      </c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>
        <v>1362.318</v>
      </c>
      <c r="AJ60" s="260">
        <v>2158.7209999999995</v>
      </c>
      <c r="AK60" s="260">
        <v>3061.422</v>
      </c>
      <c r="AL60" s="260">
        <v>2722.712</v>
      </c>
      <c r="AM60" s="260">
        <v>2760.058</v>
      </c>
      <c r="AN60" s="260">
        <v>3337.116</v>
      </c>
      <c r="AO60" s="260">
        <v>4619.2739999999994</v>
      </c>
      <c r="AP60" s="260">
        <v>5307.5810000000001</v>
      </c>
      <c r="AQ60" s="260">
        <v>5408.7340000000004</v>
      </c>
      <c r="AR60" s="260">
        <v>7641.8810000000003</v>
      </c>
      <c r="AS60" s="260">
        <v>10060.393999999997</v>
      </c>
      <c r="AT60" s="260">
        <v>12448.287</v>
      </c>
    </row>
    <row r="61" spans="2:46" x14ac:dyDescent="0.3">
      <c r="B61" s="274" t="s">
        <v>435</v>
      </c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>
        <f>+SUM(AH58:AH60)</f>
        <v>522562.36575834424</v>
      </c>
      <c r="AI61" s="275">
        <f>+SUM(AI58:AI60)</f>
        <v>485492.92634400004</v>
      </c>
      <c r="AJ61" s="275">
        <f t="shared" ref="AJ61:AT61" si="15">+SUM(AJ58:AJ60)</f>
        <v>529349.383409</v>
      </c>
      <c r="AK61" s="275">
        <f t="shared" si="15"/>
        <v>570004.06436002499</v>
      </c>
      <c r="AL61" s="275">
        <f t="shared" si="15"/>
        <v>490392.86844652449</v>
      </c>
      <c r="AM61" s="275">
        <f t="shared" si="15"/>
        <v>471044.23795613274</v>
      </c>
      <c r="AN61" s="275">
        <f t="shared" si="15"/>
        <v>494330.8480633779</v>
      </c>
      <c r="AO61" s="275">
        <f t="shared" si="15"/>
        <v>550594.92215632543</v>
      </c>
      <c r="AP61" s="275">
        <f t="shared" si="15"/>
        <v>558771.99445473077</v>
      </c>
      <c r="AQ61" s="275">
        <f t="shared" si="15"/>
        <v>449634.0681126886</v>
      </c>
      <c r="AR61" s="275">
        <f t="shared" si="15"/>
        <v>495273.77072337543</v>
      </c>
      <c r="AS61" s="275">
        <f t="shared" si="15"/>
        <v>546425.94197315176</v>
      </c>
      <c r="AT61" s="275">
        <f t="shared" si="15"/>
        <v>564520.09084775602</v>
      </c>
    </row>
    <row r="62" spans="2:46" x14ac:dyDescent="0.3">
      <c r="B62" s="259" t="s">
        <v>436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>
        <v>256186.28099999999</v>
      </c>
      <c r="AI62" s="272">
        <v>273294.28700000007</v>
      </c>
      <c r="AJ62" s="272">
        <v>275240.83500000002</v>
      </c>
      <c r="AK62" s="272">
        <v>294418.20599999995</v>
      </c>
      <c r="AL62" s="272">
        <v>285506.50200000021</v>
      </c>
      <c r="AM62" s="272">
        <v>234186.527</v>
      </c>
      <c r="AN62" s="272">
        <v>265025.32499999995</v>
      </c>
      <c r="AO62" s="272">
        <v>286756.58100000001</v>
      </c>
      <c r="AP62" s="272">
        <v>335263.87099999993</v>
      </c>
      <c r="AQ62" s="282">
        <v>251814.98700000002</v>
      </c>
      <c r="AR62" s="282">
        <v>283128.99300000002</v>
      </c>
      <c r="AS62" s="282">
        <v>328801.95799999998</v>
      </c>
      <c r="AT62" s="282">
        <v>341051.72999199998</v>
      </c>
    </row>
    <row r="63" spans="2:46" x14ac:dyDescent="0.3">
      <c r="B63" s="259" t="s">
        <v>438</v>
      </c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>
        <v>266376.08475834422</v>
      </c>
      <c r="AI63" s="282">
        <v>212198.63934400002</v>
      </c>
      <c r="AJ63" s="282">
        <v>254108.5484090001</v>
      </c>
      <c r="AK63" s="282">
        <v>275585.8583600251</v>
      </c>
      <c r="AL63" s="282">
        <v>204886.36644652428</v>
      </c>
      <c r="AM63" s="282">
        <v>236857.71095613274</v>
      </c>
      <c r="AN63" s="282">
        <v>229305.52306337794</v>
      </c>
      <c r="AO63" s="282">
        <v>263838.34115632542</v>
      </c>
      <c r="AP63" s="282">
        <v>223508.12345473084</v>
      </c>
      <c r="AQ63" s="282">
        <v>197819.08111268858</v>
      </c>
      <c r="AR63" s="282">
        <v>212144.77772337542</v>
      </c>
      <c r="AS63" s="282">
        <v>217623.98397315177</v>
      </c>
      <c r="AT63" s="282">
        <v>223468.36085575604</v>
      </c>
    </row>
    <row r="64" spans="2:46" x14ac:dyDescent="0.3">
      <c r="B64" s="283" t="s">
        <v>439</v>
      </c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>
        <v>211995.497344</v>
      </c>
      <c r="AJ64" s="285">
        <v>253319.01140900009</v>
      </c>
      <c r="AK64" s="285">
        <v>274610.54299498373</v>
      </c>
      <c r="AL64" s="285">
        <v>205036.61407153835</v>
      </c>
      <c r="AM64" s="285">
        <v>236485.85795613274</v>
      </c>
      <c r="AN64" s="285">
        <v>229099.37306337798</v>
      </c>
      <c r="AO64" s="285">
        <v>263267.88915632543</v>
      </c>
      <c r="AP64" s="285">
        <v>223035.56345473079</v>
      </c>
      <c r="AQ64" s="285">
        <v>196869.01711268863</v>
      </c>
      <c r="AR64" s="285">
        <v>210713.04872337542</v>
      </c>
      <c r="AS64" s="285">
        <v>215316.35197315179</v>
      </c>
      <c r="AT64" s="285">
        <v>221105.73985575599</v>
      </c>
    </row>
    <row r="65" spans="2:46" x14ac:dyDescent="0.3">
      <c r="B65" s="259" t="s">
        <v>440</v>
      </c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90"/>
      <c r="AP65" s="290"/>
      <c r="AQ65" s="290"/>
      <c r="AR65" s="290"/>
      <c r="AS65" s="290"/>
      <c r="AT65" s="290"/>
    </row>
    <row r="67" spans="2:46" x14ac:dyDescent="0.3">
      <c r="B67" s="578" t="s">
        <v>448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 t="str">
        <f>AA57</f>
        <v>1T19</v>
      </c>
      <c r="AB67" s="164" t="s">
        <v>66</v>
      </c>
      <c r="AC67" s="164" t="s">
        <v>67</v>
      </c>
      <c r="AD67" s="164" t="s">
        <v>68</v>
      </c>
      <c r="AE67" s="164" t="str">
        <f t="shared" ref="AE67:AT67" si="16">AE57</f>
        <v>1T20</v>
      </c>
      <c r="AF67" s="164" t="str">
        <f t="shared" si="16"/>
        <v>2T20</v>
      </c>
      <c r="AG67" s="164" t="str">
        <f t="shared" si="16"/>
        <v>3T20</v>
      </c>
      <c r="AH67" s="164" t="str">
        <f t="shared" si="16"/>
        <v>4T20</v>
      </c>
      <c r="AI67" s="164" t="str">
        <f t="shared" si="16"/>
        <v>1T21</v>
      </c>
      <c r="AJ67" s="164" t="str">
        <f t="shared" si="16"/>
        <v>2T21</v>
      </c>
      <c r="AK67" s="164" t="str">
        <f t="shared" si="16"/>
        <v>3T21</v>
      </c>
      <c r="AL67" s="164" t="str">
        <f t="shared" si="16"/>
        <v>4T21</v>
      </c>
      <c r="AM67" s="164" t="str">
        <f t="shared" si="16"/>
        <v>1T22</v>
      </c>
      <c r="AN67" s="164" t="str">
        <f t="shared" si="16"/>
        <v>2T22</v>
      </c>
      <c r="AO67" s="164" t="str">
        <f t="shared" si="16"/>
        <v>3T22</v>
      </c>
      <c r="AP67" s="164" t="str">
        <f t="shared" si="16"/>
        <v>4T22</v>
      </c>
      <c r="AQ67" s="164" t="str">
        <f t="shared" si="16"/>
        <v>1T23</v>
      </c>
      <c r="AR67" s="164" t="str">
        <f t="shared" si="16"/>
        <v>2T23</v>
      </c>
      <c r="AS67" s="164" t="str">
        <f t="shared" si="16"/>
        <v>3T23</v>
      </c>
      <c r="AT67" s="164" t="str">
        <f t="shared" si="16"/>
        <v>4T23</v>
      </c>
    </row>
    <row r="68" spans="2:46" x14ac:dyDescent="0.3">
      <c r="B68" s="271" t="s">
        <v>433</v>
      </c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>
        <v>4189336.1358500007</v>
      </c>
      <c r="AM68" s="260">
        <v>4063382.9286895012</v>
      </c>
      <c r="AN68" s="260">
        <v>4277441.3129559988</v>
      </c>
      <c r="AO68" s="260">
        <v>4385573.7333819997</v>
      </c>
      <c r="AP68" s="260">
        <v>4252782.758032999</v>
      </c>
      <c r="AQ68" s="260">
        <v>4125068.2600139999</v>
      </c>
      <c r="AR68" s="260">
        <v>4242406.0453049997</v>
      </c>
      <c r="AS68" s="260">
        <v>4568159</v>
      </c>
      <c r="AT68" s="260">
        <v>4898084.2577809999</v>
      </c>
    </row>
    <row r="69" spans="2:46" x14ac:dyDescent="0.3">
      <c r="B69" s="289" t="s">
        <v>434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>
        <v>121906.37914999999</v>
      </c>
      <c r="AM69" s="260">
        <v>148198.93817000001</v>
      </c>
      <c r="AN69" s="260">
        <v>159419.00109000003</v>
      </c>
      <c r="AO69" s="260">
        <v>180345</v>
      </c>
      <c r="AP69" s="260">
        <v>226081.27370999998</v>
      </c>
      <c r="AQ69" s="260">
        <v>247189.91177000001</v>
      </c>
      <c r="AR69" s="260">
        <v>292279.41599999997</v>
      </c>
      <c r="AS69" s="260">
        <v>313884</v>
      </c>
      <c r="AT69" s="260">
        <v>379290.17700000003</v>
      </c>
    </row>
    <row r="70" spans="2:46" x14ac:dyDescent="0.3">
      <c r="B70" s="274" t="s">
        <v>435</v>
      </c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>
        <f t="shared" ref="AL70:AT70" si="17">+SUM(AL68:AL69)</f>
        <v>4311242.5150000006</v>
      </c>
      <c r="AM70" s="275">
        <f t="shared" si="17"/>
        <v>4211581.8668595012</v>
      </c>
      <c r="AN70" s="275">
        <f t="shared" si="17"/>
        <v>4436860.3140459992</v>
      </c>
      <c r="AO70" s="275">
        <f t="shared" si="17"/>
        <v>4565918.7333819997</v>
      </c>
      <c r="AP70" s="275">
        <f t="shared" si="17"/>
        <v>4478864.0317429993</v>
      </c>
      <c r="AQ70" s="275">
        <f t="shared" si="17"/>
        <v>4372258.1717839995</v>
      </c>
      <c r="AR70" s="275">
        <f t="shared" si="17"/>
        <v>4534685.4613049999</v>
      </c>
      <c r="AS70" s="275">
        <f t="shared" si="17"/>
        <v>4882043</v>
      </c>
      <c r="AT70" s="275">
        <f t="shared" si="17"/>
        <v>5277374.434781</v>
      </c>
    </row>
    <row r="71" spans="2:46" x14ac:dyDescent="0.3">
      <c r="B71" s="259" t="s">
        <v>436</v>
      </c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>
        <v>3969455.4773200005</v>
      </c>
      <c r="AM71" s="282">
        <v>3646657.2260999996</v>
      </c>
      <c r="AN71" s="282">
        <v>3880833.4598580003</v>
      </c>
      <c r="AO71" s="272">
        <v>3957529.707043</v>
      </c>
      <c r="AP71" s="272">
        <v>4070157.1364200003</v>
      </c>
      <c r="AQ71" s="282">
        <v>3750935.2639619997</v>
      </c>
      <c r="AR71" s="282">
        <v>4030556.8471339997</v>
      </c>
      <c r="AS71" s="282">
        <v>4155894.6289340006</v>
      </c>
      <c r="AT71" s="282">
        <v>4743608.9314401792</v>
      </c>
    </row>
    <row r="72" spans="2:46" x14ac:dyDescent="0.3">
      <c r="B72" s="259" t="s">
        <v>437</v>
      </c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>
        <v>1864.0644800000002</v>
      </c>
      <c r="AM72" s="282">
        <v>2140.9533569999999</v>
      </c>
      <c r="AN72" s="282">
        <v>2536.526237</v>
      </c>
      <c r="AO72" s="272">
        <v>2649.0252799999998</v>
      </c>
      <c r="AP72" s="272">
        <v>2587.44229</v>
      </c>
      <c r="AQ72" s="282">
        <v>2544.739075</v>
      </c>
      <c r="AR72" s="282">
        <v>2790.492949</v>
      </c>
      <c r="AS72" s="282">
        <v>3064</v>
      </c>
      <c r="AT72" s="282">
        <v>2926.55</v>
      </c>
    </row>
    <row r="73" spans="2:46" x14ac:dyDescent="0.3">
      <c r="B73" s="259" t="s">
        <v>438</v>
      </c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2"/>
      <c r="AL73" s="282">
        <v>339922.97320000007</v>
      </c>
      <c r="AM73" s="282">
        <v>562783.68740250159</v>
      </c>
      <c r="AN73" s="282">
        <v>553490.32795099891</v>
      </c>
      <c r="AO73" s="282">
        <v>605740.00105899968</v>
      </c>
      <c r="AP73" s="282">
        <v>406119.45303299901</v>
      </c>
      <c r="AQ73" s="282">
        <v>618778.16874699981</v>
      </c>
      <c r="AR73" s="282">
        <v>501338.12122200022</v>
      </c>
      <c r="AS73" s="282">
        <v>723084.37106599938</v>
      </c>
      <c r="AT73" s="282">
        <v>530838.95334082074</v>
      </c>
    </row>
    <row r="74" spans="2:46" x14ac:dyDescent="0.3">
      <c r="B74" s="283" t="s">
        <v>439</v>
      </c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>
        <v>326070.15101000061</v>
      </c>
      <c r="AM74" s="285">
        <v>414584.74923250161</v>
      </c>
      <c r="AN74" s="285">
        <v>691678.82218799926</v>
      </c>
      <c r="AO74" s="285">
        <v>569617.03305899957</v>
      </c>
      <c r="AP74" s="285">
        <v>373285.77490299894</v>
      </c>
      <c r="AQ74" s="285">
        <v>412380.10697700031</v>
      </c>
      <c r="AR74" s="285">
        <v>735223.93017100031</v>
      </c>
      <c r="AS74" s="285">
        <v>669662.63506600028</v>
      </c>
      <c r="AT74" s="285">
        <v>487137.73234081996</v>
      </c>
    </row>
    <row r="75" spans="2:46" x14ac:dyDescent="0.3">
      <c r="B75" s="259" t="s">
        <v>440</v>
      </c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90"/>
      <c r="AP75" s="290"/>
      <c r="AQ75" s="290"/>
      <c r="AR75" s="290"/>
      <c r="AS75" s="290"/>
      <c r="AT75" s="290"/>
    </row>
    <row r="77" spans="2:46" x14ac:dyDescent="0.3">
      <c r="B77" s="578" t="s">
        <v>449</v>
      </c>
      <c r="C77" s="164" t="s">
        <v>289</v>
      </c>
      <c r="D77" s="164" t="s">
        <v>290</v>
      </c>
      <c r="E77" s="164" t="s">
        <v>291</v>
      </c>
      <c r="F77" s="164" t="s">
        <v>292</v>
      </c>
      <c r="G77" s="164" t="s">
        <v>293</v>
      </c>
      <c r="H77" s="164" t="s">
        <v>294</v>
      </c>
      <c r="I77" s="164" t="s">
        <v>295</v>
      </c>
      <c r="J77" s="164" t="s">
        <v>296</v>
      </c>
      <c r="K77" s="164" t="s">
        <v>297</v>
      </c>
      <c r="L77" s="164" t="s">
        <v>298</v>
      </c>
      <c r="M77" s="164" t="s">
        <v>299</v>
      </c>
      <c r="N77" s="164" t="s">
        <v>300</v>
      </c>
      <c r="O77" s="164" t="s">
        <v>301</v>
      </c>
      <c r="P77" s="164" t="s">
        <v>302</v>
      </c>
      <c r="Q77" s="164" t="s">
        <v>303</v>
      </c>
      <c r="R77" s="164" t="s">
        <v>304</v>
      </c>
      <c r="S77" s="164" t="s">
        <v>57</v>
      </c>
      <c r="T77" s="164" t="s">
        <v>58</v>
      </c>
      <c r="U77" s="164" t="s">
        <v>59</v>
      </c>
      <c r="V77" s="164" t="s">
        <v>60</v>
      </c>
      <c r="W77" s="164" t="s">
        <v>61</v>
      </c>
      <c r="X77" s="164" t="s">
        <v>62</v>
      </c>
      <c r="Y77" s="164" t="s">
        <v>63</v>
      </c>
      <c r="Z77" s="164" t="s">
        <v>64</v>
      </c>
      <c r="AA77" s="164" t="str">
        <f>AA57</f>
        <v>1T19</v>
      </c>
      <c r="AB77" s="164" t="s">
        <v>66</v>
      </c>
      <c r="AC77" s="164" t="s">
        <v>67</v>
      </c>
      <c r="AD77" s="164" t="s">
        <v>68</v>
      </c>
      <c r="AE77" s="164" t="str">
        <f t="shared" ref="AE77:AL77" si="18">AE57</f>
        <v>1T20</v>
      </c>
      <c r="AF77" s="164" t="str">
        <f t="shared" si="18"/>
        <v>2T20</v>
      </c>
      <c r="AG77" s="164" t="str">
        <f t="shared" si="18"/>
        <v>3T20</v>
      </c>
      <c r="AH77" s="164" t="str">
        <f t="shared" si="18"/>
        <v>4T20</v>
      </c>
      <c r="AI77" s="164" t="str">
        <f t="shared" si="18"/>
        <v>1T21</v>
      </c>
      <c r="AJ77" s="164" t="str">
        <f t="shared" si="18"/>
        <v>2T21</v>
      </c>
      <c r="AK77" s="164" t="str">
        <f t="shared" si="18"/>
        <v>3T21</v>
      </c>
      <c r="AL77" s="164" t="str">
        <f t="shared" si="18"/>
        <v>4T21</v>
      </c>
      <c r="AM77" s="164" t="str">
        <f>AM57</f>
        <v>1T22</v>
      </c>
      <c r="AN77" s="164" t="str">
        <f>AN57</f>
        <v>2T22</v>
      </c>
      <c r="AO77" s="164" t="str">
        <f t="shared" ref="AO77:AT77" si="19">AO57</f>
        <v>3T22</v>
      </c>
      <c r="AP77" s="164" t="str">
        <f t="shared" si="19"/>
        <v>4T22</v>
      </c>
      <c r="AQ77" s="164" t="str">
        <f t="shared" si="19"/>
        <v>1T23</v>
      </c>
      <c r="AR77" s="164" t="str">
        <f t="shared" si="19"/>
        <v>2T23</v>
      </c>
      <c r="AS77" s="164" t="str">
        <f t="shared" si="19"/>
        <v>3T23</v>
      </c>
      <c r="AT77" s="164" t="str">
        <f t="shared" si="19"/>
        <v>4T23</v>
      </c>
    </row>
    <row r="78" spans="2:46" x14ac:dyDescent="0.3">
      <c r="B78" s="271" t="s">
        <v>433</v>
      </c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60"/>
      <c r="Y78" s="260"/>
      <c r="Z78" s="260"/>
      <c r="AA78" s="260">
        <f t="shared" ref="AA78:AO78" si="20">AA58+AA48+AA38+AA28+AA17+AA7+AA68</f>
        <v>7006848.719459814</v>
      </c>
      <c r="AB78" s="260">
        <f t="shared" si="20"/>
        <v>7249284.4277673122</v>
      </c>
      <c r="AC78" s="260">
        <f t="shared" si="20"/>
        <v>7583922.5641304916</v>
      </c>
      <c r="AD78" s="260">
        <f t="shared" si="20"/>
        <v>8020201.4367902614</v>
      </c>
      <c r="AE78" s="260">
        <f t="shared" si="20"/>
        <v>7227783.7951580547</v>
      </c>
      <c r="AF78" s="260">
        <f t="shared" si="20"/>
        <v>7077081.4373269156</v>
      </c>
      <c r="AG78" s="260">
        <f t="shared" si="20"/>
        <v>10009478.315886188</v>
      </c>
      <c r="AH78" s="260">
        <f t="shared" si="20"/>
        <v>11122909.403241601</v>
      </c>
      <c r="AI78" s="260">
        <f t="shared" si="20"/>
        <v>10608218.897393309</v>
      </c>
      <c r="AJ78" s="260">
        <f t="shared" si="20"/>
        <v>10421292.112014225</v>
      </c>
      <c r="AK78" s="260">
        <f t="shared" si="20"/>
        <v>10737461.176486477</v>
      </c>
      <c r="AL78" s="260">
        <f t="shared" si="20"/>
        <v>15279474.381659215</v>
      </c>
      <c r="AM78" s="260">
        <f t="shared" si="20"/>
        <v>14751032.368813038</v>
      </c>
      <c r="AN78" s="260">
        <f t="shared" si="20"/>
        <v>14607600.776199583</v>
      </c>
      <c r="AO78" s="260">
        <f t="shared" si="20"/>
        <v>15171582.004758639</v>
      </c>
      <c r="AP78" s="260">
        <f>AP58+AP48+AP38+AP28+AP17+AP7+AP68</f>
        <v>15469240.986467335</v>
      </c>
      <c r="AQ78" s="260">
        <f>AQ58+AQ48+AQ38+AQ28+AQ17+AQ7+AQ68</f>
        <v>15013620.546701513</v>
      </c>
      <c r="AR78" s="260">
        <f>AR58+AR48+AR38+AR28+AR17+AR7+AR68</f>
        <v>14952382.600570917</v>
      </c>
      <c r="AS78" s="260">
        <f>AS58+AS48+AS38+AS28+AS17+AS7+AS68</f>
        <v>15876794.993988961</v>
      </c>
      <c r="AT78" s="260">
        <v>16928702.463582434</v>
      </c>
    </row>
    <row r="79" spans="2:46" x14ac:dyDescent="0.3">
      <c r="B79" s="271" t="s">
        <v>442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60"/>
      <c r="Y79" s="260"/>
      <c r="Z79" s="260"/>
      <c r="AA79" s="260">
        <f>AA59+AA18</f>
        <v>70159.918357000017</v>
      </c>
      <c r="AB79" s="260">
        <f t="shared" ref="AB79:AO79" si="21">AB59+AB18</f>
        <v>72084.386335999981</v>
      </c>
      <c r="AC79" s="260">
        <f t="shared" si="21"/>
        <v>78538.429994607824</v>
      </c>
      <c r="AD79" s="260">
        <f t="shared" si="21"/>
        <v>78508.03360155056</v>
      </c>
      <c r="AE79" s="260">
        <f t="shared" si="21"/>
        <v>74143.589719162919</v>
      </c>
      <c r="AF79" s="260">
        <f t="shared" si="21"/>
        <v>73493.287170605472</v>
      </c>
      <c r="AG79" s="260">
        <f t="shared" si="21"/>
        <v>88081.192773005067</v>
      </c>
      <c r="AH79" s="260">
        <f t="shared" si="21"/>
        <v>94821.696983727699</v>
      </c>
      <c r="AI79" s="260">
        <f t="shared" si="21"/>
        <v>74536.720958719859</v>
      </c>
      <c r="AJ79" s="260">
        <f t="shared" si="21"/>
        <v>81317.59667195534</v>
      </c>
      <c r="AK79" s="260">
        <f t="shared" si="21"/>
        <v>87797.022463861897</v>
      </c>
      <c r="AL79" s="260">
        <f t="shared" si="21"/>
        <v>87422.505438907829</v>
      </c>
      <c r="AM79" s="260">
        <f t="shared" si="21"/>
        <v>77113.6237321933</v>
      </c>
      <c r="AN79" s="260">
        <f t="shared" si="21"/>
        <v>78579.860698647186</v>
      </c>
      <c r="AO79" s="260">
        <f t="shared" si="21"/>
        <v>88958.769123850128</v>
      </c>
      <c r="AP79" s="260">
        <f>AP59+AP18</f>
        <v>88543.324541993105</v>
      </c>
      <c r="AQ79" s="260">
        <f>AQ59+AQ18</f>
        <v>85587.90992003151</v>
      </c>
      <c r="AR79" s="260">
        <f>AR59+AR18</f>
        <v>75322.759066136554</v>
      </c>
      <c r="AS79" s="260">
        <f>AS59+AS18</f>
        <v>78046.179152985118</v>
      </c>
      <c r="AT79" s="260">
        <v>82749.305889883108</v>
      </c>
    </row>
    <row r="80" spans="2:46" x14ac:dyDescent="0.3">
      <c r="B80" s="289" t="s">
        <v>434</v>
      </c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60"/>
      <c r="Y80" s="260"/>
      <c r="Z80" s="260"/>
      <c r="AA80" s="260">
        <f t="shared" ref="AA80:AT82" si="22">AA60+AA49+AA39+AA29+AA19+AA8+AA69</f>
        <v>5691.7619999999988</v>
      </c>
      <c r="AB80" s="260">
        <f t="shared" si="22"/>
        <v>7221.6569982450083</v>
      </c>
      <c r="AC80" s="260">
        <f t="shared" si="22"/>
        <v>13352.470000000005</v>
      </c>
      <c r="AD80" s="260">
        <f t="shared" si="22"/>
        <v>20220.223000000005</v>
      </c>
      <c r="AE80" s="260">
        <f t="shared" si="22"/>
        <v>35573.002999999997</v>
      </c>
      <c r="AF80" s="260">
        <f t="shared" si="22"/>
        <v>52519.482394680017</v>
      </c>
      <c r="AG80" s="260">
        <f t="shared" si="22"/>
        <v>77024.98565773142</v>
      </c>
      <c r="AH80" s="260">
        <f t="shared" si="22"/>
        <v>86903.979000000021</v>
      </c>
      <c r="AI80" s="260">
        <f t="shared" si="22"/>
        <v>127318.83729700005</v>
      </c>
      <c r="AJ80" s="260">
        <f t="shared" si="22"/>
        <v>150271.34265230226</v>
      </c>
      <c r="AK80" s="260">
        <f t="shared" si="22"/>
        <v>192476.54811202834</v>
      </c>
      <c r="AL80" s="260">
        <f t="shared" si="22"/>
        <v>366703.12307830487</v>
      </c>
      <c r="AM80" s="260">
        <f t="shared" si="22"/>
        <v>408793.33417178656</v>
      </c>
      <c r="AN80" s="260">
        <f t="shared" si="22"/>
        <v>451192.72409012704</v>
      </c>
      <c r="AO80" s="260">
        <f t="shared" si="22"/>
        <v>562565.15495412494</v>
      </c>
      <c r="AP80" s="260">
        <f t="shared" si="22"/>
        <v>680912.77818452008</v>
      </c>
      <c r="AQ80" s="260">
        <f t="shared" si="22"/>
        <v>749191.21333159041</v>
      </c>
      <c r="AR80" s="260">
        <f t="shared" si="22"/>
        <v>834025.79662980395</v>
      </c>
      <c r="AS80" s="260">
        <f t="shared" si="22"/>
        <v>937864.75300016592</v>
      </c>
      <c r="AT80" s="260">
        <v>1097659.6981329001</v>
      </c>
    </row>
    <row r="81" spans="2:46" x14ac:dyDescent="0.3">
      <c r="B81" s="274" t="s">
        <v>435</v>
      </c>
      <c r="C81" s="275">
        <f t="shared" ref="C81:Z81" si="23">C61+C50+C40+C30+C20+C9</f>
        <v>5121506.8189019812</v>
      </c>
      <c r="D81" s="275">
        <f t="shared" si="23"/>
        <v>5361737.6561986478</v>
      </c>
      <c r="E81" s="275">
        <f t="shared" si="23"/>
        <v>5731946.2130504567</v>
      </c>
      <c r="F81" s="275">
        <f t="shared" si="23"/>
        <v>5899242.2221505307</v>
      </c>
      <c r="G81" s="275">
        <f t="shared" si="23"/>
        <v>5341696.269371598</v>
      </c>
      <c r="H81" s="275">
        <f t="shared" si="23"/>
        <v>5633288.0613296349</v>
      </c>
      <c r="I81" s="275">
        <f t="shared" si="23"/>
        <v>6053312.4328734484</v>
      </c>
      <c r="J81" s="275">
        <f t="shared" si="23"/>
        <v>6272613.1947373319</v>
      </c>
      <c r="K81" s="275">
        <f t="shared" si="23"/>
        <v>5578285.5362233724</v>
      </c>
      <c r="L81" s="275">
        <f t="shared" si="23"/>
        <v>5777313.2653056914</v>
      </c>
      <c r="M81" s="275">
        <f t="shared" si="23"/>
        <v>6177460.1809913171</v>
      </c>
      <c r="N81" s="275">
        <f t="shared" si="23"/>
        <v>6478127.0878738053</v>
      </c>
      <c r="O81" s="275">
        <f t="shared" si="23"/>
        <v>5817540.2502166424</v>
      </c>
      <c r="P81" s="275">
        <f t="shared" si="23"/>
        <v>6116400.4001630247</v>
      </c>
      <c r="Q81" s="275">
        <f t="shared" si="23"/>
        <v>6359863.4657360446</v>
      </c>
      <c r="R81" s="275">
        <f t="shared" si="23"/>
        <v>6497205.5904011782</v>
      </c>
      <c r="S81" s="275">
        <f t="shared" si="23"/>
        <v>6912469.7749239868</v>
      </c>
      <c r="T81" s="275">
        <f t="shared" si="23"/>
        <v>7176087.6193540506</v>
      </c>
      <c r="U81" s="275">
        <f t="shared" si="23"/>
        <v>7454826.8223455921</v>
      </c>
      <c r="V81" s="275">
        <f t="shared" si="23"/>
        <v>7759511.8546025082</v>
      </c>
      <c r="W81" s="275">
        <f t="shared" si="23"/>
        <v>6940900.4019556977</v>
      </c>
      <c r="X81" s="275">
        <f t="shared" si="23"/>
        <v>7076399.4171166606</v>
      </c>
      <c r="Y81" s="275">
        <f t="shared" si="23"/>
        <v>7514981.1926436927</v>
      </c>
      <c r="Z81" s="275">
        <f t="shared" si="23"/>
        <v>7780918.4563687788</v>
      </c>
      <c r="AA81" s="291">
        <f t="shared" si="22"/>
        <v>7082700.3998168148</v>
      </c>
      <c r="AB81" s="291">
        <f t="shared" si="22"/>
        <v>7328590.4711015569</v>
      </c>
      <c r="AC81" s="291">
        <f t="shared" si="22"/>
        <v>7675813.4641250987</v>
      </c>
      <c r="AD81" s="291">
        <f t="shared" si="22"/>
        <v>8118929.6933918111</v>
      </c>
      <c r="AE81" s="291">
        <f t="shared" si="22"/>
        <v>7337500.3878772184</v>
      </c>
      <c r="AF81" s="291">
        <f t="shared" si="22"/>
        <v>7203094.2068922007</v>
      </c>
      <c r="AG81" s="291">
        <f t="shared" si="22"/>
        <v>10174584.494316924</v>
      </c>
      <c r="AH81" s="291">
        <f t="shared" si="22"/>
        <v>11304635.079225328</v>
      </c>
      <c r="AI81" s="291">
        <f t="shared" si="22"/>
        <v>10810074.455649029</v>
      </c>
      <c r="AJ81" s="291">
        <f t="shared" si="22"/>
        <v>10652881.051338483</v>
      </c>
      <c r="AK81" s="291">
        <f t="shared" si="22"/>
        <v>11017734.747062366</v>
      </c>
      <c r="AL81" s="291">
        <f t="shared" si="22"/>
        <v>15733600.010176428</v>
      </c>
      <c r="AM81" s="291">
        <f t="shared" si="22"/>
        <v>15236939.326717017</v>
      </c>
      <c r="AN81" s="291">
        <f t="shared" si="22"/>
        <v>15137373.36098836</v>
      </c>
      <c r="AO81" s="291">
        <f t="shared" si="22"/>
        <v>15823105.928836614</v>
      </c>
      <c r="AP81" s="291">
        <f t="shared" si="22"/>
        <v>16238697.089193845</v>
      </c>
      <c r="AQ81" s="291">
        <f t="shared" si="22"/>
        <v>15848399.669953134</v>
      </c>
      <c r="AR81" s="291">
        <f t="shared" si="22"/>
        <v>15861731.156266857</v>
      </c>
      <c r="AS81" s="291">
        <f t="shared" si="22"/>
        <v>16892705.926142111</v>
      </c>
      <c r="AT81" s="291">
        <f t="shared" si="22"/>
        <v>18109111.467605218</v>
      </c>
    </row>
    <row r="82" spans="2:46" x14ac:dyDescent="0.3">
      <c r="B82" s="259" t="s">
        <v>436</v>
      </c>
      <c r="AA82" s="292">
        <f t="shared" si="22"/>
        <v>5256187.9794180626</v>
      </c>
      <c r="AB82" s="292">
        <f t="shared" si="22"/>
        <v>5179970.0899878927</v>
      </c>
      <c r="AC82" s="292">
        <f t="shared" si="22"/>
        <v>5717930.6410268601</v>
      </c>
      <c r="AD82" s="292">
        <f t="shared" si="22"/>
        <v>6199752.3719892511</v>
      </c>
      <c r="AE82" s="292">
        <f t="shared" si="22"/>
        <v>5580593.6082175141</v>
      </c>
      <c r="AF82" s="292">
        <f t="shared" si="22"/>
        <v>5348636.1452739416</v>
      </c>
      <c r="AG82" s="292">
        <f t="shared" si="22"/>
        <v>7770139.0607574144</v>
      </c>
      <c r="AH82" s="292">
        <f t="shared" si="22"/>
        <v>8362217.6136435643</v>
      </c>
      <c r="AI82" s="292">
        <f t="shared" si="22"/>
        <v>8338647.0423093429</v>
      </c>
      <c r="AJ82" s="292">
        <f t="shared" si="22"/>
        <v>8164842.1832183674</v>
      </c>
      <c r="AK82" s="292">
        <f t="shared" si="22"/>
        <v>8330006.4141645962</v>
      </c>
      <c r="AL82" s="292">
        <f t="shared" si="22"/>
        <v>12687134.167901032</v>
      </c>
      <c r="AM82" s="292">
        <f t="shared" si="22"/>
        <v>12218710.836417841</v>
      </c>
      <c r="AN82" s="292">
        <f t="shared" si="22"/>
        <v>12183916.375462681</v>
      </c>
      <c r="AO82" s="292">
        <f t="shared" si="22"/>
        <v>12742161.802851107</v>
      </c>
      <c r="AP82" s="292">
        <f t="shared" si="22"/>
        <v>13159709.089035789</v>
      </c>
      <c r="AQ82" s="292">
        <f t="shared" si="22"/>
        <v>12818407.18688602</v>
      </c>
      <c r="AR82" s="292">
        <f t="shared" si="22"/>
        <v>13007174.618333787</v>
      </c>
      <c r="AS82" s="292">
        <f t="shared" si="22"/>
        <v>13529627.265040021</v>
      </c>
      <c r="AT82" s="292">
        <v>14759691.92688401</v>
      </c>
    </row>
    <row r="83" spans="2:46" x14ac:dyDescent="0.3">
      <c r="B83" s="259" t="s">
        <v>437</v>
      </c>
      <c r="AA83" s="292">
        <f t="shared" ref="AA83:AO83" si="24">+AA11+AA32+AA42+AA52+AA72</f>
        <v>35789.367387961072</v>
      </c>
      <c r="AB83" s="292">
        <f t="shared" si="24"/>
        <v>39295.95255836314</v>
      </c>
      <c r="AC83" s="292">
        <f t="shared" si="24"/>
        <v>41869.867610833331</v>
      </c>
      <c r="AD83" s="292">
        <f t="shared" si="24"/>
        <v>41417.414270833331</v>
      </c>
      <c r="AE83" s="292">
        <f t="shared" si="24"/>
        <v>39510.343670666669</v>
      </c>
      <c r="AF83" s="292">
        <f t="shared" si="24"/>
        <v>40097.173166666667</v>
      </c>
      <c r="AG83" s="292">
        <f t="shared" si="24"/>
        <v>56638.32433333333</v>
      </c>
      <c r="AH83" s="292">
        <f t="shared" si="24"/>
        <v>57291.102018666672</v>
      </c>
      <c r="AI83" s="292">
        <f t="shared" si="24"/>
        <v>57992.672847589347</v>
      </c>
      <c r="AJ83" s="292">
        <f t="shared" si="24"/>
        <v>58069.181594823363</v>
      </c>
      <c r="AK83" s="292">
        <f t="shared" si="24"/>
        <v>59565.015953161746</v>
      </c>
      <c r="AL83" s="292">
        <f t="shared" si="24"/>
        <v>61911.357439871499</v>
      </c>
      <c r="AM83" s="292">
        <f t="shared" si="24"/>
        <v>62677.501291813758</v>
      </c>
      <c r="AN83" s="292">
        <f t="shared" si="24"/>
        <v>58601.113441070251</v>
      </c>
      <c r="AO83" s="292">
        <f t="shared" si="24"/>
        <v>60324.82660509758</v>
      </c>
      <c r="AP83" s="292">
        <f>+AP11+AP32+AP42+AP52+AP72</f>
        <v>54330.648471284097</v>
      </c>
      <c r="AQ83" s="292">
        <f>+AQ11+AQ32+AQ42+AQ52+AQ72</f>
        <v>76365.415854578823</v>
      </c>
      <c r="AR83" s="292">
        <f>+AR11+AR32+AR42+AR52+AR72</f>
        <v>63400.693325145257</v>
      </c>
      <c r="AS83" s="292">
        <f>+AS11+AS32+AS42+AS52+AS72</f>
        <v>68745.362404608357</v>
      </c>
      <c r="AT83" s="292">
        <v>72111.543502790999</v>
      </c>
    </row>
    <row r="84" spans="2:46" x14ac:dyDescent="0.3">
      <c r="B84" s="259" t="s">
        <v>438</v>
      </c>
      <c r="AA84" s="292">
        <f t="shared" ref="AA84:AP85" si="25">AA63+AA53+AA43+AA33+AA23+AA12+AA73</f>
        <v>1826512.4203987517</v>
      </c>
      <c r="AB84" s="292">
        <f t="shared" si="25"/>
        <v>2148620.3811136638</v>
      </c>
      <c r="AC84" s="292">
        <f t="shared" si="25"/>
        <v>1957882.8230982379</v>
      </c>
      <c r="AD84" s="292">
        <f t="shared" si="25"/>
        <v>1919177.3214025605</v>
      </c>
      <c r="AE84" s="292">
        <f t="shared" si="25"/>
        <v>1756906.7796597038</v>
      </c>
      <c r="AF84" s="292">
        <f t="shared" si="25"/>
        <v>1854458.0616182592</v>
      </c>
      <c r="AG84" s="292">
        <f t="shared" si="25"/>
        <v>2393005.5665595089</v>
      </c>
      <c r="AH84" s="292">
        <f t="shared" si="25"/>
        <v>2929997.0905817645</v>
      </c>
      <c r="AI84" s="292">
        <f t="shared" si="25"/>
        <v>2471427.4133396847</v>
      </c>
      <c r="AJ84" s="292">
        <f t="shared" si="25"/>
        <v>2488038.8681201162</v>
      </c>
      <c r="AK84" s="292">
        <f t="shared" si="25"/>
        <v>2687728.3328977702</v>
      </c>
      <c r="AL84" s="292">
        <f t="shared" si="25"/>
        <v>3044601.7777953958</v>
      </c>
      <c r="AM84" s="292">
        <f t="shared" si="25"/>
        <v>2955550.989007364</v>
      </c>
      <c r="AN84" s="292">
        <f t="shared" si="25"/>
        <v>2899794.038126518</v>
      </c>
      <c r="AO84" s="292">
        <f t="shared" si="25"/>
        <v>3078295.1007055072</v>
      </c>
      <c r="AP84" s="292">
        <f>AP63+AP53+AP43+AP33+AP23+AP12+AP73</f>
        <v>3025436.5408922778</v>
      </c>
      <c r="AQ84" s="292">
        <f>AQ63+AQ53+AQ43+AQ33+AQ23+AQ12+AQ73</f>
        <v>2953627.0672125369</v>
      </c>
      <c r="AR84" s="292">
        <f>AR63+AR53+AR43+AR33+AR23+AR12+AR73</f>
        <v>2791155.8446079274</v>
      </c>
      <c r="AS84" s="292">
        <f>AS63+AS53+AS43+AS33+AS23+AS12+AS73</f>
        <v>3283773.8758174824</v>
      </c>
      <c r="AT84" s="292">
        <v>3277307.9972184133</v>
      </c>
    </row>
    <row r="85" spans="2:46" x14ac:dyDescent="0.3">
      <c r="B85" s="283" t="s">
        <v>439</v>
      </c>
      <c r="AA85" s="293">
        <f>AA64+AA54+AA44+AA34+AA24+AA13+AA74</f>
        <v>925263.07482717885</v>
      </c>
      <c r="AB85" s="293">
        <f t="shared" si="25"/>
        <v>1222899.517321209</v>
      </c>
      <c r="AC85" s="293">
        <f t="shared" si="25"/>
        <v>995673.42039798084</v>
      </c>
      <c r="AD85" s="293">
        <f t="shared" si="25"/>
        <v>1011697.7925109309</v>
      </c>
      <c r="AE85" s="293">
        <f t="shared" si="25"/>
        <v>885957.76286227442</v>
      </c>
      <c r="AF85" s="293">
        <f t="shared" si="25"/>
        <v>1841627.6812235797</v>
      </c>
      <c r="AG85" s="293">
        <f t="shared" si="25"/>
        <v>2005618.9402498759</v>
      </c>
      <c r="AH85" s="293">
        <f t="shared" si="25"/>
        <v>2076951.4710466107</v>
      </c>
      <c r="AI85" s="293">
        <f t="shared" si="25"/>
        <v>2445160.6520426846</v>
      </c>
      <c r="AJ85" s="293">
        <f t="shared" si="25"/>
        <v>2457071.2232495085</v>
      </c>
      <c r="AK85" s="293">
        <f t="shared" si="25"/>
        <v>2644206.5874207001</v>
      </c>
      <c r="AL85" s="293">
        <f t="shared" si="25"/>
        <v>2970917.357302106</v>
      </c>
      <c r="AM85" s="293">
        <f>AM64+AM54+AM44+AM34+AM24+AM13+AM74</f>
        <v>2750949.7088355771</v>
      </c>
      <c r="AN85" s="293">
        <f t="shared" si="25"/>
        <v>2964764.6633633906</v>
      </c>
      <c r="AO85" s="293">
        <f t="shared" si="25"/>
        <v>2937402.9847513819</v>
      </c>
      <c r="AP85" s="293">
        <f t="shared" si="25"/>
        <v>2902890.9690658045</v>
      </c>
      <c r="AQ85" s="293">
        <f t="shared" ref="AQ85:AS85" si="26">AQ64+AQ54+AQ44+AQ34+AQ24+AQ13+AQ74</f>
        <v>2628825.0058809477</v>
      </c>
      <c r="AR85" s="293">
        <f t="shared" si="26"/>
        <v>2923812.6549271233</v>
      </c>
      <c r="AS85" s="293">
        <f t="shared" si="26"/>
        <v>3126436.7398173185</v>
      </c>
      <c r="AT85" s="293">
        <v>3266107.9440910965</v>
      </c>
    </row>
    <row r="89" spans="2:46" x14ac:dyDescent="0.3">
      <c r="AJ89" s="246"/>
      <c r="AN89" s="246"/>
      <c r="AO89" s="246"/>
      <c r="AP89" s="246"/>
      <c r="AQ89" s="246"/>
      <c r="AR89" s="246"/>
      <c r="AS89" s="246"/>
      <c r="AT89" s="246"/>
    </row>
    <row r="90" spans="2:46" x14ac:dyDescent="0.3"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8999-EBD4-4EC6-82EC-1F6ADC77021F}">
  <sheetPr>
    <tabColor theme="9" tint="0.79998168889431442"/>
  </sheetPr>
  <dimension ref="A6:AG36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4" sqref="E14"/>
    </sheetView>
  </sheetViews>
  <sheetFormatPr defaultColWidth="8.7265625" defaultRowHeight="14.5" x14ac:dyDescent="0.35"/>
  <cols>
    <col min="1" max="1" width="56.453125" customWidth="1"/>
    <col min="2" max="2" width="2.453125" customWidth="1"/>
  </cols>
  <sheetData>
    <row r="6" spans="1:33" x14ac:dyDescent="0.35">
      <c r="A6" s="41" t="s">
        <v>973</v>
      </c>
      <c r="C6" s="500"/>
      <c r="D6" s="500"/>
      <c r="E6" s="500"/>
      <c r="F6" s="500"/>
      <c r="G6" s="500"/>
    </row>
    <row r="7" spans="1:33" ht="15" thickBot="1" x14ac:dyDescent="0.4">
      <c r="A7" s="589" t="s">
        <v>245</v>
      </c>
      <c r="B7" s="169"/>
      <c r="C7" s="590" t="s">
        <v>79</v>
      </c>
      <c r="D7" s="590" t="s">
        <v>80</v>
      </c>
      <c r="E7" s="590" t="s">
        <v>81</v>
      </c>
      <c r="F7" s="590" t="s">
        <v>82</v>
      </c>
      <c r="G7" s="594" t="s">
        <v>83</v>
      </c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</row>
    <row r="8" spans="1:33" ht="15" thickBot="1" x14ac:dyDescent="0.4">
      <c r="A8" s="542" t="s">
        <v>246</v>
      </c>
      <c r="B8" s="521"/>
      <c r="C8" s="543">
        <f>SUM(C9:C11)</f>
        <v>44566.494839999999</v>
      </c>
      <c r="D8" s="543">
        <f>SUM(D9:D11)</f>
        <v>51259</v>
      </c>
      <c r="E8" s="543">
        <f>SUM(E9:E11)</f>
        <v>42602</v>
      </c>
      <c r="F8" s="543">
        <f>SUM(F9:F11)</f>
        <v>46014.587999999996</v>
      </c>
      <c r="G8" s="543">
        <f>SUM(G9:G11)</f>
        <v>42267</v>
      </c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</row>
    <row r="9" spans="1:33" x14ac:dyDescent="0.35">
      <c r="A9" s="169" t="s">
        <v>986</v>
      </c>
      <c r="B9" s="177"/>
      <c r="C9" s="528">
        <v>13427.602750000004</v>
      </c>
      <c r="D9" s="528">
        <v>20660</v>
      </c>
      <c r="E9" s="528">
        <v>27047</v>
      </c>
      <c r="F9" s="528">
        <v>20634.053999999996</v>
      </c>
      <c r="G9" s="529">
        <v>18779</v>
      </c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4"/>
      <c r="W9" s="504"/>
      <c r="X9" s="504"/>
      <c r="Y9" s="504"/>
      <c r="Z9" s="504"/>
      <c r="AA9" s="504"/>
      <c r="AB9" s="504"/>
      <c r="AC9" s="504"/>
      <c r="AD9" s="504"/>
      <c r="AE9" s="504"/>
      <c r="AF9" s="504"/>
      <c r="AG9" s="504"/>
    </row>
    <row r="10" spans="1:33" x14ac:dyDescent="0.35">
      <c r="A10" s="169" t="s">
        <v>249</v>
      </c>
      <c r="B10" s="169"/>
      <c r="C10" s="528">
        <v>31117.99584</v>
      </c>
      <c r="D10" s="528">
        <v>30338</v>
      </c>
      <c r="E10" s="528">
        <v>15219</v>
      </c>
      <c r="F10" s="528">
        <v>24571.663</v>
      </c>
      <c r="G10" s="529">
        <v>23013</v>
      </c>
    </row>
    <row r="11" spans="1:33" ht="15" thickBot="1" x14ac:dyDescent="0.4">
      <c r="A11" s="169" t="s">
        <v>254</v>
      </c>
      <c r="B11" s="169"/>
      <c r="C11" s="528">
        <v>20.896249999999998</v>
      </c>
      <c r="D11" s="528">
        <v>261</v>
      </c>
      <c r="E11" s="528">
        <v>336</v>
      </c>
      <c r="F11" s="528">
        <v>808.87100000000009</v>
      </c>
      <c r="G11" s="529">
        <v>475</v>
      </c>
    </row>
    <row r="12" spans="1:33" ht="15" thickBot="1" x14ac:dyDescent="0.4">
      <c r="A12" s="544" t="s">
        <v>305</v>
      </c>
      <c r="B12" s="169"/>
      <c r="C12" s="545">
        <v>-1242.0532599999999</v>
      </c>
      <c r="D12" s="545">
        <v>-2596</v>
      </c>
      <c r="E12" s="545">
        <v>-2533</v>
      </c>
      <c r="F12" s="545">
        <v>-1983.3980000000006</v>
      </c>
      <c r="G12" s="545">
        <v>-1777</v>
      </c>
    </row>
    <row r="13" spans="1:33" ht="15" thickBot="1" x14ac:dyDescent="0.4">
      <c r="A13" s="544" t="s">
        <v>256</v>
      </c>
      <c r="B13" s="169"/>
      <c r="C13" s="545">
        <f>C8+C12</f>
        <v>43324.441579999999</v>
      </c>
      <c r="D13" s="545">
        <f>D8+D12</f>
        <v>48663</v>
      </c>
      <c r="E13" s="545">
        <f>E8+E12</f>
        <v>40069</v>
      </c>
      <c r="F13" s="545">
        <f>F8+F12</f>
        <v>44031.189999999995</v>
      </c>
      <c r="G13" s="545">
        <f>G8+G12</f>
        <v>40490</v>
      </c>
    </row>
    <row r="14" spans="1:33" ht="15" thickBot="1" x14ac:dyDescent="0.4">
      <c r="A14" s="169" t="s">
        <v>261</v>
      </c>
      <c r="B14" s="521"/>
      <c r="C14" s="528">
        <v>-31117.99584</v>
      </c>
      <c r="D14" s="528">
        <v>-30338</v>
      </c>
      <c r="E14" s="528">
        <f>-E10</f>
        <v>-15219</v>
      </c>
      <c r="F14" s="528">
        <v>-24571.999999999996</v>
      </c>
      <c r="G14" s="529">
        <v>-23013</v>
      </c>
    </row>
    <row r="15" spans="1:33" ht="15" thickBot="1" x14ac:dyDescent="0.4">
      <c r="A15" s="544" t="s">
        <v>263</v>
      </c>
      <c r="B15" s="169"/>
      <c r="C15" s="545">
        <f>SUM(C13:C14)</f>
        <v>12206.445739999999</v>
      </c>
      <c r="D15" s="545">
        <f>SUM(D13:D14)</f>
        <v>18325</v>
      </c>
      <c r="E15" s="545">
        <f>SUM(E13:E14)</f>
        <v>24850</v>
      </c>
      <c r="F15" s="545">
        <f>SUM(F13:F14)</f>
        <v>19459.189999999999</v>
      </c>
      <c r="G15" s="545">
        <f>SUM(G13:G14)</f>
        <v>17477</v>
      </c>
    </row>
    <row r="16" spans="1:33" ht="15" thickBot="1" x14ac:dyDescent="0.4">
      <c r="A16" s="544" t="s">
        <v>264</v>
      </c>
      <c r="B16" s="169"/>
      <c r="C16" s="545">
        <f>SUM(C17:C23)</f>
        <v>-15900.402149999996</v>
      </c>
      <c r="D16" s="545">
        <f>SUM(D17:D23)</f>
        <v>-10301</v>
      </c>
      <c r="E16" s="545">
        <f>SUM(E17:E23)</f>
        <v>-23396</v>
      </c>
      <c r="F16" s="545">
        <f>SUM(F17:F23)</f>
        <v>-28448.684000000001</v>
      </c>
      <c r="G16" s="545">
        <f>SUM(G17:G23)</f>
        <v>-34110</v>
      </c>
    </row>
    <row r="17" spans="1:33" x14ac:dyDescent="0.35">
      <c r="A17" s="169" t="s">
        <v>265</v>
      </c>
      <c r="B17" s="177"/>
      <c r="C17" s="177">
        <v>-7536.9060199999985</v>
      </c>
      <c r="D17" s="177">
        <v>-4561</v>
      </c>
      <c r="E17" s="177">
        <v>-7833</v>
      </c>
      <c r="F17" s="177">
        <v>-7066.2919999999986</v>
      </c>
      <c r="G17" s="177">
        <v>-6925</v>
      </c>
    </row>
    <row r="18" spans="1:33" x14ac:dyDescent="0.35">
      <c r="A18" s="169" t="s">
        <v>266</v>
      </c>
      <c r="B18" s="177"/>
      <c r="C18" s="177">
        <v>-5999.1231899999993</v>
      </c>
      <c r="D18" s="177">
        <v>-906</v>
      </c>
      <c r="E18" s="177">
        <v>-3098</v>
      </c>
      <c r="F18" s="177">
        <v>-3822.9390000000008</v>
      </c>
      <c r="G18" s="177">
        <v>-3123</v>
      </c>
    </row>
    <row r="19" spans="1:33" x14ac:dyDescent="0.35">
      <c r="A19" s="169" t="s">
        <v>267</v>
      </c>
      <c r="B19" s="179"/>
      <c r="C19" s="177">
        <v>-1947.01694</v>
      </c>
      <c r="D19" s="177">
        <v>-542</v>
      </c>
      <c r="E19" s="177">
        <v>-2274</v>
      </c>
      <c r="F19" s="177">
        <v>-3313.9859999999999</v>
      </c>
      <c r="G19" s="177">
        <v>-4620</v>
      </c>
    </row>
    <row r="20" spans="1:33" x14ac:dyDescent="0.35">
      <c r="A20" s="169" t="s">
        <v>268</v>
      </c>
      <c r="B20" s="177"/>
      <c r="C20" s="177">
        <v>-12</v>
      </c>
      <c r="D20" s="177">
        <v>-20</v>
      </c>
      <c r="E20" s="177">
        <v>0</v>
      </c>
      <c r="F20" s="177">
        <v>0</v>
      </c>
      <c r="G20" s="177">
        <v>-38</v>
      </c>
    </row>
    <row r="21" spans="1:33" x14ac:dyDescent="0.35">
      <c r="A21" s="169" t="s">
        <v>270</v>
      </c>
      <c r="B21" s="177"/>
      <c r="C21" s="177">
        <v>-405.35599999999971</v>
      </c>
      <c r="D21" s="177">
        <v>-3337</v>
      </c>
      <c r="E21" s="177">
        <v>-3756</v>
      </c>
      <c r="F21" s="177">
        <v>-4399.5599999999995</v>
      </c>
      <c r="G21" s="177">
        <v>-3984</v>
      </c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</row>
    <row r="22" spans="1:33" x14ac:dyDescent="0.35">
      <c r="A22" s="169" t="s">
        <v>987</v>
      </c>
      <c r="B22" s="177"/>
      <c r="C22" s="177"/>
      <c r="D22" s="177"/>
      <c r="E22" s="177">
        <v>-6283</v>
      </c>
      <c r="F22" s="177">
        <v>-9845.9069999999992</v>
      </c>
      <c r="G22" s="177">
        <v>-15420</v>
      </c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4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</row>
    <row r="23" spans="1:33" x14ac:dyDescent="0.35">
      <c r="A23" s="169" t="s">
        <v>271</v>
      </c>
      <c r="B23" s="177"/>
      <c r="C23" s="177">
        <v>0</v>
      </c>
      <c r="D23" s="177">
        <v>-935</v>
      </c>
      <c r="E23" s="177">
        <v>-152</v>
      </c>
      <c r="F23" s="177">
        <v>0</v>
      </c>
      <c r="G23" s="177"/>
    </row>
    <row r="24" spans="1:33" x14ac:dyDescent="0.35">
      <c r="A24" s="599" t="s">
        <v>272</v>
      </c>
      <c r="B24" s="177"/>
      <c r="C24" s="600">
        <f>C15+C16</f>
        <v>-3693.956409999997</v>
      </c>
      <c r="D24" s="600">
        <f>D15+D16</f>
        <v>8024</v>
      </c>
      <c r="E24" s="600">
        <f>E15+E16</f>
        <v>1454</v>
      </c>
      <c r="F24" s="600">
        <f>F15+F16</f>
        <v>-8989.4940000000024</v>
      </c>
      <c r="G24" s="600">
        <f>G15+G16</f>
        <v>-16633</v>
      </c>
    </row>
    <row r="25" spans="1:33" x14ac:dyDescent="0.35">
      <c r="A25" s="172" t="s">
        <v>273</v>
      </c>
      <c r="B25" s="169"/>
      <c r="C25" s="177">
        <v>0</v>
      </c>
      <c r="D25" s="177">
        <v>-73</v>
      </c>
      <c r="E25" s="177">
        <v>-70</v>
      </c>
      <c r="F25" s="177">
        <v>-166.86699999999999</v>
      </c>
      <c r="G25" s="177">
        <v>-167</v>
      </c>
    </row>
    <row r="26" spans="1:33" ht="15" thickBot="1" x14ac:dyDescent="0.4">
      <c r="A26" s="546" t="s">
        <v>276</v>
      </c>
      <c r="B26" s="169"/>
      <c r="C26" s="177">
        <v>-5763.4125000000004</v>
      </c>
      <c r="D26" s="177">
        <v>-6737</v>
      </c>
      <c r="E26" s="177">
        <v>-6736</v>
      </c>
      <c r="F26" s="177">
        <v>-6736.4560000000001</v>
      </c>
      <c r="G26" s="177">
        <v>-6736</v>
      </c>
    </row>
    <row r="27" spans="1:33" ht="15" thickBot="1" x14ac:dyDescent="0.4">
      <c r="A27" s="544" t="s">
        <v>274</v>
      </c>
      <c r="B27" s="169"/>
      <c r="C27" s="545">
        <f>SUM(C24:C26)</f>
        <v>-9457.3689099999974</v>
      </c>
      <c r="D27" s="545">
        <f>SUM(D24:D26)</f>
        <v>1214</v>
      </c>
      <c r="E27" s="545">
        <f>SUM(E24:E26)</f>
        <v>-5352</v>
      </c>
      <c r="F27" s="545">
        <f>SUM(F24:F26)</f>
        <v>-15892.817000000003</v>
      </c>
      <c r="G27" s="545">
        <f>SUM(G24:G26)</f>
        <v>-23536</v>
      </c>
    </row>
    <row r="28" spans="1:33" ht="15" thickBot="1" x14ac:dyDescent="0.4">
      <c r="A28" s="544" t="s">
        <v>277</v>
      </c>
      <c r="B28" s="169"/>
      <c r="C28" s="545">
        <f>SUM(C29:C30)</f>
        <v>-48590.698989999997</v>
      </c>
      <c r="D28" s="545">
        <f>SUM(D29:D30)</f>
        <v>-38835</v>
      </c>
      <c r="E28" s="545">
        <f>SUM(E29:E30)</f>
        <v>-42104</v>
      </c>
      <c r="F28" s="545">
        <f>SUM(F29:F30)</f>
        <v>-41154.262999999999</v>
      </c>
      <c r="G28" s="545">
        <f>SUM(G29:G30)</f>
        <v>-43183</v>
      </c>
    </row>
    <row r="29" spans="1:33" x14ac:dyDescent="0.35">
      <c r="A29" s="172" t="s">
        <v>278</v>
      </c>
      <c r="B29" s="177"/>
      <c r="C29" s="177">
        <v>3780.6098199999997</v>
      </c>
      <c r="D29" s="177">
        <v>1660</v>
      </c>
      <c r="E29" s="177">
        <v>982</v>
      </c>
      <c r="F29" s="177">
        <v>670.79</v>
      </c>
      <c r="G29" s="177">
        <v>2238</v>
      </c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3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</row>
    <row r="30" spans="1:33" s="520" customFormat="1" ht="15" thickBot="1" x14ac:dyDescent="0.4">
      <c r="A30" s="172" t="s">
        <v>279</v>
      </c>
      <c r="B30" s="177"/>
      <c r="C30" s="177">
        <v>-52371.308809999995</v>
      </c>
      <c r="D30" s="177">
        <v>-40495</v>
      </c>
      <c r="E30" s="177">
        <v>-43086</v>
      </c>
      <c r="F30" s="177">
        <v>-41825.053</v>
      </c>
      <c r="G30" s="177">
        <v>-45421</v>
      </c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8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</row>
    <row r="31" spans="1:33" ht="15" thickBot="1" x14ac:dyDescent="0.4">
      <c r="A31" s="544" t="s">
        <v>280</v>
      </c>
      <c r="B31" s="169"/>
      <c r="C31" s="545">
        <f>SUM(C27:C28)</f>
        <v>-58048.067899999995</v>
      </c>
      <c r="D31" s="545">
        <f>SUM(D27:D28)</f>
        <v>-37621</v>
      </c>
      <c r="E31" s="545">
        <f>SUM(E27:E28)</f>
        <v>-47456</v>
      </c>
      <c r="F31" s="545">
        <f>SUM(F27:F28)</f>
        <v>-57047.08</v>
      </c>
      <c r="G31" s="545">
        <f>SUM(G27:G28)</f>
        <v>-66719</v>
      </c>
    </row>
    <row r="32" spans="1:33" s="520" customFormat="1" x14ac:dyDescent="0.35">
      <c r="A32" s="172" t="s">
        <v>281</v>
      </c>
      <c r="B32" s="177"/>
      <c r="C32" s="177">
        <v>0</v>
      </c>
      <c r="D32" s="177">
        <v>0</v>
      </c>
      <c r="E32" s="177">
        <v>0</v>
      </c>
      <c r="F32" s="177">
        <v>0</v>
      </c>
      <c r="G32" s="177">
        <v>0</v>
      </c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5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</row>
    <row r="33" spans="1:33" x14ac:dyDescent="0.35">
      <c r="A33" s="172" t="s">
        <v>282</v>
      </c>
      <c r="B33" s="169"/>
      <c r="C33" s="177">
        <v>0</v>
      </c>
      <c r="D33" s="177">
        <v>0</v>
      </c>
      <c r="E33" s="177">
        <v>0</v>
      </c>
      <c r="F33" s="177">
        <v>0</v>
      </c>
      <c r="G33" s="177">
        <v>0</v>
      </c>
      <c r="H33" s="177"/>
    </row>
    <row r="34" spans="1:33" x14ac:dyDescent="0.35">
      <c r="A34" s="172" t="s">
        <v>283</v>
      </c>
      <c r="B34" s="177"/>
      <c r="C34" s="177">
        <v>0</v>
      </c>
      <c r="D34" s="177">
        <v>0</v>
      </c>
      <c r="E34" s="177">
        <v>0</v>
      </c>
      <c r="F34" s="177">
        <v>0</v>
      </c>
      <c r="G34" s="177">
        <v>0</v>
      </c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4"/>
      <c r="W34" s="504"/>
      <c r="X34" s="504"/>
      <c r="Y34" s="504"/>
      <c r="Z34" s="504"/>
      <c r="AA34" s="504"/>
      <c r="AB34" s="504"/>
      <c r="AC34" s="504"/>
      <c r="AD34" s="504"/>
      <c r="AE34" s="504"/>
      <c r="AF34" s="504"/>
      <c r="AG34" s="504"/>
    </row>
    <row r="35" spans="1:33" ht="15" thickBot="1" x14ac:dyDescent="0.4">
      <c r="A35" s="172" t="s">
        <v>284</v>
      </c>
      <c r="B35" s="177"/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4"/>
      <c r="W35" s="504"/>
      <c r="X35" s="504"/>
      <c r="Y35" s="504"/>
      <c r="Z35" s="504"/>
      <c r="AA35" s="504"/>
      <c r="AB35" s="504"/>
      <c r="AC35" s="504"/>
      <c r="AD35" s="504"/>
      <c r="AE35" s="504"/>
      <c r="AF35" s="504"/>
      <c r="AG35" s="504"/>
    </row>
    <row r="36" spans="1:33" ht="15" thickBot="1" x14ac:dyDescent="0.4">
      <c r="A36" s="544" t="s">
        <v>285</v>
      </c>
      <c r="B36" s="169"/>
      <c r="C36" s="545">
        <f>SUM(C31:C35)</f>
        <v>-58048.067899999995</v>
      </c>
      <c r="D36" s="545">
        <f>SUM(D31:D35)</f>
        <v>-37621</v>
      </c>
      <c r="E36" s="545">
        <f>SUM(E31:E35)</f>
        <v>-47456</v>
      </c>
      <c r="F36" s="545">
        <f>SUM(F31:F35)</f>
        <v>-57047.08</v>
      </c>
      <c r="G36" s="545">
        <f>SUM(G31:G35)</f>
        <v>-66719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716F2-B67B-49AC-9295-C0D72EC04FC5}">
  <sheetPr>
    <tabColor theme="9" tint="0.79998168889431442"/>
  </sheetPr>
  <dimension ref="A6:AS35"/>
  <sheetViews>
    <sheetView showGridLines="0" zoomScale="85" zoomScaleNormal="85" workbookViewId="0">
      <pane xSplit="1" ySplit="7" topLeftCell="B8" activePane="bottomRight" state="frozen"/>
      <selection activeCell="AR7" sqref="AR7"/>
      <selection pane="topRight" activeCell="AR7" sqref="AR7"/>
      <selection pane="bottomLeft" activeCell="AR7" sqref="AR7"/>
      <selection pane="bottomRight" activeCell="AN13" sqref="AN13"/>
    </sheetView>
  </sheetViews>
  <sheetFormatPr defaultColWidth="9.1796875" defaultRowHeight="14.5" outlineLevelCol="1" x14ac:dyDescent="0.35"/>
  <cols>
    <col min="1" max="1" width="44.453125" style="37" bestFit="1" customWidth="1"/>
    <col min="2" max="2" width="2.453125" customWidth="1"/>
    <col min="3" max="38" width="0" style="37" hidden="1" customWidth="1" outlineLevel="1"/>
    <col min="39" max="39" width="9.1796875" style="37" collapsed="1"/>
    <col min="40" max="16384" width="9.1796875" style="37"/>
  </cols>
  <sheetData>
    <row r="6" spans="1:45" x14ac:dyDescent="0.35">
      <c r="A6" s="41" t="s">
        <v>989</v>
      </c>
      <c r="B6" s="168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s="38" customFormat="1" ht="15" thickBot="1" x14ac:dyDescent="0.4">
      <c r="A7" s="598" t="s">
        <v>307</v>
      </c>
      <c r="B7" s="597"/>
      <c r="C7" s="594" t="s">
        <v>289</v>
      </c>
      <c r="D7" s="594" t="s">
        <v>290</v>
      </c>
      <c r="E7" s="594" t="s">
        <v>291</v>
      </c>
      <c r="F7" s="594" t="s">
        <v>292</v>
      </c>
      <c r="G7" s="594" t="s">
        <v>293</v>
      </c>
      <c r="H7" s="594" t="s">
        <v>294</v>
      </c>
      <c r="I7" s="594" t="s">
        <v>295</v>
      </c>
      <c r="J7" s="594" t="s">
        <v>296</v>
      </c>
      <c r="K7" s="594" t="s">
        <v>297</v>
      </c>
      <c r="L7" s="594" t="s">
        <v>298</v>
      </c>
      <c r="M7" s="594" t="s">
        <v>299</v>
      </c>
      <c r="N7" s="594" t="s">
        <v>300</v>
      </c>
      <c r="O7" s="594" t="s">
        <v>301</v>
      </c>
      <c r="P7" s="594" t="s">
        <v>302</v>
      </c>
      <c r="Q7" s="594" t="s">
        <v>303</v>
      </c>
      <c r="R7" s="594" t="s">
        <v>304</v>
      </c>
      <c r="S7" s="594" t="s">
        <v>57</v>
      </c>
      <c r="T7" s="594" t="s">
        <v>58</v>
      </c>
      <c r="U7" s="594" t="s">
        <v>59</v>
      </c>
      <c r="V7" s="594" t="s">
        <v>60</v>
      </c>
      <c r="W7" s="594" t="s">
        <v>61</v>
      </c>
      <c r="X7" s="594" t="s">
        <v>62</v>
      </c>
      <c r="Y7" s="594" t="s">
        <v>63</v>
      </c>
      <c r="Z7" s="594" t="s">
        <v>64</v>
      </c>
      <c r="AA7" s="594" t="s">
        <v>65</v>
      </c>
      <c r="AB7" s="594" t="s">
        <v>66</v>
      </c>
      <c r="AC7" s="590" t="s">
        <v>67</v>
      </c>
      <c r="AD7" s="590" t="s">
        <v>68</v>
      </c>
      <c r="AE7" s="590" t="s">
        <v>69</v>
      </c>
      <c r="AF7" s="590" t="s">
        <v>70</v>
      </c>
      <c r="AG7" s="590" t="s">
        <v>71</v>
      </c>
      <c r="AH7" s="590" t="s">
        <v>72</v>
      </c>
      <c r="AI7" s="590" t="s">
        <v>73</v>
      </c>
      <c r="AJ7" s="590" t="s">
        <v>74</v>
      </c>
      <c r="AK7" s="590" t="s">
        <v>75</v>
      </c>
      <c r="AL7" s="590" t="s">
        <v>76</v>
      </c>
      <c r="AM7" s="590" t="s">
        <v>77</v>
      </c>
      <c r="AN7" s="590" t="s">
        <v>78</v>
      </c>
      <c r="AO7" s="590" t="s">
        <v>79</v>
      </c>
      <c r="AP7" s="590" t="s">
        <v>80</v>
      </c>
      <c r="AQ7" s="590" t="s">
        <v>81</v>
      </c>
      <c r="AR7" s="590" t="s">
        <v>82</v>
      </c>
      <c r="AS7" s="594" t="s">
        <v>83</v>
      </c>
    </row>
    <row r="8" spans="1:45" ht="15" thickBot="1" x14ac:dyDescent="0.4">
      <c r="A8" s="175" t="s">
        <v>246</v>
      </c>
      <c r="B8" s="169"/>
      <c r="C8" s="176"/>
      <c r="D8" s="176"/>
      <c r="E8" s="176"/>
      <c r="F8" s="176"/>
      <c r="G8" s="176">
        <f t="shared" ref="G8:AN8" si="0">SUM(G9:G10)</f>
        <v>143571</v>
      </c>
      <c r="H8" s="176">
        <f t="shared" si="0"/>
        <v>190910</v>
      </c>
      <c r="I8" s="176">
        <f t="shared" si="0"/>
        <v>253252</v>
      </c>
      <c r="J8" s="176">
        <f t="shared" si="0"/>
        <v>332901</v>
      </c>
      <c r="K8" s="176">
        <f t="shared" si="0"/>
        <v>42056</v>
      </c>
      <c r="L8" s="176">
        <f t="shared" si="0"/>
        <v>121151</v>
      </c>
      <c r="M8" s="176">
        <f t="shared" si="0"/>
        <v>171690</v>
      </c>
      <c r="N8" s="176">
        <f t="shared" si="0"/>
        <v>231208</v>
      </c>
      <c r="O8" s="176">
        <f t="shared" si="0"/>
        <v>62362</v>
      </c>
      <c r="P8" s="176">
        <f t="shared" si="0"/>
        <v>97561</v>
      </c>
      <c r="Q8" s="176">
        <f t="shared" si="0"/>
        <v>169042</v>
      </c>
      <c r="R8" s="176">
        <f t="shared" si="0"/>
        <v>283075</v>
      </c>
      <c r="S8" s="176">
        <f t="shared" si="0"/>
        <v>58790</v>
      </c>
      <c r="T8" s="176">
        <f t="shared" si="0"/>
        <v>115719</v>
      </c>
      <c r="U8" s="176">
        <f t="shared" si="0"/>
        <v>121835</v>
      </c>
      <c r="V8" s="176">
        <f t="shared" si="0"/>
        <v>171503</v>
      </c>
      <c r="W8" s="176">
        <f t="shared" si="0"/>
        <v>130720</v>
      </c>
      <c r="X8" s="176">
        <f t="shared" si="0"/>
        <v>105307</v>
      </c>
      <c r="Y8" s="176">
        <f t="shared" si="0"/>
        <v>144641</v>
      </c>
      <c r="Z8" s="176">
        <f t="shared" si="0"/>
        <v>195119</v>
      </c>
      <c r="AA8" s="176">
        <f t="shared" si="0"/>
        <v>90096</v>
      </c>
      <c r="AB8" s="176">
        <f t="shared" si="0"/>
        <v>117758</v>
      </c>
      <c r="AC8" s="176">
        <f t="shared" si="0"/>
        <v>139181</v>
      </c>
      <c r="AD8" s="176">
        <f t="shared" si="0"/>
        <v>162220</v>
      </c>
      <c r="AE8" s="176">
        <f t="shared" si="0"/>
        <v>139537</v>
      </c>
      <c r="AF8" s="176">
        <f t="shared" si="0"/>
        <v>89528</v>
      </c>
      <c r="AG8" s="176">
        <f t="shared" si="0"/>
        <v>118037</v>
      </c>
      <c r="AH8" s="176">
        <f t="shared" si="0"/>
        <v>337597</v>
      </c>
      <c r="AI8" s="176">
        <f t="shared" si="0"/>
        <v>66910</v>
      </c>
      <c r="AJ8" s="176">
        <f t="shared" si="0"/>
        <v>90421</v>
      </c>
      <c r="AK8" s="176">
        <f t="shared" si="0"/>
        <v>140428</v>
      </c>
      <c r="AL8" s="176">
        <f t="shared" si="0"/>
        <v>128647</v>
      </c>
      <c r="AM8" s="176">
        <f t="shared" si="0"/>
        <v>77170</v>
      </c>
      <c r="AN8" s="176">
        <f t="shared" si="0"/>
        <v>107401</v>
      </c>
      <c r="AO8" s="176">
        <f>SUM(AO9:AO10)</f>
        <v>122743</v>
      </c>
      <c r="AP8" s="176">
        <f>SUM(AP9:AP10)</f>
        <v>127941</v>
      </c>
      <c r="AQ8" s="176">
        <f>SUM(AQ9:AQ10)</f>
        <v>212054</v>
      </c>
      <c r="AR8" s="176">
        <f>SUM(AR9:AR10)</f>
        <v>149185</v>
      </c>
      <c r="AS8" s="176">
        <f>SUM(AS9:AS10)</f>
        <v>177588</v>
      </c>
    </row>
    <row r="9" spans="1:45" x14ac:dyDescent="0.35">
      <c r="A9" s="172" t="s">
        <v>247</v>
      </c>
      <c r="B9" s="169"/>
      <c r="C9" s="547"/>
      <c r="D9" s="547"/>
      <c r="E9" s="547"/>
      <c r="F9" s="547"/>
      <c r="G9" s="547">
        <v>142215</v>
      </c>
      <c r="H9" s="547">
        <v>190315</v>
      </c>
      <c r="I9" s="547">
        <v>251282</v>
      </c>
      <c r="J9" s="547">
        <v>328486</v>
      </c>
      <c r="K9" s="547">
        <v>40741</v>
      </c>
      <c r="L9" s="547">
        <v>118462</v>
      </c>
      <c r="M9" s="547">
        <v>168006</v>
      </c>
      <c r="N9" s="547">
        <v>214044</v>
      </c>
      <c r="O9" s="547">
        <v>48148</v>
      </c>
      <c r="P9" s="547">
        <v>71737</v>
      </c>
      <c r="Q9" s="547">
        <v>113670</v>
      </c>
      <c r="R9" s="547">
        <v>189846</v>
      </c>
      <c r="S9" s="547">
        <v>37245</v>
      </c>
      <c r="T9" s="547">
        <v>71106</v>
      </c>
      <c r="U9" s="547">
        <v>89037</v>
      </c>
      <c r="V9" s="547">
        <v>137879</v>
      </c>
      <c r="W9" s="547">
        <v>95259</v>
      </c>
      <c r="X9" s="547">
        <v>66779</v>
      </c>
      <c r="Y9" s="547">
        <v>106028</v>
      </c>
      <c r="Z9" s="547">
        <v>146456</v>
      </c>
      <c r="AA9" s="547">
        <v>44577</v>
      </c>
      <c r="AB9" s="547">
        <v>73789</v>
      </c>
      <c r="AC9" s="547">
        <v>79645</v>
      </c>
      <c r="AD9" s="547">
        <v>105079</v>
      </c>
      <c r="AE9" s="547">
        <v>88077</v>
      </c>
      <c r="AF9" s="547">
        <v>35162</v>
      </c>
      <c r="AG9" s="547">
        <v>67856</v>
      </c>
      <c r="AH9" s="547">
        <v>143773</v>
      </c>
      <c r="AI9" s="547">
        <v>38072</v>
      </c>
      <c r="AJ9" s="547">
        <v>68492</v>
      </c>
      <c r="AK9" s="547">
        <v>109989</v>
      </c>
      <c r="AL9" s="547">
        <v>111088</v>
      </c>
      <c r="AM9" s="547">
        <v>38604</v>
      </c>
      <c r="AN9" s="547">
        <v>62837</v>
      </c>
      <c r="AO9" s="547">
        <v>93728</v>
      </c>
      <c r="AP9" s="547">
        <v>107199</v>
      </c>
      <c r="AQ9" s="547">
        <v>69646</v>
      </c>
      <c r="AR9" s="547">
        <v>63533</v>
      </c>
      <c r="AS9" s="547">
        <v>67161</v>
      </c>
    </row>
    <row r="10" spans="1:45" ht="15" thickBot="1" x14ac:dyDescent="0.4">
      <c r="A10" s="172" t="s">
        <v>254</v>
      </c>
      <c r="B10" s="169"/>
      <c r="C10" s="547"/>
      <c r="D10" s="547"/>
      <c r="E10" s="547"/>
      <c r="F10" s="547"/>
      <c r="G10" s="547">
        <v>1356</v>
      </c>
      <c r="H10" s="547">
        <v>595</v>
      </c>
      <c r="I10" s="547">
        <v>1970</v>
      </c>
      <c r="J10" s="547">
        <v>4415</v>
      </c>
      <c r="K10" s="547">
        <v>1315</v>
      </c>
      <c r="L10" s="547">
        <v>2689</v>
      </c>
      <c r="M10" s="547">
        <v>3684</v>
      </c>
      <c r="N10" s="547">
        <v>17164</v>
      </c>
      <c r="O10" s="547">
        <v>14214</v>
      </c>
      <c r="P10" s="547">
        <v>25824</v>
      </c>
      <c r="Q10" s="547">
        <v>55372</v>
      </c>
      <c r="R10" s="547">
        <v>93229</v>
      </c>
      <c r="S10" s="547">
        <v>21545</v>
      </c>
      <c r="T10" s="547">
        <v>44613</v>
      </c>
      <c r="U10" s="547">
        <v>32798</v>
      </c>
      <c r="V10" s="547">
        <v>33624</v>
      </c>
      <c r="W10" s="547">
        <v>35461</v>
      </c>
      <c r="X10" s="547">
        <v>38528</v>
      </c>
      <c r="Y10" s="547">
        <v>38613</v>
      </c>
      <c r="Z10" s="547">
        <v>48663</v>
      </c>
      <c r="AA10" s="547">
        <v>45519</v>
      </c>
      <c r="AB10" s="547">
        <v>43969</v>
      </c>
      <c r="AC10" s="547">
        <v>59536</v>
      </c>
      <c r="AD10" s="547">
        <v>57141</v>
      </c>
      <c r="AE10" s="547">
        <v>51460</v>
      </c>
      <c r="AF10" s="547">
        <v>54366</v>
      </c>
      <c r="AG10" s="547">
        <v>50181</v>
      </c>
      <c r="AH10" s="547">
        <v>193824</v>
      </c>
      <c r="AI10" s="547">
        <v>28838</v>
      </c>
      <c r="AJ10" s="547">
        <v>21929</v>
      </c>
      <c r="AK10" s="547">
        <v>30439</v>
      </c>
      <c r="AL10" s="547">
        <v>17559</v>
      </c>
      <c r="AM10" s="547">
        <v>38566</v>
      </c>
      <c r="AN10" s="547">
        <v>44564</v>
      </c>
      <c r="AO10" s="547">
        <v>29015</v>
      </c>
      <c r="AP10" s="547">
        <v>20742</v>
      </c>
      <c r="AQ10" s="547">
        <v>142408</v>
      </c>
      <c r="AR10" s="547">
        <v>85652</v>
      </c>
      <c r="AS10" s="547">
        <v>110427</v>
      </c>
    </row>
    <row r="11" spans="1:45" ht="15" thickBot="1" x14ac:dyDescent="0.4">
      <c r="A11" s="175" t="s">
        <v>305</v>
      </c>
      <c r="B11" s="169"/>
      <c r="C11" s="548"/>
      <c r="D11" s="548"/>
      <c r="E11" s="548"/>
      <c r="F11" s="548"/>
      <c r="G11" s="548">
        <v>-13237</v>
      </c>
      <c r="H11" s="548">
        <v>-17825</v>
      </c>
      <c r="I11" s="548">
        <v>-23567</v>
      </c>
      <c r="J11" s="548">
        <v>-30844</v>
      </c>
      <c r="K11" s="548">
        <v>-3977</v>
      </c>
      <c r="L11" s="548">
        <v>-11937</v>
      </c>
      <c r="M11" s="548">
        <v>-16695</v>
      </c>
      <c r="N11" s="548">
        <v>-22658</v>
      </c>
      <c r="O11" s="548">
        <v>-7140</v>
      </c>
      <c r="P11" s="548">
        <v>-11870</v>
      </c>
      <c r="Q11" s="548">
        <v>-21169</v>
      </c>
      <c r="R11" s="548">
        <v>-35155</v>
      </c>
      <c r="S11" s="548">
        <v>-7677</v>
      </c>
      <c r="T11" s="548">
        <v>-15218</v>
      </c>
      <c r="U11" s="548">
        <v>-14762</v>
      </c>
      <c r="V11" s="548">
        <v>-19523</v>
      </c>
      <c r="W11" s="548">
        <v>-16691</v>
      </c>
      <c r="X11" s="548">
        <v>-11969</v>
      </c>
      <c r="Y11" s="548">
        <v>-16916</v>
      </c>
      <c r="Z11" s="548">
        <v>-22677</v>
      </c>
      <c r="AA11" s="548">
        <v>-12436</v>
      </c>
      <c r="AB11" s="548">
        <v>-14967</v>
      </c>
      <c r="AC11" s="548">
        <v>-18032</v>
      </c>
      <c r="AD11" s="548">
        <v>-21685</v>
      </c>
      <c r="AE11" s="548">
        <v>-17380</v>
      </c>
      <c r="AF11" s="548">
        <v>-13004</v>
      </c>
      <c r="AG11" s="548">
        <v>-15551</v>
      </c>
      <c r="AH11" s="548">
        <v>-37239</v>
      </c>
      <c r="AI11" s="548">
        <v>-9558</v>
      </c>
      <c r="AJ11" s="548">
        <v>-9995</v>
      </c>
      <c r="AK11" s="548">
        <v>-14810</v>
      </c>
      <c r="AL11" s="548">
        <v>-9534</v>
      </c>
      <c r="AM11" s="548">
        <v>-9023</v>
      </c>
      <c r="AN11" s="548">
        <v>-11882</v>
      </c>
      <c r="AO11" s="548">
        <v>-13058</v>
      </c>
      <c r="AP11" s="548">
        <v>-32806</v>
      </c>
      <c r="AQ11" s="548">
        <v>-29162</v>
      </c>
      <c r="AR11" s="548">
        <v>-13710</v>
      </c>
      <c r="AS11" s="548">
        <v>-23624</v>
      </c>
    </row>
    <row r="12" spans="1:45" ht="15" thickBot="1" x14ac:dyDescent="0.4">
      <c r="A12" s="175" t="s">
        <v>256</v>
      </c>
      <c r="B12" s="177"/>
      <c r="C12" s="176"/>
      <c r="D12" s="176"/>
      <c r="E12" s="176"/>
      <c r="F12" s="176"/>
      <c r="G12" s="176">
        <f t="shared" ref="G12:W12" si="1">G8+G11</f>
        <v>130334</v>
      </c>
      <c r="H12" s="176">
        <f t="shared" si="1"/>
        <v>173085</v>
      </c>
      <c r="I12" s="176">
        <f t="shared" si="1"/>
        <v>229685</v>
      </c>
      <c r="J12" s="176">
        <f t="shared" si="1"/>
        <v>302057</v>
      </c>
      <c r="K12" s="176">
        <f t="shared" si="1"/>
        <v>38079</v>
      </c>
      <c r="L12" s="176">
        <f t="shared" si="1"/>
        <v>109214</v>
      </c>
      <c r="M12" s="176">
        <f t="shared" si="1"/>
        <v>154995</v>
      </c>
      <c r="N12" s="176">
        <f t="shared" si="1"/>
        <v>208550</v>
      </c>
      <c r="O12" s="176">
        <f t="shared" si="1"/>
        <v>55222</v>
      </c>
      <c r="P12" s="176">
        <f t="shared" si="1"/>
        <v>85691</v>
      </c>
      <c r="Q12" s="176">
        <f t="shared" si="1"/>
        <v>147873</v>
      </c>
      <c r="R12" s="176">
        <f t="shared" si="1"/>
        <v>247920</v>
      </c>
      <c r="S12" s="176">
        <f t="shared" si="1"/>
        <v>51113</v>
      </c>
      <c r="T12" s="176">
        <f t="shared" si="1"/>
        <v>100501</v>
      </c>
      <c r="U12" s="176">
        <f t="shared" si="1"/>
        <v>107073</v>
      </c>
      <c r="V12" s="176">
        <f t="shared" si="1"/>
        <v>151980</v>
      </c>
      <c r="W12" s="176">
        <f t="shared" si="1"/>
        <v>114029</v>
      </c>
      <c r="X12" s="176">
        <f>X8+X11</f>
        <v>93338</v>
      </c>
      <c r="Y12" s="176">
        <f>Y8+Y11</f>
        <v>127725</v>
      </c>
      <c r="Z12" s="176">
        <f>Z8+Z11</f>
        <v>172442</v>
      </c>
      <c r="AA12" s="176">
        <f>AA8+AA11</f>
        <v>77660</v>
      </c>
      <c r="AB12" s="176">
        <f t="shared" ref="AB12:AG12" si="2">AB8+AB11</f>
        <v>102791</v>
      </c>
      <c r="AC12" s="176">
        <f t="shared" si="2"/>
        <v>121149</v>
      </c>
      <c r="AD12" s="176">
        <f t="shared" si="2"/>
        <v>140535</v>
      </c>
      <c r="AE12" s="176">
        <f t="shared" si="2"/>
        <v>122157</v>
      </c>
      <c r="AF12" s="176">
        <f t="shared" si="2"/>
        <v>76524</v>
      </c>
      <c r="AG12" s="176">
        <f t="shared" si="2"/>
        <v>102486</v>
      </c>
      <c r="AH12" s="176">
        <v>300358</v>
      </c>
      <c r="AI12" s="176">
        <v>57352</v>
      </c>
      <c r="AJ12" s="176">
        <f>AJ8+AJ11</f>
        <v>80426</v>
      </c>
      <c r="AK12" s="176">
        <f>AK8+AK11</f>
        <v>125618</v>
      </c>
      <c r="AL12" s="176">
        <v>119113</v>
      </c>
      <c r="AM12" s="176">
        <v>68147</v>
      </c>
      <c r="AN12" s="176">
        <f t="shared" ref="AN12:AS12" si="3">AN8+AN11</f>
        <v>95519</v>
      </c>
      <c r="AO12" s="176">
        <f t="shared" si="3"/>
        <v>109685</v>
      </c>
      <c r="AP12" s="176">
        <f t="shared" si="3"/>
        <v>95135</v>
      </c>
      <c r="AQ12" s="176">
        <f t="shared" si="3"/>
        <v>182892</v>
      </c>
      <c r="AR12" s="176">
        <f t="shared" si="3"/>
        <v>135475</v>
      </c>
      <c r="AS12" s="176">
        <f t="shared" si="3"/>
        <v>153964</v>
      </c>
    </row>
    <row r="13" spans="1:45" ht="15" thickBot="1" x14ac:dyDescent="0.4">
      <c r="A13" s="175" t="s">
        <v>257</v>
      </c>
      <c r="B13" s="177"/>
      <c r="C13" s="389"/>
      <c r="D13" s="389"/>
      <c r="E13" s="389"/>
      <c r="F13" s="389"/>
      <c r="G13" s="389">
        <f t="shared" ref="G13:AG13" si="4">G14</f>
        <v>-102975</v>
      </c>
      <c r="H13" s="389">
        <f t="shared" si="4"/>
        <v>-141926</v>
      </c>
      <c r="I13" s="389">
        <f t="shared" si="4"/>
        <v>-194255</v>
      </c>
      <c r="J13" s="389">
        <f t="shared" si="4"/>
        <v>-258059</v>
      </c>
      <c r="K13" s="389">
        <f t="shared" si="4"/>
        <v>-26472</v>
      </c>
      <c r="L13" s="389">
        <f t="shared" si="4"/>
        <v>-85707</v>
      </c>
      <c r="M13" s="389">
        <f t="shared" si="4"/>
        <v>-129564</v>
      </c>
      <c r="N13" s="389">
        <f t="shared" si="4"/>
        <v>-181338</v>
      </c>
      <c r="O13" s="389">
        <f t="shared" si="4"/>
        <v>-36617</v>
      </c>
      <c r="P13" s="389">
        <f t="shared" si="4"/>
        <v>-55348</v>
      </c>
      <c r="Q13" s="389">
        <f t="shared" si="4"/>
        <v>-89080</v>
      </c>
      <c r="R13" s="389">
        <f t="shared" si="4"/>
        <v>-154702</v>
      </c>
      <c r="S13" s="389">
        <f t="shared" si="4"/>
        <v>-29881</v>
      </c>
      <c r="T13" s="389">
        <f t="shared" si="4"/>
        <v>-41595</v>
      </c>
      <c r="U13" s="389">
        <f t="shared" si="4"/>
        <v>-85466</v>
      </c>
      <c r="V13" s="389">
        <f t="shared" si="4"/>
        <v>-124417</v>
      </c>
      <c r="W13" s="389">
        <f t="shared" si="4"/>
        <v>-99381</v>
      </c>
      <c r="X13" s="389">
        <f t="shared" si="4"/>
        <v>-81363</v>
      </c>
      <c r="Y13" s="389">
        <f t="shared" si="4"/>
        <v>-88482</v>
      </c>
      <c r="Z13" s="389">
        <f t="shared" si="4"/>
        <v>-123650</v>
      </c>
      <c r="AA13" s="389">
        <f t="shared" si="4"/>
        <v>-36889</v>
      </c>
      <c r="AB13" s="389">
        <f t="shared" si="4"/>
        <v>-59623</v>
      </c>
      <c r="AC13" s="389">
        <f t="shared" si="4"/>
        <v>-68359</v>
      </c>
      <c r="AD13" s="389">
        <f t="shared" si="4"/>
        <v>-88299</v>
      </c>
      <c r="AE13" s="389">
        <f t="shared" si="4"/>
        <v>-77589</v>
      </c>
      <c r="AF13" s="389">
        <f t="shared" si="4"/>
        <v>-31528</v>
      </c>
      <c r="AG13" s="389">
        <f t="shared" si="4"/>
        <v>-60243</v>
      </c>
      <c r="AH13" s="389">
        <v>-123405</v>
      </c>
      <c r="AI13" s="389">
        <f>AI14</f>
        <v>-33789</v>
      </c>
      <c r="AJ13" s="389">
        <v>-56195</v>
      </c>
      <c r="AK13" s="389">
        <f>AK14</f>
        <v>-95048</v>
      </c>
      <c r="AL13" s="389">
        <f>AL14</f>
        <v>-93991</v>
      </c>
      <c r="AM13" s="389">
        <v>-34223</v>
      </c>
      <c r="AN13" s="389">
        <f t="shared" ref="AN13:AS13" si="5">AN14</f>
        <v>-55325</v>
      </c>
      <c r="AO13" s="389">
        <f t="shared" si="5"/>
        <v>-83924</v>
      </c>
      <c r="AP13" s="389">
        <f t="shared" si="5"/>
        <v>-71938</v>
      </c>
      <c r="AQ13" s="389">
        <f t="shared" si="5"/>
        <v>-50218</v>
      </c>
      <c r="AR13" s="389">
        <f t="shared" si="5"/>
        <v>-45849</v>
      </c>
      <c r="AS13" s="389">
        <f t="shared" si="5"/>
        <v>-52339</v>
      </c>
    </row>
    <row r="14" spans="1:45" ht="15" thickBot="1" x14ac:dyDescent="0.4">
      <c r="A14" s="172" t="s">
        <v>258</v>
      </c>
      <c r="B14" s="177"/>
      <c r="C14" s="547"/>
      <c r="D14" s="547"/>
      <c r="E14" s="547"/>
      <c r="F14" s="547"/>
      <c r="G14" s="547">
        <v>-102975</v>
      </c>
      <c r="H14" s="547">
        <v>-141926</v>
      </c>
      <c r="I14" s="547">
        <v>-194255</v>
      </c>
      <c r="J14" s="547">
        <v>-258059</v>
      </c>
      <c r="K14" s="547">
        <v>-26472</v>
      </c>
      <c r="L14" s="547">
        <v>-85707</v>
      </c>
      <c r="M14" s="547">
        <v>-129564</v>
      </c>
      <c r="N14" s="547">
        <v>-181338</v>
      </c>
      <c r="O14" s="547">
        <v>-36617</v>
      </c>
      <c r="P14" s="547">
        <v>-55348</v>
      </c>
      <c r="Q14" s="547">
        <v>-89080</v>
      </c>
      <c r="R14" s="547">
        <v>-154702</v>
      </c>
      <c r="S14" s="547">
        <v>-29881</v>
      </c>
      <c r="T14" s="547">
        <v>-41595</v>
      </c>
      <c r="U14" s="547">
        <v>-85466</v>
      </c>
      <c r="V14" s="547">
        <v>-124417</v>
      </c>
      <c r="W14" s="547">
        <v>-99381</v>
      </c>
      <c r="X14" s="547">
        <v>-81363</v>
      </c>
      <c r="Y14" s="547">
        <v>-88482</v>
      </c>
      <c r="Z14" s="547">
        <v>-123650</v>
      </c>
      <c r="AA14" s="547">
        <f>-36.889*1000</f>
        <v>-36889</v>
      </c>
      <c r="AB14" s="547">
        <v>-59623</v>
      </c>
      <c r="AC14" s="547">
        <v>-68359</v>
      </c>
      <c r="AD14" s="547">
        <v>-88299</v>
      </c>
      <c r="AE14" s="547">
        <v>-77589</v>
      </c>
      <c r="AF14" s="547">
        <v>-31528</v>
      </c>
      <c r="AG14" s="547">
        <v>-60243</v>
      </c>
      <c r="AH14" s="547">
        <v>-123405</v>
      </c>
      <c r="AI14" s="547">
        <v>-33789</v>
      </c>
      <c r="AJ14" s="547">
        <v>-56195</v>
      </c>
      <c r="AK14" s="547">
        <v>-95048</v>
      </c>
      <c r="AL14" s="547">
        <v>-93991</v>
      </c>
      <c r="AM14" s="547">
        <v>-34223</v>
      </c>
      <c r="AN14" s="547">
        <v>-55325</v>
      </c>
      <c r="AO14" s="547">
        <v>-83924</v>
      </c>
      <c r="AP14" s="547">
        <v>-71938</v>
      </c>
      <c r="AQ14" s="547">
        <v>-50218</v>
      </c>
      <c r="AR14" s="547">
        <v>-45849</v>
      </c>
      <c r="AS14" s="547">
        <v>-52339</v>
      </c>
    </row>
    <row r="15" spans="1:45" ht="15" thickBot="1" x14ac:dyDescent="0.4">
      <c r="A15" s="175" t="s">
        <v>264</v>
      </c>
      <c r="B15" s="177"/>
      <c r="C15" s="176"/>
      <c r="D15" s="176"/>
      <c r="E15" s="176"/>
      <c r="F15" s="176"/>
      <c r="G15" s="176">
        <f t="shared" ref="G15:V15" si="6">SUM(G16:G20)</f>
        <v>-2289</v>
      </c>
      <c r="H15" s="176">
        <f t="shared" si="6"/>
        <v>-4397</v>
      </c>
      <c r="I15" s="176">
        <f t="shared" si="6"/>
        <v>-5422</v>
      </c>
      <c r="J15" s="176">
        <f t="shared" si="6"/>
        <v>-8024</v>
      </c>
      <c r="K15" s="176">
        <f t="shared" si="6"/>
        <v>-1813</v>
      </c>
      <c r="L15" s="176">
        <f t="shared" si="6"/>
        <v>-4530</v>
      </c>
      <c r="M15" s="176">
        <f t="shared" si="6"/>
        <v>-9086</v>
      </c>
      <c r="N15" s="176">
        <f t="shared" si="6"/>
        <v>-16730</v>
      </c>
      <c r="O15" s="176">
        <f t="shared" si="6"/>
        <v>-12741</v>
      </c>
      <c r="P15" s="176">
        <f t="shared" si="6"/>
        <v>-21854</v>
      </c>
      <c r="Q15" s="176">
        <f t="shared" si="6"/>
        <v>-44690</v>
      </c>
      <c r="R15" s="176">
        <f t="shared" si="6"/>
        <v>-72163</v>
      </c>
      <c r="S15" s="176">
        <f t="shared" si="6"/>
        <v>-15300</v>
      </c>
      <c r="T15" s="176">
        <f t="shared" si="6"/>
        <v>-41374</v>
      </c>
      <c r="U15" s="176">
        <f t="shared" si="6"/>
        <v>-10442</v>
      </c>
      <c r="V15" s="176">
        <f t="shared" si="6"/>
        <v>-10884</v>
      </c>
      <c r="W15" s="176">
        <f>SUM(W16:W20)</f>
        <v>-4607</v>
      </c>
      <c r="X15" s="176">
        <f>SUM(X16:X20)</f>
        <v>-5658</v>
      </c>
      <c r="Y15" s="176">
        <f>SUM(Y16:Y20)</f>
        <v>-31311</v>
      </c>
      <c r="Z15" s="176">
        <f>SUM(Z16:Z20)</f>
        <v>-30667</v>
      </c>
      <c r="AA15" s="176">
        <f>SUM(AA16:AA20)</f>
        <v>-30653</v>
      </c>
      <c r="AB15" s="176">
        <v>-32942</v>
      </c>
      <c r="AC15" s="176">
        <v>-31729</v>
      </c>
      <c r="AD15" s="176">
        <v>-34991</v>
      </c>
      <c r="AE15" s="176">
        <v>-33845</v>
      </c>
      <c r="AF15" s="176">
        <f>SUM(AF16:AF20)</f>
        <v>-28041</v>
      </c>
      <c r="AG15" s="176">
        <f>SUM(AG16:AG20)</f>
        <v>-26861</v>
      </c>
      <c r="AH15" s="176">
        <v>-37157</v>
      </c>
      <c r="AI15" s="176">
        <f t="shared" ref="AI15:AR15" si="7">SUM(AI16:AI20)</f>
        <v>-14945</v>
      </c>
      <c r="AJ15" s="176">
        <f t="shared" si="7"/>
        <v>-17625</v>
      </c>
      <c r="AK15" s="176">
        <f t="shared" si="7"/>
        <v>-19049</v>
      </c>
      <c r="AL15" s="176">
        <f t="shared" si="7"/>
        <v>-44251</v>
      </c>
      <c r="AM15" s="176">
        <f t="shared" si="7"/>
        <v>-30075</v>
      </c>
      <c r="AN15" s="176">
        <f t="shared" si="7"/>
        <v>-32174</v>
      </c>
      <c r="AO15" s="176">
        <f t="shared" si="7"/>
        <v>-30613</v>
      </c>
      <c r="AP15" s="176">
        <f t="shared" si="7"/>
        <v>-57517</v>
      </c>
      <c r="AQ15" s="176">
        <f t="shared" si="7"/>
        <v>-46830</v>
      </c>
      <c r="AR15" s="176">
        <f t="shared" si="7"/>
        <v>-47592</v>
      </c>
      <c r="AS15" s="176">
        <f>SUM(AS16:AS20)</f>
        <v>-55516</v>
      </c>
    </row>
    <row r="16" spans="1:45" x14ac:dyDescent="0.35">
      <c r="A16" s="172" t="s">
        <v>265</v>
      </c>
      <c r="B16" s="177"/>
      <c r="C16" s="547"/>
      <c r="D16" s="547"/>
      <c r="E16" s="547"/>
      <c r="F16" s="547"/>
      <c r="G16" s="547">
        <v>-1198</v>
      </c>
      <c r="H16" s="547">
        <v>-2218</v>
      </c>
      <c r="I16" s="547">
        <v>-3214</v>
      </c>
      <c r="J16" s="547">
        <v>-4489</v>
      </c>
      <c r="K16" s="547">
        <v>-967</v>
      </c>
      <c r="L16" s="547">
        <v>-1522</v>
      </c>
      <c r="M16" s="547">
        <v>-4179</v>
      </c>
      <c r="N16" s="547">
        <v>-11817</v>
      </c>
      <c r="O16" s="547">
        <v>-10174</v>
      </c>
      <c r="P16" s="547">
        <v>-17922</v>
      </c>
      <c r="Q16" s="547">
        <v>-36445</v>
      </c>
      <c r="R16" s="547">
        <v>-58185</v>
      </c>
      <c r="S16" s="547">
        <v>-12711</v>
      </c>
      <c r="T16" s="547">
        <v>-38055</v>
      </c>
      <c r="U16" s="547">
        <v>-8608</v>
      </c>
      <c r="V16" s="547">
        <v>-8156</v>
      </c>
      <c r="W16" s="547">
        <v>-2442</v>
      </c>
      <c r="X16" s="547">
        <v>-2422</v>
      </c>
      <c r="Y16" s="547">
        <v>-23159.5</v>
      </c>
      <c r="Z16" s="547">
        <v>-21589</v>
      </c>
      <c r="AA16" s="547">
        <v>-23350</v>
      </c>
      <c r="AB16" s="547">
        <v>-24630</v>
      </c>
      <c r="AC16" s="547">
        <v>-23503</v>
      </c>
      <c r="AD16" s="547">
        <v>-24376</v>
      </c>
      <c r="AE16" s="547">
        <v>-25064</v>
      </c>
      <c r="AF16" s="547">
        <v>-21330</v>
      </c>
      <c r="AG16" s="547">
        <v>-20907</v>
      </c>
      <c r="AH16" s="547">
        <v>-27516</v>
      </c>
      <c r="AI16" s="547">
        <v>-11201</v>
      </c>
      <c r="AJ16" s="547">
        <v>-11744</v>
      </c>
      <c r="AK16" s="547">
        <v>-11312</v>
      </c>
      <c r="AL16" s="547">
        <v>-17813</v>
      </c>
      <c r="AM16" s="547">
        <v>-17726</v>
      </c>
      <c r="AN16" s="547">
        <v>-21445</v>
      </c>
      <c r="AO16" s="547">
        <v>-20952</v>
      </c>
      <c r="AP16" s="547">
        <v>-23077</v>
      </c>
      <c r="AQ16" s="547">
        <v>-29338</v>
      </c>
      <c r="AR16" s="547">
        <v>-28815</v>
      </c>
      <c r="AS16" s="547">
        <v>-31233</v>
      </c>
    </row>
    <row r="17" spans="1:45" x14ac:dyDescent="0.35">
      <c r="A17" s="172" t="s">
        <v>266</v>
      </c>
      <c r="B17" s="177"/>
      <c r="C17" s="547"/>
      <c r="D17" s="547"/>
      <c r="E17" s="547"/>
      <c r="F17" s="547"/>
      <c r="G17" s="547">
        <v>-8</v>
      </c>
      <c r="H17" s="547">
        <v>-16</v>
      </c>
      <c r="I17" s="547">
        <v>-22</v>
      </c>
      <c r="J17" s="547">
        <v>-26</v>
      </c>
      <c r="K17" s="547">
        <v>-2</v>
      </c>
      <c r="L17" s="547">
        <v>-2023</v>
      </c>
      <c r="M17" s="547">
        <v>-2987</v>
      </c>
      <c r="N17" s="547">
        <v>-2571</v>
      </c>
      <c r="O17" s="547">
        <v>-884</v>
      </c>
      <c r="P17" s="547">
        <v>-227</v>
      </c>
      <c r="Q17" s="547">
        <v>-558</v>
      </c>
      <c r="R17" s="547">
        <v>-1937</v>
      </c>
      <c r="S17" s="547">
        <v>-233</v>
      </c>
      <c r="T17" s="547">
        <v>-320</v>
      </c>
      <c r="U17" s="547">
        <v>-152</v>
      </c>
      <c r="V17" s="547">
        <v>156</v>
      </c>
      <c r="W17" s="547">
        <v>-59</v>
      </c>
      <c r="X17" s="547">
        <v>1</v>
      </c>
      <c r="Y17" s="547">
        <v>-983.5</v>
      </c>
      <c r="Z17" s="547">
        <v>-713</v>
      </c>
      <c r="AA17" s="547">
        <v>-576</v>
      </c>
      <c r="AB17" s="547">
        <v>-1287</v>
      </c>
      <c r="AC17" s="547">
        <v>-1103</v>
      </c>
      <c r="AD17" s="547">
        <v>-1427</v>
      </c>
      <c r="AE17" s="547">
        <v>-1438</v>
      </c>
      <c r="AF17" s="547">
        <v>-982</v>
      </c>
      <c r="AG17" s="547">
        <v>-1246</v>
      </c>
      <c r="AH17" s="547">
        <v>-1331</v>
      </c>
      <c r="AI17" s="547">
        <v>-525</v>
      </c>
      <c r="AJ17" s="547">
        <v>-405</v>
      </c>
      <c r="AK17" s="547">
        <v>-1802</v>
      </c>
      <c r="AL17" s="547">
        <v>-12320</v>
      </c>
      <c r="AM17" s="547">
        <v>-6277</v>
      </c>
      <c r="AN17" s="547">
        <v>-853</v>
      </c>
      <c r="AO17" s="547">
        <v>-1033</v>
      </c>
      <c r="AP17" s="547">
        <v>-17598</v>
      </c>
      <c r="AQ17" s="547">
        <v>-3087</v>
      </c>
      <c r="AR17" s="547">
        <v>-8062</v>
      </c>
      <c r="AS17" s="547">
        <v>-3259</v>
      </c>
    </row>
    <row r="18" spans="1:45" x14ac:dyDescent="0.35">
      <c r="A18" s="172" t="s">
        <v>267</v>
      </c>
      <c r="B18" s="177"/>
      <c r="C18" s="547"/>
      <c r="D18" s="547"/>
      <c r="E18" s="547"/>
      <c r="F18" s="547"/>
      <c r="G18" s="547">
        <v>-578</v>
      </c>
      <c r="H18" s="547">
        <v>-2071</v>
      </c>
      <c r="I18" s="547">
        <v>-2032</v>
      </c>
      <c r="J18" s="547">
        <v>-3173</v>
      </c>
      <c r="K18" s="547">
        <v>-733</v>
      </c>
      <c r="L18" s="547">
        <v>-416</v>
      </c>
      <c r="M18" s="547">
        <v>-707</v>
      </c>
      <c r="N18" s="547">
        <v>-1066</v>
      </c>
      <c r="O18" s="547">
        <v>-525</v>
      </c>
      <c r="P18" s="547">
        <v>-1819</v>
      </c>
      <c r="Q18" s="547">
        <v>-3377</v>
      </c>
      <c r="R18" s="547">
        <v>-5351</v>
      </c>
      <c r="S18" s="547">
        <v>-949</v>
      </c>
      <c r="T18" s="547">
        <v>-2768</v>
      </c>
      <c r="U18" s="547">
        <v>-1394</v>
      </c>
      <c r="V18" s="547">
        <v>-1087</v>
      </c>
      <c r="W18" s="547">
        <v>-1839</v>
      </c>
      <c r="X18" s="547">
        <v>-733</v>
      </c>
      <c r="Y18" s="547">
        <v>-2597</v>
      </c>
      <c r="Z18" s="547">
        <v>-2944</v>
      </c>
      <c r="AA18" s="547">
        <v>-2058</v>
      </c>
      <c r="AB18" s="547">
        <v>-2511</v>
      </c>
      <c r="AC18" s="547">
        <v>-2216</v>
      </c>
      <c r="AD18" s="547">
        <v>-2646</v>
      </c>
      <c r="AE18" s="547">
        <v>-2323</v>
      </c>
      <c r="AF18" s="547">
        <v>-1684</v>
      </c>
      <c r="AG18" s="547">
        <v>-712</v>
      </c>
      <c r="AH18" s="547">
        <v>-2372</v>
      </c>
      <c r="AI18" s="547">
        <v>-557</v>
      </c>
      <c r="AJ18" s="547">
        <v>-2916</v>
      </c>
      <c r="AK18" s="547">
        <v>-1694</v>
      </c>
      <c r="AL18" s="547">
        <v>-3460</v>
      </c>
      <c r="AM18" s="547">
        <v>-2668</v>
      </c>
      <c r="AN18" s="547">
        <v>-3051</v>
      </c>
      <c r="AO18" s="547">
        <v>-4291</v>
      </c>
      <c r="AP18" s="547">
        <v>-4747</v>
      </c>
      <c r="AQ18" s="547">
        <v>-2560</v>
      </c>
      <c r="AR18" s="547">
        <v>-442</v>
      </c>
      <c r="AS18" s="547">
        <v>-2848</v>
      </c>
    </row>
    <row r="19" spans="1:45" x14ac:dyDescent="0.35">
      <c r="A19" s="172" t="s">
        <v>268</v>
      </c>
      <c r="B19" s="177"/>
      <c r="C19" s="547"/>
      <c r="D19" s="547"/>
      <c r="E19" s="547"/>
      <c r="F19" s="547"/>
      <c r="G19" s="547">
        <v>0</v>
      </c>
      <c r="H19" s="547">
        <v>0</v>
      </c>
      <c r="I19" s="547">
        <v>0</v>
      </c>
      <c r="J19" s="547">
        <v>0</v>
      </c>
      <c r="K19" s="547">
        <v>0</v>
      </c>
      <c r="L19" s="547">
        <v>0</v>
      </c>
      <c r="M19" s="547">
        <v>0</v>
      </c>
      <c r="N19" s="547">
        <v>0</v>
      </c>
      <c r="O19" s="547">
        <v>-97</v>
      </c>
      <c r="P19" s="547">
        <v>0</v>
      </c>
      <c r="Q19" s="547">
        <v>0</v>
      </c>
      <c r="R19" s="547">
        <v>0</v>
      </c>
      <c r="S19" s="547">
        <v>0</v>
      </c>
      <c r="T19" s="547">
        <v>-52</v>
      </c>
      <c r="U19" s="547">
        <v>9</v>
      </c>
      <c r="V19" s="547">
        <v>-1104</v>
      </c>
      <c r="W19" s="547">
        <v>-96</v>
      </c>
      <c r="X19" s="547">
        <v>-237</v>
      </c>
      <c r="Y19" s="547">
        <v>-413</v>
      </c>
      <c r="Z19" s="547">
        <v>597</v>
      </c>
      <c r="AA19" s="547">
        <v>-217</v>
      </c>
      <c r="AB19" s="547">
        <v>-144</v>
      </c>
      <c r="AC19" s="547">
        <v>-125</v>
      </c>
      <c r="AD19" s="547">
        <v>-312</v>
      </c>
      <c r="AE19" s="547">
        <v>-202</v>
      </c>
      <c r="AF19" s="547">
        <v>-229</v>
      </c>
      <c r="AG19" s="547"/>
      <c r="AH19" s="547">
        <v>-199</v>
      </c>
      <c r="AI19" s="547">
        <v>-686</v>
      </c>
      <c r="AJ19" s="547">
        <v>-218</v>
      </c>
      <c r="AK19" s="547">
        <v>-162</v>
      </c>
      <c r="AL19" s="547"/>
      <c r="AM19" s="547"/>
      <c r="AN19" s="547">
        <v>-2056</v>
      </c>
      <c r="AO19" s="547">
        <v>-297</v>
      </c>
      <c r="AP19" s="547">
        <v>-157</v>
      </c>
      <c r="AQ19" s="547">
        <v>-894</v>
      </c>
      <c r="AR19" s="547">
        <v>116</v>
      </c>
      <c r="AS19" s="547">
        <v>-364</v>
      </c>
    </row>
    <row r="20" spans="1:45" x14ac:dyDescent="0.35">
      <c r="A20" s="172" t="s">
        <v>270</v>
      </c>
      <c r="B20" s="395"/>
      <c r="C20" s="547"/>
      <c r="D20" s="547"/>
      <c r="E20" s="547"/>
      <c r="F20" s="547"/>
      <c r="G20" s="547">
        <v>-505</v>
      </c>
      <c r="H20" s="547">
        <v>-92</v>
      </c>
      <c r="I20" s="547">
        <v>-154</v>
      </c>
      <c r="J20" s="547">
        <v>-336</v>
      </c>
      <c r="K20" s="547">
        <v>-111</v>
      </c>
      <c r="L20" s="547">
        <v>-569</v>
      </c>
      <c r="M20" s="547">
        <v>-1213</v>
      </c>
      <c r="N20" s="547">
        <v>-1276</v>
      </c>
      <c r="O20" s="547">
        <v>-1061</v>
      </c>
      <c r="P20" s="547">
        <v>-1886</v>
      </c>
      <c r="Q20" s="547">
        <v>-4310</v>
      </c>
      <c r="R20" s="547">
        <v>-6690</v>
      </c>
      <c r="S20" s="547">
        <v>-1407</v>
      </c>
      <c r="T20" s="547">
        <v>-179</v>
      </c>
      <c r="U20" s="547">
        <v>-297</v>
      </c>
      <c r="V20" s="547">
        <f>-299-404+10</f>
        <v>-693</v>
      </c>
      <c r="W20" s="547">
        <f>-115-56</f>
        <v>-171</v>
      </c>
      <c r="X20" s="547">
        <f>-1735-532</f>
        <v>-2267</v>
      </c>
      <c r="Y20" s="547">
        <v>-4158</v>
      </c>
      <c r="Z20" s="547">
        <v>-6018</v>
      </c>
      <c r="AA20" s="547">
        <v>-4452</v>
      </c>
      <c r="AB20" s="547">
        <v>-4370</v>
      </c>
      <c r="AC20" s="547">
        <v>-4782</v>
      </c>
      <c r="AD20" s="547">
        <v>-6230</v>
      </c>
      <c r="AE20" s="547">
        <v>-4818</v>
      </c>
      <c r="AF20" s="547">
        <v>-3816</v>
      </c>
      <c r="AG20" s="547">
        <v>-3996</v>
      </c>
      <c r="AH20" s="547">
        <v>-5739</v>
      </c>
      <c r="AI20" s="547">
        <v>-1976</v>
      </c>
      <c r="AJ20" s="547">
        <v>-2342</v>
      </c>
      <c r="AK20" s="547">
        <v>-4079</v>
      </c>
      <c r="AL20" s="547">
        <v>-10658</v>
      </c>
      <c r="AM20" s="547">
        <v>-3404</v>
      </c>
      <c r="AN20" s="547">
        <v>-4769</v>
      </c>
      <c r="AO20" s="547">
        <v>-4040</v>
      </c>
      <c r="AP20" s="547">
        <v>-11938</v>
      </c>
      <c r="AQ20" s="547">
        <v>-10951</v>
      </c>
      <c r="AR20" s="547">
        <v>-10389</v>
      </c>
      <c r="AS20" s="547">
        <v>-17812</v>
      </c>
    </row>
    <row r="21" spans="1:45" x14ac:dyDescent="0.35">
      <c r="A21" s="596" t="s">
        <v>272</v>
      </c>
      <c r="B21" s="177"/>
      <c r="C21" s="595"/>
      <c r="D21" s="595"/>
      <c r="E21" s="595"/>
      <c r="F21" s="595"/>
      <c r="G21" s="595">
        <f t="shared" ref="G21:R21" si="8">G12+G13+G15</f>
        <v>25070</v>
      </c>
      <c r="H21" s="595">
        <f t="shared" si="8"/>
        <v>26762</v>
      </c>
      <c r="I21" s="595">
        <f t="shared" si="8"/>
        <v>30008</v>
      </c>
      <c r="J21" s="595">
        <f t="shared" si="8"/>
        <v>35974</v>
      </c>
      <c r="K21" s="595">
        <f t="shared" si="8"/>
        <v>9794</v>
      </c>
      <c r="L21" s="595">
        <f t="shared" si="8"/>
        <v>18977</v>
      </c>
      <c r="M21" s="595">
        <f t="shared" si="8"/>
        <v>16345</v>
      </c>
      <c r="N21" s="595">
        <f t="shared" si="8"/>
        <v>10482</v>
      </c>
      <c r="O21" s="595">
        <f t="shared" si="8"/>
        <v>5864</v>
      </c>
      <c r="P21" s="595">
        <f t="shared" si="8"/>
        <v>8489</v>
      </c>
      <c r="Q21" s="595">
        <f t="shared" si="8"/>
        <v>14103</v>
      </c>
      <c r="R21" s="595">
        <f t="shared" si="8"/>
        <v>21055</v>
      </c>
      <c r="S21" s="595">
        <f>S12+S13+S15</f>
        <v>5932</v>
      </c>
      <c r="T21" s="595">
        <f t="shared" ref="T21:AA21" si="9">T12+T13+T15</f>
        <v>17532</v>
      </c>
      <c r="U21" s="595">
        <f t="shared" si="9"/>
        <v>11165</v>
      </c>
      <c r="V21" s="595">
        <f t="shared" si="9"/>
        <v>16679</v>
      </c>
      <c r="W21" s="595">
        <f t="shared" si="9"/>
        <v>10041</v>
      </c>
      <c r="X21" s="595">
        <f t="shared" si="9"/>
        <v>6317</v>
      </c>
      <c r="Y21" s="595">
        <f t="shared" si="9"/>
        <v>7932</v>
      </c>
      <c r="Z21" s="595">
        <f t="shared" si="9"/>
        <v>18125</v>
      </c>
      <c r="AA21" s="595">
        <f t="shared" si="9"/>
        <v>10118</v>
      </c>
      <c r="AB21" s="595">
        <v>10226</v>
      </c>
      <c r="AC21" s="595">
        <v>21061</v>
      </c>
      <c r="AD21" s="595">
        <v>17245</v>
      </c>
      <c r="AE21" s="595">
        <v>10723.000000000013</v>
      </c>
      <c r="AF21" s="595">
        <v>16955</v>
      </c>
      <c r="AG21" s="595">
        <f>AG12+AG13+AG15</f>
        <v>15382</v>
      </c>
      <c r="AH21" s="595">
        <v>139796</v>
      </c>
      <c r="AI21" s="595">
        <f t="shared" ref="AI21:AR21" si="10">AI12+AI13+AI15</f>
        <v>8618</v>
      </c>
      <c r="AJ21" s="595">
        <f t="shared" si="10"/>
        <v>6606</v>
      </c>
      <c r="AK21" s="595">
        <f t="shared" si="10"/>
        <v>11521</v>
      </c>
      <c r="AL21" s="595">
        <f t="shared" si="10"/>
        <v>-19129</v>
      </c>
      <c r="AM21" s="595">
        <f t="shared" si="10"/>
        <v>3849</v>
      </c>
      <c r="AN21" s="595">
        <f t="shared" si="10"/>
        <v>8020</v>
      </c>
      <c r="AO21" s="595">
        <f t="shared" si="10"/>
        <v>-4852</v>
      </c>
      <c r="AP21" s="595">
        <f t="shared" si="10"/>
        <v>-34320</v>
      </c>
      <c r="AQ21" s="595">
        <f t="shared" si="10"/>
        <v>85844</v>
      </c>
      <c r="AR21" s="595">
        <f t="shared" si="10"/>
        <v>42034</v>
      </c>
      <c r="AS21" s="595">
        <f>AS12+AS13+AS15</f>
        <v>46109</v>
      </c>
    </row>
    <row r="22" spans="1:45" ht="15" thickBot="1" x14ac:dyDescent="0.4">
      <c r="A22" s="172" t="s">
        <v>273</v>
      </c>
      <c r="B22" s="169"/>
      <c r="C22" s="547"/>
      <c r="D22" s="547"/>
      <c r="E22" s="547"/>
      <c r="F22" s="547"/>
      <c r="G22" s="547">
        <v>-35</v>
      </c>
      <c r="H22" s="547">
        <v>-70</v>
      </c>
      <c r="I22" s="547">
        <v>-106</v>
      </c>
      <c r="J22" s="547">
        <v>-142</v>
      </c>
      <c r="K22" s="547">
        <v>-29</v>
      </c>
      <c r="L22" s="547">
        <v>-75</v>
      </c>
      <c r="M22" s="547">
        <v>-113</v>
      </c>
      <c r="N22" s="547">
        <v>-153</v>
      </c>
      <c r="O22" s="547">
        <v>-35</v>
      </c>
      <c r="P22" s="547">
        <v>-61</v>
      </c>
      <c r="Q22" s="547">
        <v>-97</v>
      </c>
      <c r="R22" s="547">
        <v>-154</v>
      </c>
      <c r="S22" s="547">
        <v>-7</v>
      </c>
      <c r="T22" s="547">
        <v>-125.6</v>
      </c>
      <c r="U22" s="547">
        <v>-87</v>
      </c>
      <c r="V22" s="547">
        <v>158</v>
      </c>
      <c r="W22" s="547">
        <v>-87</v>
      </c>
      <c r="X22" s="547">
        <v>-66</v>
      </c>
      <c r="Y22" s="547">
        <v>-92</v>
      </c>
      <c r="Z22" s="547">
        <v>-113</v>
      </c>
      <c r="AA22" s="547">
        <v>-61</v>
      </c>
      <c r="AB22" s="547">
        <v>-73</v>
      </c>
      <c r="AC22" s="547">
        <v>-111</v>
      </c>
      <c r="AD22" s="547">
        <v>-84</v>
      </c>
      <c r="AE22" s="547">
        <v>-41</v>
      </c>
      <c r="AF22" s="547">
        <v>-72</v>
      </c>
      <c r="AG22" s="547">
        <v>-36</v>
      </c>
      <c r="AH22" s="547">
        <v>-43</v>
      </c>
      <c r="AI22" s="547">
        <v>-48</v>
      </c>
      <c r="AJ22" s="547">
        <v>-33</v>
      </c>
      <c r="AK22" s="547">
        <v>0</v>
      </c>
      <c r="AL22" s="547">
        <v>-701</v>
      </c>
      <c r="AM22" s="547">
        <v>-61</v>
      </c>
      <c r="AN22" s="547">
        <v>-63</v>
      </c>
      <c r="AO22" s="547">
        <v>-1182</v>
      </c>
      <c r="AP22" s="547">
        <v>-1405</v>
      </c>
      <c r="AQ22" s="547">
        <v>-1467</v>
      </c>
      <c r="AR22" s="547">
        <v>-1841</v>
      </c>
      <c r="AS22" s="547">
        <v>-1950</v>
      </c>
    </row>
    <row r="23" spans="1:45" ht="15" thickBot="1" x14ac:dyDescent="0.4">
      <c r="A23" s="175" t="s">
        <v>274</v>
      </c>
      <c r="B23" s="169"/>
      <c r="C23" s="176"/>
      <c r="D23" s="176"/>
      <c r="E23" s="176"/>
      <c r="F23" s="176"/>
      <c r="G23" s="176">
        <f t="shared" ref="G23:AR23" si="11">G21+G22</f>
        <v>25035</v>
      </c>
      <c r="H23" s="176">
        <f t="shared" si="11"/>
        <v>26692</v>
      </c>
      <c r="I23" s="176">
        <f t="shared" si="11"/>
        <v>29902</v>
      </c>
      <c r="J23" s="176">
        <f t="shared" si="11"/>
        <v>35832</v>
      </c>
      <c r="K23" s="176">
        <f t="shared" si="11"/>
        <v>9765</v>
      </c>
      <c r="L23" s="176">
        <f t="shared" si="11"/>
        <v>18902</v>
      </c>
      <c r="M23" s="176">
        <f t="shared" si="11"/>
        <v>16232</v>
      </c>
      <c r="N23" s="176">
        <f t="shared" si="11"/>
        <v>10329</v>
      </c>
      <c r="O23" s="176">
        <f t="shared" si="11"/>
        <v>5829</v>
      </c>
      <c r="P23" s="176">
        <f t="shared" si="11"/>
        <v>8428</v>
      </c>
      <c r="Q23" s="176">
        <f t="shared" si="11"/>
        <v>14006</v>
      </c>
      <c r="R23" s="176">
        <f t="shared" si="11"/>
        <v>20901</v>
      </c>
      <c r="S23" s="176">
        <f t="shared" si="11"/>
        <v>5925</v>
      </c>
      <c r="T23" s="176">
        <f t="shared" si="11"/>
        <v>17406.400000000001</v>
      </c>
      <c r="U23" s="176">
        <f t="shared" si="11"/>
        <v>11078</v>
      </c>
      <c r="V23" s="176">
        <f t="shared" si="11"/>
        <v>16837</v>
      </c>
      <c r="W23" s="176">
        <f t="shared" si="11"/>
        <v>9954</v>
      </c>
      <c r="X23" s="176">
        <f t="shared" si="11"/>
        <v>6251</v>
      </c>
      <c r="Y23" s="176">
        <f t="shared" si="11"/>
        <v>7840</v>
      </c>
      <c r="Z23" s="176">
        <f t="shared" si="11"/>
        <v>18012</v>
      </c>
      <c r="AA23" s="176">
        <f t="shared" si="11"/>
        <v>10057</v>
      </c>
      <c r="AB23" s="176">
        <f t="shared" si="11"/>
        <v>10153</v>
      </c>
      <c r="AC23" s="176">
        <f t="shared" si="11"/>
        <v>20950</v>
      </c>
      <c r="AD23" s="176">
        <f t="shared" si="11"/>
        <v>17161</v>
      </c>
      <c r="AE23" s="176">
        <f t="shared" si="11"/>
        <v>10682.000000000013</v>
      </c>
      <c r="AF23" s="176">
        <f t="shared" si="11"/>
        <v>16883</v>
      </c>
      <c r="AG23" s="176">
        <f t="shared" si="11"/>
        <v>15346</v>
      </c>
      <c r="AH23" s="176">
        <f t="shared" si="11"/>
        <v>139753</v>
      </c>
      <c r="AI23" s="176">
        <f t="shared" si="11"/>
        <v>8570</v>
      </c>
      <c r="AJ23" s="176">
        <f t="shared" si="11"/>
        <v>6573</v>
      </c>
      <c r="AK23" s="176">
        <f t="shared" si="11"/>
        <v>11521</v>
      </c>
      <c r="AL23" s="176">
        <f t="shared" si="11"/>
        <v>-19830</v>
      </c>
      <c r="AM23" s="176">
        <f t="shared" si="11"/>
        <v>3788</v>
      </c>
      <c r="AN23" s="176">
        <f t="shared" si="11"/>
        <v>7957</v>
      </c>
      <c r="AO23" s="176">
        <f t="shared" si="11"/>
        <v>-6034</v>
      </c>
      <c r="AP23" s="176">
        <f t="shared" si="11"/>
        <v>-35725</v>
      </c>
      <c r="AQ23" s="176">
        <f t="shared" si="11"/>
        <v>84377</v>
      </c>
      <c r="AR23" s="176">
        <f t="shared" si="11"/>
        <v>40193</v>
      </c>
      <c r="AS23" s="176">
        <f>AS21+AS22</f>
        <v>44159</v>
      </c>
    </row>
    <row r="24" spans="1:45" ht="15" thickBot="1" x14ac:dyDescent="0.4">
      <c r="A24" s="175" t="s">
        <v>990</v>
      </c>
      <c r="B24" s="169"/>
      <c r="C24" s="176"/>
      <c r="D24" s="176"/>
      <c r="E24" s="176"/>
      <c r="F24" s="176"/>
      <c r="G24" s="176">
        <f t="shared" ref="G24:AM24" si="12">SUM(G25:G26)</f>
        <v>425</v>
      </c>
      <c r="H24" s="176">
        <f t="shared" si="12"/>
        <v>1452</v>
      </c>
      <c r="I24" s="176">
        <f t="shared" si="12"/>
        <v>2759</v>
      </c>
      <c r="J24" s="176">
        <f t="shared" si="12"/>
        <v>4075</v>
      </c>
      <c r="K24" s="176">
        <f t="shared" si="12"/>
        <v>925</v>
      </c>
      <c r="L24" s="176">
        <f t="shared" si="12"/>
        <v>2883</v>
      </c>
      <c r="M24" s="176">
        <f t="shared" si="12"/>
        <v>4843</v>
      </c>
      <c r="N24" s="176">
        <f t="shared" si="12"/>
        <v>6476</v>
      </c>
      <c r="O24" s="176">
        <f t="shared" si="12"/>
        <v>1252</v>
      </c>
      <c r="P24" s="176">
        <f t="shared" si="12"/>
        <v>2074</v>
      </c>
      <c r="Q24" s="176">
        <f t="shared" si="12"/>
        <v>3395</v>
      </c>
      <c r="R24" s="176">
        <f t="shared" si="12"/>
        <v>5627</v>
      </c>
      <c r="S24" s="176">
        <f t="shared" si="12"/>
        <v>868</v>
      </c>
      <c r="T24" s="176">
        <f t="shared" si="12"/>
        <v>1713</v>
      </c>
      <c r="U24" s="176">
        <f t="shared" si="12"/>
        <v>1882</v>
      </c>
      <c r="V24" s="176">
        <f t="shared" si="12"/>
        <v>2043</v>
      </c>
      <c r="W24" s="176">
        <f t="shared" si="12"/>
        <v>1043</v>
      </c>
      <c r="X24" s="176">
        <f t="shared" si="12"/>
        <v>739</v>
      </c>
      <c r="Y24" s="176">
        <f t="shared" si="12"/>
        <v>1428</v>
      </c>
      <c r="Z24" s="176">
        <f t="shared" si="12"/>
        <v>1775</v>
      </c>
      <c r="AA24" s="176">
        <f t="shared" si="12"/>
        <v>920</v>
      </c>
      <c r="AB24" s="176">
        <f t="shared" si="12"/>
        <v>1347</v>
      </c>
      <c r="AC24" s="176">
        <f t="shared" si="12"/>
        <v>1305</v>
      </c>
      <c r="AD24" s="176">
        <f t="shared" si="12"/>
        <v>22848</v>
      </c>
      <c r="AE24" s="176">
        <f t="shared" si="12"/>
        <v>781</v>
      </c>
      <c r="AF24" s="176">
        <f t="shared" si="12"/>
        <v>953</v>
      </c>
      <c r="AG24" s="176">
        <f t="shared" si="12"/>
        <v>-5418</v>
      </c>
      <c r="AH24" s="176">
        <f t="shared" si="12"/>
        <v>1942</v>
      </c>
      <c r="AI24" s="176">
        <f t="shared" si="12"/>
        <v>599</v>
      </c>
      <c r="AJ24" s="176">
        <f t="shared" si="12"/>
        <v>394</v>
      </c>
      <c r="AK24" s="176">
        <f t="shared" si="12"/>
        <v>912</v>
      </c>
      <c r="AL24" s="176">
        <f t="shared" si="12"/>
        <v>1518</v>
      </c>
      <c r="AM24" s="176">
        <f t="shared" si="12"/>
        <v>1183</v>
      </c>
      <c r="AN24" s="176">
        <f>SUM(AN25:AN26)</f>
        <v>1036</v>
      </c>
      <c r="AO24" s="176">
        <f t="shared" ref="AO24:AR24" si="13">SUM(AO25:AO26)</f>
        <v>1405</v>
      </c>
      <c r="AP24" s="176">
        <f t="shared" si="13"/>
        <v>-412</v>
      </c>
      <c r="AQ24" s="176">
        <f t="shared" si="13"/>
        <v>1720</v>
      </c>
      <c r="AR24" s="176">
        <f t="shared" si="13"/>
        <v>-376</v>
      </c>
      <c r="AS24" s="176">
        <f>SUM(AS25:AS26)</f>
        <v>-2129</v>
      </c>
    </row>
    <row r="25" spans="1:45" x14ac:dyDescent="0.35">
      <c r="A25" s="172" t="s">
        <v>278</v>
      </c>
      <c r="B25" s="169"/>
      <c r="C25" s="547"/>
      <c r="D25" s="547"/>
      <c r="E25" s="547"/>
      <c r="F25" s="547"/>
      <c r="G25" s="547">
        <v>497</v>
      </c>
      <c r="H25" s="547">
        <v>1591</v>
      </c>
      <c r="I25" s="547">
        <v>2941</v>
      </c>
      <c r="J25" s="547">
        <v>4328</v>
      </c>
      <c r="K25" s="547">
        <v>994</v>
      </c>
      <c r="L25" s="547">
        <v>3139</v>
      </c>
      <c r="M25" s="547">
        <v>5127</v>
      </c>
      <c r="N25" s="547">
        <v>6890</v>
      </c>
      <c r="O25" s="547">
        <v>1397</v>
      </c>
      <c r="P25" s="547">
        <v>2811</v>
      </c>
      <c r="Q25" s="547">
        <v>4715</v>
      </c>
      <c r="R25" s="547">
        <v>6821</v>
      </c>
      <c r="S25" s="547">
        <v>908</v>
      </c>
      <c r="T25" s="547">
        <v>1810</v>
      </c>
      <c r="U25" s="547">
        <v>1903</v>
      </c>
      <c r="V25" s="547">
        <v>2148</v>
      </c>
      <c r="W25" s="547">
        <v>1088</v>
      </c>
      <c r="X25" s="547">
        <v>798</v>
      </c>
      <c r="Y25" s="547">
        <v>1506</v>
      </c>
      <c r="Z25" s="547">
        <v>1962</v>
      </c>
      <c r="AA25" s="547">
        <v>990</v>
      </c>
      <c r="AB25" s="547">
        <v>1341</v>
      </c>
      <c r="AC25" s="547">
        <v>1436</v>
      </c>
      <c r="AD25" s="547">
        <v>22817</v>
      </c>
      <c r="AE25" s="547">
        <v>809</v>
      </c>
      <c r="AF25" s="547">
        <v>981</v>
      </c>
      <c r="AG25" s="547">
        <v>717</v>
      </c>
      <c r="AH25" s="547">
        <v>1809</v>
      </c>
      <c r="AI25" s="547">
        <v>627</v>
      </c>
      <c r="AJ25" s="547">
        <v>716</v>
      </c>
      <c r="AK25" s="547">
        <v>954</v>
      </c>
      <c r="AL25" s="547">
        <v>1771</v>
      </c>
      <c r="AM25" s="547">
        <v>5260</v>
      </c>
      <c r="AN25" s="547">
        <v>6792</v>
      </c>
      <c r="AO25" s="547">
        <v>12100</v>
      </c>
      <c r="AP25" s="547">
        <v>9494</v>
      </c>
      <c r="AQ25" s="547">
        <v>15333</v>
      </c>
      <c r="AR25" s="547">
        <v>13461</v>
      </c>
      <c r="AS25" s="547">
        <v>4893</v>
      </c>
    </row>
    <row r="26" spans="1:45" ht="15" thickBot="1" x14ac:dyDescent="0.4">
      <c r="A26" s="172" t="s">
        <v>279</v>
      </c>
      <c r="B26" s="169"/>
      <c r="C26" s="547"/>
      <c r="D26" s="547"/>
      <c r="E26" s="547"/>
      <c r="F26" s="547"/>
      <c r="G26" s="547">
        <v>-72</v>
      </c>
      <c r="H26" s="547">
        <v>-139</v>
      </c>
      <c r="I26" s="547">
        <v>-182</v>
      </c>
      <c r="J26" s="547">
        <v>-253</v>
      </c>
      <c r="K26" s="547">
        <v>-69</v>
      </c>
      <c r="L26" s="547">
        <v>-256</v>
      </c>
      <c r="M26" s="547">
        <v>-284</v>
      </c>
      <c r="N26" s="547">
        <v>-414</v>
      </c>
      <c r="O26" s="547">
        <v>-145</v>
      </c>
      <c r="P26" s="547">
        <v>-737</v>
      </c>
      <c r="Q26" s="547">
        <v>-1320</v>
      </c>
      <c r="R26" s="547">
        <v>-1194</v>
      </c>
      <c r="S26" s="547">
        <v>-40</v>
      </c>
      <c r="T26" s="547">
        <v>-97</v>
      </c>
      <c r="U26" s="547">
        <v>-21</v>
      </c>
      <c r="V26" s="547">
        <v>-105</v>
      </c>
      <c r="W26" s="547">
        <v>-45</v>
      </c>
      <c r="X26" s="547">
        <v>-59</v>
      </c>
      <c r="Y26" s="547">
        <v>-78</v>
      </c>
      <c r="Z26" s="547">
        <v>-187</v>
      </c>
      <c r="AA26" s="547">
        <v>-70</v>
      </c>
      <c r="AB26" s="547">
        <v>6</v>
      </c>
      <c r="AC26" s="547">
        <v>-131</v>
      </c>
      <c r="AD26" s="547">
        <v>31</v>
      </c>
      <c r="AE26" s="547">
        <v>-28</v>
      </c>
      <c r="AF26" s="547">
        <v>-28</v>
      </c>
      <c r="AG26" s="547">
        <v>-6135</v>
      </c>
      <c r="AH26" s="547">
        <v>133</v>
      </c>
      <c r="AI26" s="547">
        <v>-28</v>
      </c>
      <c r="AJ26" s="547">
        <v>-322</v>
      </c>
      <c r="AK26" s="547">
        <v>-42</v>
      </c>
      <c r="AL26" s="547">
        <v>-253</v>
      </c>
      <c r="AM26" s="547">
        <v>-4077</v>
      </c>
      <c r="AN26" s="547">
        <v>-5756</v>
      </c>
      <c r="AO26" s="547">
        <v>-10695</v>
      </c>
      <c r="AP26" s="547">
        <v>-9906</v>
      </c>
      <c r="AQ26" s="547">
        <v>-13613</v>
      </c>
      <c r="AR26" s="547">
        <v>-13837</v>
      </c>
      <c r="AS26" s="547">
        <v>-7022</v>
      </c>
    </row>
    <row r="27" spans="1:45" ht="15" thickBot="1" x14ac:dyDescent="0.4">
      <c r="A27" s="175" t="s">
        <v>314</v>
      </c>
      <c r="B27" s="169"/>
      <c r="C27" s="176"/>
      <c r="D27" s="176"/>
      <c r="E27" s="176"/>
      <c r="F27" s="176"/>
      <c r="G27" s="176">
        <f t="shared" ref="G27:AA27" si="14">G23+G24</f>
        <v>25460</v>
      </c>
      <c r="H27" s="176">
        <f t="shared" si="14"/>
        <v>28144</v>
      </c>
      <c r="I27" s="176">
        <f t="shared" si="14"/>
        <v>32661</v>
      </c>
      <c r="J27" s="176">
        <f t="shared" si="14"/>
        <v>39907</v>
      </c>
      <c r="K27" s="176">
        <f t="shared" si="14"/>
        <v>10690</v>
      </c>
      <c r="L27" s="176">
        <f t="shared" si="14"/>
        <v>21785</v>
      </c>
      <c r="M27" s="176">
        <f t="shared" si="14"/>
        <v>21075</v>
      </c>
      <c r="N27" s="176">
        <f t="shared" si="14"/>
        <v>16805</v>
      </c>
      <c r="O27" s="176">
        <f t="shared" si="14"/>
        <v>7081</v>
      </c>
      <c r="P27" s="176">
        <f t="shared" si="14"/>
        <v>10502</v>
      </c>
      <c r="Q27" s="176">
        <f t="shared" si="14"/>
        <v>17401</v>
      </c>
      <c r="R27" s="176">
        <f t="shared" si="14"/>
        <v>26528</v>
      </c>
      <c r="S27" s="176">
        <f t="shared" si="14"/>
        <v>6793</v>
      </c>
      <c r="T27" s="176">
        <f t="shared" si="14"/>
        <v>19119.400000000001</v>
      </c>
      <c r="U27" s="176">
        <f t="shared" si="14"/>
        <v>12960</v>
      </c>
      <c r="V27" s="176">
        <f t="shared" si="14"/>
        <v>18880</v>
      </c>
      <c r="W27" s="176">
        <f t="shared" si="14"/>
        <v>10997</v>
      </c>
      <c r="X27" s="176">
        <f t="shared" si="14"/>
        <v>6990</v>
      </c>
      <c r="Y27" s="176">
        <f t="shared" si="14"/>
        <v>9268</v>
      </c>
      <c r="Z27" s="176">
        <f t="shared" si="14"/>
        <v>19787</v>
      </c>
      <c r="AA27" s="176">
        <f t="shared" si="14"/>
        <v>10977</v>
      </c>
      <c r="AB27" s="176">
        <v>11500</v>
      </c>
      <c r="AC27" s="176">
        <v>22255</v>
      </c>
      <c r="AD27" s="176">
        <v>40009</v>
      </c>
      <c r="AE27" s="176">
        <v>11463.000000000013</v>
      </c>
      <c r="AF27" s="176">
        <f>AF23+AF24</f>
        <v>17836</v>
      </c>
      <c r="AG27" s="176">
        <f>AG23+AG24</f>
        <v>9928</v>
      </c>
      <c r="AH27" s="176">
        <v>141695</v>
      </c>
      <c r="AI27" s="176">
        <f t="shared" ref="AI27:AR27" si="15">AI23+AI24</f>
        <v>9169</v>
      </c>
      <c r="AJ27" s="176">
        <f t="shared" si="15"/>
        <v>6967</v>
      </c>
      <c r="AK27" s="176">
        <f t="shared" si="15"/>
        <v>12433</v>
      </c>
      <c r="AL27" s="176">
        <f t="shared" si="15"/>
        <v>-18312</v>
      </c>
      <c r="AM27" s="176">
        <f t="shared" si="15"/>
        <v>4971</v>
      </c>
      <c r="AN27" s="176">
        <f t="shared" si="15"/>
        <v>8993</v>
      </c>
      <c r="AO27" s="176">
        <f t="shared" si="15"/>
        <v>-4629</v>
      </c>
      <c r="AP27" s="176">
        <f t="shared" si="15"/>
        <v>-36137</v>
      </c>
      <c r="AQ27" s="176">
        <f t="shared" si="15"/>
        <v>86097</v>
      </c>
      <c r="AR27" s="176">
        <f t="shared" si="15"/>
        <v>39817</v>
      </c>
      <c r="AS27" s="176">
        <f>AS23+AS24</f>
        <v>42030</v>
      </c>
    </row>
    <row r="28" spans="1:45" x14ac:dyDescent="0.35">
      <c r="A28" s="172" t="s">
        <v>281</v>
      </c>
      <c r="B28" s="169"/>
      <c r="C28" s="547"/>
      <c r="D28" s="547"/>
      <c r="E28" s="547"/>
      <c r="F28" s="547"/>
      <c r="G28" s="547">
        <v>-2345</v>
      </c>
      <c r="H28" s="547">
        <v>-2786</v>
      </c>
      <c r="I28" s="547">
        <v>-3224</v>
      </c>
      <c r="J28" s="547">
        <v>-3871</v>
      </c>
      <c r="K28" s="547">
        <v>-1132</v>
      </c>
      <c r="L28" s="547">
        <v>-1958</v>
      </c>
      <c r="M28" s="547">
        <v>-1988</v>
      </c>
      <c r="N28" s="547">
        <v>-1558</v>
      </c>
      <c r="O28" s="547">
        <v>-486</v>
      </c>
      <c r="P28" s="547">
        <v>-741</v>
      </c>
      <c r="Q28" s="547">
        <v>-1227</v>
      </c>
      <c r="R28" s="547">
        <v>-1918</v>
      </c>
      <c r="S28" s="547">
        <v>-683</v>
      </c>
      <c r="T28" s="547">
        <v>-1773</v>
      </c>
      <c r="U28" s="547">
        <v>-1419</v>
      </c>
      <c r="V28" s="547">
        <v>-2249</v>
      </c>
      <c r="W28" s="547">
        <v>-1110</v>
      </c>
      <c r="X28" s="547">
        <v>-619</v>
      </c>
      <c r="Y28" s="547">
        <v>-661</v>
      </c>
      <c r="Z28" s="547">
        <v>-1800</v>
      </c>
      <c r="AA28" s="547">
        <v>-980</v>
      </c>
      <c r="AB28" s="547">
        <v>-1012.9999999999999</v>
      </c>
      <c r="AC28" s="547">
        <v>-2012</v>
      </c>
      <c r="AD28" s="547">
        <v>-1925</v>
      </c>
      <c r="AE28" s="547">
        <v>-1445</v>
      </c>
      <c r="AF28" s="547">
        <v>-1210</v>
      </c>
      <c r="AG28" s="547">
        <v>-1005</v>
      </c>
      <c r="AH28" s="547">
        <v>-2101</v>
      </c>
      <c r="AI28" s="547">
        <v>-392</v>
      </c>
      <c r="AJ28" s="547">
        <v>-912</v>
      </c>
      <c r="AK28" s="547">
        <v>-1146</v>
      </c>
      <c r="AL28" s="547">
        <v>-1764</v>
      </c>
      <c r="AM28" s="547">
        <v>-785</v>
      </c>
      <c r="AN28" s="547">
        <v>-1057</v>
      </c>
      <c r="AO28" s="547">
        <v>-191</v>
      </c>
      <c r="AP28" s="547">
        <v>-1295</v>
      </c>
      <c r="AQ28" s="547">
        <v>-1693</v>
      </c>
      <c r="AR28" s="547">
        <v>-2120</v>
      </c>
      <c r="AS28" s="547">
        <v>-2458</v>
      </c>
    </row>
    <row r="29" spans="1:45" x14ac:dyDescent="0.35">
      <c r="A29" s="172" t="s">
        <v>282</v>
      </c>
      <c r="B29" s="169"/>
      <c r="C29" s="547"/>
      <c r="D29" s="547"/>
      <c r="E29" s="547"/>
      <c r="F29" s="547"/>
      <c r="G29" s="547">
        <v>-6542</v>
      </c>
      <c r="H29" s="547">
        <v>-7760</v>
      </c>
      <c r="I29" s="547">
        <v>-8960</v>
      </c>
      <c r="J29" s="547">
        <v>-10684</v>
      </c>
      <c r="K29" s="547">
        <v>-2614</v>
      </c>
      <c r="L29" s="547">
        <v>-5356</v>
      </c>
      <c r="M29" s="547">
        <v>-5425</v>
      </c>
      <c r="N29" s="547">
        <v>-4213</v>
      </c>
      <c r="O29" s="547">
        <v>-1320</v>
      </c>
      <c r="P29" s="547">
        <v>-1960</v>
      </c>
      <c r="Q29" s="547">
        <v>-2918</v>
      </c>
      <c r="R29" s="547">
        <v>-5114</v>
      </c>
      <c r="S29" s="547">
        <v>-1869</v>
      </c>
      <c r="T29" s="547">
        <v>-4868</v>
      </c>
      <c r="U29" s="547">
        <v>-3854</v>
      </c>
      <c r="V29" s="547">
        <v>-6063</v>
      </c>
      <c r="W29" s="547">
        <v>-3096</v>
      </c>
      <c r="X29" s="547">
        <v>-1657</v>
      </c>
      <c r="Y29" s="547">
        <v>-1811</v>
      </c>
      <c r="Z29" s="547">
        <v>-4901</v>
      </c>
      <c r="AA29" s="547">
        <v>-2727</v>
      </c>
      <c r="AB29" s="547">
        <v>-2743</v>
      </c>
      <c r="AC29" s="547">
        <v>-5546</v>
      </c>
      <c r="AD29" s="547">
        <v>-5619</v>
      </c>
      <c r="AE29" s="547">
        <v>-4018</v>
      </c>
      <c r="AF29" s="547">
        <v>-3349</v>
      </c>
      <c r="AG29" s="547">
        <v>-2883</v>
      </c>
      <c r="AH29" s="547">
        <v>-5745</v>
      </c>
      <c r="AI29" s="547">
        <v>-1123</v>
      </c>
      <c r="AJ29" s="547">
        <v>-2391</v>
      </c>
      <c r="AK29" s="547">
        <v>-3142</v>
      </c>
      <c r="AL29" s="547">
        <v>-4621</v>
      </c>
      <c r="AM29" s="547">
        <v>-2018</v>
      </c>
      <c r="AN29" s="547">
        <v>-2925</v>
      </c>
      <c r="AO29" s="547">
        <v>-506</v>
      </c>
      <c r="AP29" s="547">
        <v>-3488</v>
      </c>
      <c r="AQ29" s="547">
        <v>-4513</v>
      </c>
      <c r="AR29" s="547">
        <v>-5370</v>
      </c>
      <c r="AS29" s="547">
        <v>-6305</v>
      </c>
    </row>
    <row r="30" spans="1:45" x14ac:dyDescent="0.35">
      <c r="A30" s="172" t="s">
        <v>284</v>
      </c>
      <c r="B30" s="169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>
        <v>94</v>
      </c>
      <c r="AD30" s="547">
        <v>-6656</v>
      </c>
      <c r="AE30" s="547">
        <v>0</v>
      </c>
      <c r="AF30" s="547">
        <v>335</v>
      </c>
      <c r="AG30" s="547">
        <v>209</v>
      </c>
      <c r="AH30" s="547">
        <v>-40351</v>
      </c>
      <c r="AI30" s="547">
        <v>0</v>
      </c>
      <c r="AJ30" s="547"/>
      <c r="AK30" s="547">
        <v>52</v>
      </c>
      <c r="AL30" s="547">
        <v>0</v>
      </c>
      <c r="AM30" s="547"/>
      <c r="AN30" s="547"/>
      <c r="AO30" s="547">
        <v>-37</v>
      </c>
      <c r="AP30" s="547">
        <v>37</v>
      </c>
      <c r="AQ30" s="547">
        <v>0</v>
      </c>
      <c r="AR30" s="547">
        <v>0</v>
      </c>
      <c r="AS30" s="547">
        <v>0</v>
      </c>
    </row>
    <row r="31" spans="1:45" ht="15" thickBot="1" x14ac:dyDescent="0.4">
      <c r="A31" s="172" t="s">
        <v>283</v>
      </c>
      <c r="B31" s="169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  <c r="AA31" s="547"/>
      <c r="AB31" s="547"/>
      <c r="AC31" s="547">
        <v>118</v>
      </c>
      <c r="AD31" s="547">
        <v>650</v>
      </c>
      <c r="AE31" s="547">
        <v>342</v>
      </c>
      <c r="AF31" s="547"/>
      <c r="AG31" s="547"/>
      <c r="AH31" s="547">
        <v>485</v>
      </c>
      <c r="AI31" s="547">
        <v>2594</v>
      </c>
      <c r="AJ31" s="547">
        <v>-2594</v>
      </c>
      <c r="AK31" s="547">
        <v>-4236</v>
      </c>
      <c r="AL31" s="547">
        <v>10337</v>
      </c>
      <c r="AM31" s="547"/>
      <c r="AN31" s="547"/>
      <c r="AO31" s="547">
        <v>3518</v>
      </c>
      <c r="AP31" s="547">
        <v>11510</v>
      </c>
      <c r="AQ31" s="547">
        <v>-25957</v>
      </c>
      <c r="AR31" s="547">
        <v>-9825</v>
      </c>
      <c r="AS31" s="547">
        <v>-8396</v>
      </c>
    </row>
    <row r="32" spans="1:45" ht="15" thickBot="1" x14ac:dyDescent="0.4">
      <c r="A32" s="175" t="s">
        <v>285</v>
      </c>
      <c r="B32" s="169"/>
      <c r="C32" s="548"/>
      <c r="D32" s="548"/>
      <c r="E32" s="548"/>
      <c r="F32" s="548"/>
      <c r="G32" s="548">
        <f t="shared" ref="G32:AM32" si="16">SUM(G27:G31)</f>
        <v>16573</v>
      </c>
      <c r="H32" s="548">
        <f t="shared" si="16"/>
        <v>17598</v>
      </c>
      <c r="I32" s="548">
        <f t="shared" si="16"/>
        <v>20477</v>
      </c>
      <c r="J32" s="548">
        <f t="shared" si="16"/>
        <v>25352</v>
      </c>
      <c r="K32" s="548">
        <f t="shared" si="16"/>
        <v>6944</v>
      </c>
      <c r="L32" s="548">
        <f t="shared" si="16"/>
        <v>14471</v>
      </c>
      <c r="M32" s="548">
        <f t="shared" si="16"/>
        <v>13662</v>
      </c>
      <c r="N32" s="548">
        <f t="shared" si="16"/>
        <v>11034</v>
      </c>
      <c r="O32" s="548">
        <f t="shared" si="16"/>
        <v>5275</v>
      </c>
      <c r="P32" s="548">
        <f t="shared" si="16"/>
        <v>7801</v>
      </c>
      <c r="Q32" s="548">
        <f t="shared" si="16"/>
        <v>13256</v>
      </c>
      <c r="R32" s="548">
        <f t="shared" si="16"/>
        <v>19496</v>
      </c>
      <c r="S32" s="548">
        <f t="shared" si="16"/>
        <v>4241</v>
      </c>
      <c r="T32" s="548">
        <f t="shared" si="16"/>
        <v>12478.400000000001</v>
      </c>
      <c r="U32" s="548">
        <f t="shared" si="16"/>
        <v>7687</v>
      </c>
      <c r="V32" s="548">
        <f t="shared" si="16"/>
        <v>10568</v>
      </c>
      <c r="W32" s="548">
        <f t="shared" si="16"/>
        <v>6791</v>
      </c>
      <c r="X32" s="548">
        <f t="shared" si="16"/>
        <v>4714</v>
      </c>
      <c r="Y32" s="548">
        <f t="shared" si="16"/>
        <v>6796</v>
      </c>
      <c r="Z32" s="548">
        <f t="shared" si="16"/>
        <v>13086</v>
      </c>
      <c r="AA32" s="548">
        <f t="shared" si="16"/>
        <v>7270</v>
      </c>
      <c r="AB32" s="548">
        <f t="shared" si="16"/>
        <v>7744</v>
      </c>
      <c r="AC32" s="548">
        <f t="shared" si="16"/>
        <v>14909</v>
      </c>
      <c r="AD32" s="548">
        <f t="shared" si="16"/>
        <v>26459</v>
      </c>
      <c r="AE32" s="548">
        <f t="shared" si="16"/>
        <v>6342.0000000000127</v>
      </c>
      <c r="AF32" s="548">
        <f t="shared" si="16"/>
        <v>13612</v>
      </c>
      <c r="AG32" s="548">
        <f t="shared" si="16"/>
        <v>6249</v>
      </c>
      <c r="AH32" s="548">
        <f t="shared" si="16"/>
        <v>93983</v>
      </c>
      <c r="AI32" s="548">
        <f t="shared" si="16"/>
        <v>10248</v>
      </c>
      <c r="AJ32" s="548">
        <f t="shared" si="16"/>
        <v>1070</v>
      </c>
      <c r="AK32" s="548">
        <f t="shared" si="16"/>
        <v>3961</v>
      </c>
      <c r="AL32" s="548">
        <f t="shared" si="16"/>
        <v>-14360</v>
      </c>
      <c r="AM32" s="548">
        <f t="shared" si="16"/>
        <v>2168</v>
      </c>
      <c r="AN32" s="548">
        <f>SUM(AN27:AN31)</f>
        <v>5011</v>
      </c>
      <c r="AO32" s="548">
        <f t="shared" ref="AO32:AR32" si="17">SUM(AO27:AO31)</f>
        <v>-1845</v>
      </c>
      <c r="AP32" s="548">
        <f t="shared" si="17"/>
        <v>-29373</v>
      </c>
      <c r="AQ32" s="548">
        <f t="shared" si="17"/>
        <v>53934</v>
      </c>
      <c r="AR32" s="548">
        <f t="shared" si="17"/>
        <v>22502</v>
      </c>
      <c r="AS32" s="548">
        <f>SUM(AS27:AS31)</f>
        <v>24871</v>
      </c>
    </row>
    <row r="34" spans="19:26" x14ac:dyDescent="0.35">
      <c r="S34" s="393"/>
      <c r="T34" s="393"/>
      <c r="U34" s="393"/>
      <c r="V34" s="393"/>
      <c r="W34" s="393"/>
      <c r="X34" s="393"/>
      <c r="Y34" s="393"/>
      <c r="Z34" s="393"/>
    </row>
    <row r="35" spans="19:26" x14ac:dyDescent="0.35">
      <c r="S35" s="294"/>
      <c r="T35" s="294"/>
      <c r="U35" s="294"/>
      <c r="V35" s="294"/>
      <c r="W35" s="294"/>
      <c r="X35" s="294"/>
      <c r="Y35" s="294"/>
      <c r="Z35" s="29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249B9-96BD-4E88-BE47-73BE3D020878}">
  <sheetPr>
    <tabColor theme="9" tint="0.79998168889431442"/>
  </sheetPr>
  <dimension ref="A7:Q1048576"/>
  <sheetViews>
    <sheetView showGridLines="0" zoomScale="85" zoomScaleNormal="85" workbookViewId="0">
      <pane xSplit="1" ySplit="8" topLeftCell="B9" activePane="bottomRight" state="frozen"/>
      <selection activeCell="I26" sqref="I26"/>
      <selection pane="topRight" activeCell="I26" sqref="I26"/>
      <selection pane="bottomLeft" activeCell="I26" sqref="I26"/>
      <selection pane="bottomRight"/>
    </sheetView>
  </sheetViews>
  <sheetFormatPr defaultColWidth="9.1796875" defaultRowHeight="14.5" outlineLevelCol="1" x14ac:dyDescent="0.35"/>
  <cols>
    <col min="1" max="1" width="44.453125" style="37" bestFit="1" customWidth="1"/>
    <col min="2" max="2" width="2.453125" customWidth="1"/>
    <col min="3" max="10" width="9.54296875" style="37" hidden="1" customWidth="1" outlineLevel="1"/>
    <col min="11" max="11" width="9.54296875" style="37" customWidth="1" collapsed="1"/>
    <col min="12" max="16" width="9.54296875" style="37" bestFit="1" customWidth="1"/>
    <col min="17" max="17" width="9.90625" style="37" bestFit="1" customWidth="1"/>
    <col min="18" max="16384" width="9.1796875" style="37"/>
  </cols>
  <sheetData>
    <row r="7" spans="1:17" x14ac:dyDescent="0.35">
      <c r="A7" s="41" t="s">
        <v>244</v>
      </c>
      <c r="B7" s="168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5" thickBot="1" x14ac:dyDescent="0.4">
      <c r="A8" s="589" t="s">
        <v>245</v>
      </c>
      <c r="B8" s="169"/>
      <c r="C8" s="590" t="s">
        <v>69</v>
      </c>
      <c r="D8" s="590" t="s">
        <v>70</v>
      </c>
      <c r="E8" s="590" t="s">
        <v>71</v>
      </c>
      <c r="F8" s="590" t="s">
        <v>72</v>
      </c>
      <c r="G8" s="590" t="s">
        <v>73</v>
      </c>
      <c r="H8" s="590" t="s">
        <v>74</v>
      </c>
      <c r="I8" s="590" t="s">
        <v>75</v>
      </c>
      <c r="J8" s="590" t="s">
        <v>76</v>
      </c>
      <c r="K8" s="590" t="s">
        <v>77</v>
      </c>
      <c r="L8" s="590" t="s">
        <v>78</v>
      </c>
      <c r="M8" s="590" t="s">
        <v>79</v>
      </c>
      <c r="N8" s="590" t="s">
        <v>80</v>
      </c>
      <c r="O8" s="590" t="s">
        <v>81</v>
      </c>
      <c r="P8" s="590" t="s">
        <v>82</v>
      </c>
      <c r="Q8" s="590" t="s">
        <v>83</v>
      </c>
    </row>
    <row r="9" spans="1:17" ht="15" thickBot="1" x14ac:dyDescent="0.4">
      <c r="A9" s="170" t="s">
        <v>246</v>
      </c>
      <c r="B9" s="169"/>
      <c r="C9" s="171">
        <f t="shared" ref="C9:K9" si="0">SUM(C10:C17)</f>
        <v>5673926</v>
      </c>
      <c r="D9" s="171">
        <f t="shared" si="0"/>
        <v>4604070</v>
      </c>
      <c r="E9" s="171">
        <f t="shared" si="0"/>
        <v>5615179</v>
      </c>
      <c r="F9" s="171">
        <f t="shared" si="0"/>
        <v>7537009</v>
      </c>
      <c r="G9" s="171">
        <f t="shared" si="0"/>
        <v>5564050</v>
      </c>
      <c r="H9" s="171">
        <f t="shared" si="0"/>
        <v>5714631</v>
      </c>
      <c r="I9" s="171">
        <f t="shared" si="0"/>
        <v>9824002</v>
      </c>
      <c r="J9" s="171">
        <f t="shared" si="0"/>
        <v>10739210</v>
      </c>
      <c r="K9" s="171">
        <f t="shared" si="0"/>
        <v>8665672</v>
      </c>
      <c r="L9" s="171">
        <f t="shared" ref="L9:Q9" si="1">SUM(L10:L17)</f>
        <v>9041537</v>
      </c>
      <c r="M9" s="171">
        <f t="shared" si="1"/>
        <v>9019875</v>
      </c>
      <c r="N9" s="171">
        <f t="shared" si="1"/>
        <v>10085102</v>
      </c>
      <c r="O9" s="171">
        <f t="shared" si="1"/>
        <v>13238356</v>
      </c>
      <c r="P9" s="171">
        <f t="shared" si="1"/>
        <v>12540232</v>
      </c>
      <c r="Q9" s="171">
        <f t="shared" si="1"/>
        <v>13839762</v>
      </c>
    </row>
    <row r="10" spans="1:17" x14ac:dyDescent="0.35">
      <c r="A10" s="172" t="s">
        <v>247</v>
      </c>
      <c r="B10" s="169"/>
      <c r="C10" s="173">
        <v>3966120</v>
      </c>
      <c r="D10" s="173">
        <v>3370350</v>
      </c>
      <c r="E10" s="173">
        <v>4302851</v>
      </c>
      <c r="F10" s="173">
        <v>5078160</v>
      </c>
      <c r="G10" s="173">
        <v>4408110</v>
      </c>
      <c r="H10" s="173">
        <v>4472232</v>
      </c>
      <c r="I10" s="173">
        <v>7440351</v>
      </c>
      <c r="J10" s="173">
        <v>8017446</v>
      </c>
      <c r="K10" s="173">
        <v>6505347</v>
      </c>
      <c r="L10" s="173">
        <v>6342428</v>
      </c>
      <c r="M10" s="173">
        <v>6442240</v>
      </c>
      <c r="N10" s="173">
        <v>6984645</v>
      </c>
      <c r="O10" s="173">
        <v>9068794</v>
      </c>
      <c r="P10" s="173">
        <v>8888486</v>
      </c>
      <c r="Q10" s="173">
        <v>9566498</v>
      </c>
    </row>
    <row r="11" spans="1:17" x14ac:dyDescent="0.35">
      <c r="A11" s="172" t="s">
        <v>248</v>
      </c>
      <c r="B11" s="169"/>
      <c r="C11" s="173">
        <v>78321</v>
      </c>
      <c r="D11" s="173">
        <v>27590</v>
      </c>
      <c r="E11" s="173">
        <v>32110</v>
      </c>
      <c r="F11" s="173">
        <v>134333</v>
      </c>
      <c r="G11" s="173">
        <v>33384</v>
      </c>
      <c r="H11" s="173">
        <v>82224</v>
      </c>
      <c r="I11" s="173">
        <v>459085</v>
      </c>
      <c r="J11" s="173">
        <v>496697</v>
      </c>
      <c r="K11" s="173">
        <v>69935</v>
      </c>
      <c r="L11" s="173">
        <v>110486</v>
      </c>
      <c r="M11" s="173">
        <v>93873</v>
      </c>
      <c r="N11" s="173">
        <v>91193</v>
      </c>
      <c r="O11" s="173">
        <v>96740</v>
      </c>
      <c r="P11" s="173">
        <v>124066</v>
      </c>
      <c r="Q11" s="173">
        <v>110338</v>
      </c>
    </row>
    <row r="12" spans="1:17" x14ac:dyDescent="0.35">
      <c r="A12" s="172" t="s">
        <v>249</v>
      </c>
      <c r="B12" s="169"/>
      <c r="C12" s="173">
        <v>1233818</v>
      </c>
      <c r="D12" s="173">
        <v>806348</v>
      </c>
      <c r="E12" s="173">
        <v>784006</v>
      </c>
      <c r="F12" s="173">
        <v>1380132</v>
      </c>
      <c r="G12" s="173">
        <v>765529</v>
      </c>
      <c r="H12" s="173">
        <v>505150</v>
      </c>
      <c r="I12" s="173">
        <v>993769</v>
      </c>
      <c r="J12" s="173">
        <v>1041280</v>
      </c>
      <c r="K12" s="173">
        <v>830324</v>
      </c>
      <c r="L12" s="173">
        <v>1114220</v>
      </c>
      <c r="M12" s="173">
        <v>1561609</v>
      </c>
      <c r="N12" s="173">
        <v>1749184</v>
      </c>
      <c r="O12" s="173">
        <v>2345841</v>
      </c>
      <c r="P12" s="173">
        <v>1790271</v>
      </c>
      <c r="Q12" s="173">
        <v>1982832</v>
      </c>
    </row>
    <row r="13" spans="1:17" x14ac:dyDescent="0.35">
      <c r="A13" s="172" t="s">
        <v>250</v>
      </c>
      <c r="B13" s="169"/>
      <c r="C13" s="173">
        <v>2554</v>
      </c>
      <c r="D13" s="173">
        <v>-5262</v>
      </c>
      <c r="E13" s="173">
        <v>3303</v>
      </c>
      <c r="F13" s="173">
        <v>-595</v>
      </c>
      <c r="G13" s="173">
        <v>0</v>
      </c>
      <c r="H13" s="173">
        <v>0</v>
      </c>
      <c r="I13" s="173">
        <v>0</v>
      </c>
      <c r="J13" s="173">
        <v>31190</v>
      </c>
      <c r="K13" s="173">
        <v>0</v>
      </c>
      <c r="L13" s="173">
        <v>49828</v>
      </c>
      <c r="M13" s="173">
        <v>-49828</v>
      </c>
      <c r="N13" s="173">
        <v>0</v>
      </c>
      <c r="O13" s="173"/>
      <c r="P13" s="173">
        <v>0</v>
      </c>
      <c r="Q13" s="173">
        <v>0</v>
      </c>
    </row>
    <row r="14" spans="1:17" x14ac:dyDescent="0.35">
      <c r="A14" s="169" t="s">
        <v>251</v>
      </c>
      <c r="B14" s="169"/>
      <c r="C14" s="173">
        <v>5266</v>
      </c>
      <c r="D14" s="173">
        <v>6390</v>
      </c>
      <c r="E14" s="173">
        <v>8975</v>
      </c>
      <c r="F14" s="173">
        <v>1144</v>
      </c>
      <c r="G14" s="173">
        <v>5566</v>
      </c>
      <c r="H14" s="173">
        <v>7208</v>
      </c>
      <c r="I14" s="173">
        <v>7072</v>
      </c>
      <c r="J14" s="173">
        <v>-55246</v>
      </c>
      <c r="K14" s="173">
        <v>19337</v>
      </c>
      <c r="L14" s="173">
        <v>-19337</v>
      </c>
      <c r="M14" s="173">
        <v>78466</v>
      </c>
      <c r="N14" s="173">
        <v>35974</v>
      </c>
      <c r="O14" s="173">
        <v>28883</v>
      </c>
      <c r="P14" s="173">
        <v>27885</v>
      </c>
      <c r="Q14" s="173">
        <v>50564</v>
      </c>
    </row>
    <row r="15" spans="1:17" x14ac:dyDescent="0.35">
      <c r="A15" s="169" t="s">
        <v>252</v>
      </c>
      <c r="B15" s="169"/>
      <c r="C15" s="173"/>
      <c r="D15" s="173"/>
      <c r="E15" s="173"/>
      <c r="F15" s="173"/>
      <c r="G15" s="173"/>
      <c r="H15" s="173"/>
      <c r="I15" s="173"/>
      <c r="J15" s="173"/>
      <c r="K15" s="173">
        <v>66744</v>
      </c>
      <c r="L15" s="173">
        <v>198875</v>
      </c>
      <c r="M15" s="173">
        <v>307963</v>
      </c>
      <c r="N15" s="173">
        <v>288649</v>
      </c>
      <c r="O15" s="173">
        <v>250025</v>
      </c>
      <c r="P15" s="173">
        <v>214564</v>
      </c>
      <c r="Q15" s="173">
        <v>286339</v>
      </c>
    </row>
    <row r="16" spans="1:17" x14ac:dyDescent="0.35">
      <c r="A16" s="169" t="s">
        <v>253</v>
      </c>
      <c r="B16" s="169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>
        <v>13428</v>
      </c>
      <c r="N16" s="173">
        <v>20660</v>
      </c>
      <c r="O16" s="173">
        <v>27047</v>
      </c>
      <c r="P16" s="173">
        <v>20634</v>
      </c>
      <c r="Q16" s="173">
        <v>18779</v>
      </c>
    </row>
    <row r="17" spans="1:17" ht="15" thickBot="1" x14ac:dyDescent="0.4">
      <c r="A17" s="174" t="s">
        <v>254</v>
      </c>
      <c r="B17" s="169"/>
      <c r="C17" s="173">
        <v>387847</v>
      </c>
      <c r="D17" s="173">
        <v>398654</v>
      </c>
      <c r="E17" s="173">
        <v>483934</v>
      </c>
      <c r="F17" s="173">
        <v>943835</v>
      </c>
      <c r="G17" s="173">
        <v>351461</v>
      </c>
      <c r="H17" s="173">
        <v>647817</v>
      </c>
      <c r="I17" s="173">
        <v>923725</v>
      </c>
      <c r="J17" s="173">
        <v>1207843</v>
      </c>
      <c r="K17" s="173">
        <v>1173985</v>
      </c>
      <c r="L17" s="173">
        <v>1245037</v>
      </c>
      <c r="M17" s="173">
        <v>572124</v>
      </c>
      <c r="N17" s="173">
        <v>914797</v>
      </c>
      <c r="O17" s="173">
        <v>1421026</v>
      </c>
      <c r="P17" s="173">
        <v>1474326</v>
      </c>
      <c r="Q17" s="173">
        <v>1824412</v>
      </c>
    </row>
    <row r="18" spans="1:17" ht="15" thickBot="1" x14ac:dyDescent="0.4">
      <c r="A18" s="175" t="s">
        <v>255</v>
      </c>
      <c r="B18" s="169"/>
      <c r="C18" s="176">
        <v>-1467424</v>
      </c>
      <c r="D18" s="176">
        <v>-1121860</v>
      </c>
      <c r="E18" s="176">
        <v>-1407150</v>
      </c>
      <c r="F18" s="176">
        <v>-1543681</v>
      </c>
      <c r="G18" s="176">
        <v>-1423880</v>
      </c>
      <c r="H18" s="176">
        <v>-1442369</v>
      </c>
      <c r="I18" s="176">
        <v>-2335166</v>
      </c>
      <c r="J18" s="176">
        <v>-2682016</v>
      </c>
      <c r="K18" s="176">
        <v>-2822483</v>
      </c>
      <c r="L18" s="176">
        <v>-2549431</v>
      </c>
      <c r="M18" s="176">
        <v>-2139598</v>
      </c>
      <c r="N18" s="176">
        <v>-2168167</v>
      </c>
      <c r="O18" s="176">
        <v>-3061782</v>
      </c>
      <c r="P18" s="176">
        <v>-3338755</v>
      </c>
      <c r="Q18" s="176">
        <v>-3478244</v>
      </c>
    </row>
    <row r="19" spans="1:17" ht="15" thickBot="1" x14ac:dyDescent="0.4">
      <c r="A19" s="175" t="s">
        <v>256</v>
      </c>
      <c r="B19" s="177"/>
      <c r="C19" s="176">
        <f t="shared" ref="C19:Q19" si="2">C9+C18</f>
        <v>4206502</v>
      </c>
      <c r="D19" s="176">
        <f t="shared" si="2"/>
        <v>3482210</v>
      </c>
      <c r="E19" s="176">
        <f t="shared" si="2"/>
        <v>4208029</v>
      </c>
      <c r="F19" s="176">
        <f t="shared" si="2"/>
        <v>5993328</v>
      </c>
      <c r="G19" s="176">
        <f t="shared" si="2"/>
        <v>4140170</v>
      </c>
      <c r="H19" s="176">
        <f t="shared" si="2"/>
        <v>4272262</v>
      </c>
      <c r="I19" s="176">
        <f t="shared" si="2"/>
        <v>7488836</v>
      </c>
      <c r="J19" s="176">
        <f t="shared" si="2"/>
        <v>8057194</v>
      </c>
      <c r="K19" s="176">
        <f t="shared" si="2"/>
        <v>5843189</v>
      </c>
      <c r="L19" s="176">
        <f t="shared" si="2"/>
        <v>6492106</v>
      </c>
      <c r="M19" s="176">
        <f t="shared" si="2"/>
        <v>6880277</v>
      </c>
      <c r="N19" s="176">
        <f t="shared" si="2"/>
        <v>7916935</v>
      </c>
      <c r="O19" s="176">
        <f t="shared" si="2"/>
        <v>10176574</v>
      </c>
      <c r="P19" s="176">
        <f t="shared" si="2"/>
        <v>9201477</v>
      </c>
      <c r="Q19" s="176">
        <f t="shared" si="2"/>
        <v>10361518</v>
      </c>
    </row>
    <row r="20" spans="1:17" ht="15" thickBot="1" x14ac:dyDescent="0.4">
      <c r="A20" s="175" t="s">
        <v>257</v>
      </c>
      <c r="B20" s="177"/>
      <c r="C20" s="176">
        <f t="shared" ref="C20:Q20" si="3">SUM(C21:C25)</f>
        <v>-2569298</v>
      </c>
      <c r="D20" s="176">
        <f t="shared" si="3"/>
        <v>-2025621</v>
      </c>
      <c r="E20" s="176">
        <f t="shared" si="3"/>
        <v>-2406145</v>
      </c>
      <c r="F20" s="176">
        <f t="shared" si="3"/>
        <v>-3400428</v>
      </c>
      <c r="G20" s="176">
        <f t="shared" si="3"/>
        <v>-2571370</v>
      </c>
      <c r="H20" s="176">
        <f t="shared" si="3"/>
        <v>-2441894</v>
      </c>
      <c r="I20" s="176">
        <f t="shared" si="3"/>
        <v>-5395258</v>
      </c>
      <c r="J20" s="176">
        <f t="shared" si="3"/>
        <v>-5159861</v>
      </c>
      <c r="K20" s="176">
        <f t="shared" si="3"/>
        <v>-3331189</v>
      </c>
      <c r="L20" s="176">
        <f t="shared" si="3"/>
        <v>-3780258</v>
      </c>
      <c r="M20" s="176">
        <f t="shared" si="3"/>
        <v>-4346028</v>
      </c>
      <c r="N20" s="176">
        <f t="shared" si="3"/>
        <v>-4724277</v>
      </c>
      <c r="O20" s="176">
        <f t="shared" si="3"/>
        <v>-6368762</v>
      </c>
      <c r="P20" s="176">
        <f t="shared" si="3"/>
        <v>-5707627.5179999992</v>
      </c>
      <c r="Q20" s="176">
        <f t="shared" si="3"/>
        <v>-6092935.0021299999</v>
      </c>
    </row>
    <row r="21" spans="1:17" x14ac:dyDescent="0.35">
      <c r="A21" s="172" t="s">
        <v>258</v>
      </c>
      <c r="B21" s="177"/>
      <c r="C21" s="173">
        <v>-1672425</v>
      </c>
      <c r="D21" s="173">
        <v>-1363416</v>
      </c>
      <c r="E21" s="173">
        <v>-1786395</v>
      </c>
      <c r="F21" s="173">
        <v>-2470035</v>
      </c>
      <c r="G21" s="173">
        <v>-1934135</v>
      </c>
      <c r="H21" s="173">
        <v>-1892882</v>
      </c>
      <c r="I21" s="173">
        <v>-4360774</v>
      </c>
      <c r="J21" s="173">
        <v>-4205458</v>
      </c>
      <c r="K21" s="173">
        <v>-2502942</v>
      </c>
      <c r="L21" s="173">
        <v>-2632616</v>
      </c>
      <c r="M21" s="173">
        <v>-2810665</v>
      </c>
      <c r="N21" s="173">
        <v>-2975093</v>
      </c>
      <c r="O21" s="173">
        <v>-4023373</v>
      </c>
      <c r="P21" s="173">
        <v>-3909381</v>
      </c>
      <c r="Q21" s="173">
        <v>-4117384</v>
      </c>
    </row>
    <row r="22" spans="1:17" x14ac:dyDescent="0.35">
      <c r="A22" s="172" t="s">
        <v>259</v>
      </c>
      <c r="B22" s="177"/>
      <c r="C22" s="173"/>
      <c r="D22" s="173"/>
      <c r="E22" s="173"/>
      <c r="F22" s="173"/>
      <c r="G22" s="173"/>
      <c r="H22" s="173">
        <v>-77967</v>
      </c>
      <c r="I22" s="173"/>
      <c r="J22" s="173">
        <v>8848</v>
      </c>
      <c r="K22" s="173"/>
      <c r="L22" s="173">
        <v>-33415</v>
      </c>
      <c r="M22" s="173">
        <v>26246</v>
      </c>
      <c r="N22" s="173">
        <v>0</v>
      </c>
      <c r="O22" s="173"/>
      <c r="P22" s="173"/>
      <c r="Q22" s="173">
        <v>0</v>
      </c>
    </row>
    <row r="23" spans="1:17" x14ac:dyDescent="0.35">
      <c r="A23" s="172" t="s">
        <v>260</v>
      </c>
      <c r="B23" s="177"/>
      <c r="C23" s="173">
        <v>0</v>
      </c>
      <c r="D23" s="173"/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/>
      <c r="K23" s="173">
        <v>-99988</v>
      </c>
      <c r="L23" s="173"/>
      <c r="M23" s="173"/>
      <c r="N23" s="173"/>
      <c r="O23" s="173"/>
      <c r="P23" s="173"/>
      <c r="Q23" s="173">
        <v>0</v>
      </c>
    </row>
    <row r="24" spans="1:17" x14ac:dyDescent="0.35">
      <c r="A24" s="172" t="s">
        <v>261</v>
      </c>
      <c r="B24" s="177"/>
      <c r="C24" s="173">
        <v>-896873</v>
      </c>
      <c r="D24" s="173">
        <v>-662205</v>
      </c>
      <c r="E24" s="173">
        <v>-619750</v>
      </c>
      <c r="F24" s="173"/>
      <c r="G24" s="173">
        <v>-637235</v>
      </c>
      <c r="H24" s="173">
        <v>-471045</v>
      </c>
      <c r="I24" s="173">
        <v>-57606</v>
      </c>
      <c r="J24" s="173">
        <v>-963251</v>
      </c>
      <c r="K24" s="173">
        <v>-728259</v>
      </c>
      <c r="L24" s="173">
        <v>-1114227</v>
      </c>
      <c r="M24" s="173">
        <v>-1561609</v>
      </c>
      <c r="N24" s="173">
        <v>-1749184</v>
      </c>
      <c r="O24" s="173">
        <v>-2345389</v>
      </c>
      <c r="P24" s="173">
        <v>-1798246.5179999997</v>
      </c>
      <c r="Q24" s="173">
        <v>-1975551.0021300002</v>
      </c>
    </row>
    <row r="25" spans="1:17" ht="15" thickBot="1" x14ac:dyDescent="0.4">
      <c r="A25" s="174" t="s">
        <v>262</v>
      </c>
      <c r="B25" s="177"/>
      <c r="C25" s="173">
        <v>0</v>
      </c>
      <c r="D25" s="173"/>
      <c r="E25" s="173"/>
      <c r="F25" s="173">
        <v>-930393</v>
      </c>
      <c r="G25" s="173"/>
      <c r="H25" s="173"/>
      <c r="I25" s="173">
        <v>-976878</v>
      </c>
      <c r="J25" s="173"/>
      <c r="K25" s="173"/>
      <c r="L25" s="173"/>
      <c r="M25" s="173"/>
      <c r="N25" s="173"/>
      <c r="O25" s="173"/>
      <c r="P25" s="173"/>
      <c r="Q25" s="173"/>
    </row>
    <row r="26" spans="1:17" ht="15" thickBot="1" x14ac:dyDescent="0.4">
      <c r="A26" s="178" t="s">
        <v>263</v>
      </c>
      <c r="B26" s="179"/>
      <c r="C26" s="176">
        <f t="shared" ref="C26:K26" si="4">SUM(C21:C25)+C19</f>
        <v>1637204</v>
      </c>
      <c r="D26" s="176">
        <f t="shared" si="4"/>
        <v>1456589</v>
      </c>
      <c r="E26" s="176">
        <f t="shared" si="4"/>
        <v>1801884</v>
      </c>
      <c r="F26" s="176">
        <f t="shared" si="4"/>
        <v>2592900</v>
      </c>
      <c r="G26" s="176">
        <f t="shared" si="4"/>
        <v>1568800</v>
      </c>
      <c r="H26" s="176">
        <f t="shared" si="4"/>
        <v>1830368</v>
      </c>
      <c r="I26" s="176">
        <f t="shared" si="4"/>
        <v>2093578</v>
      </c>
      <c r="J26" s="176">
        <f t="shared" si="4"/>
        <v>2897333</v>
      </c>
      <c r="K26" s="176">
        <f t="shared" si="4"/>
        <v>2512000</v>
      </c>
      <c r="L26" s="176">
        <f t="shared" ref="L26:Q26" si="5">SUM(L21:L25)+L19</f>
        <v>2711848</v>
      </c>
      <c r="M26" s="176">
        <f t="shared" si="5"/>
        <v>2534249</v>
      </c>
      <c r="N26" s="176">
        <f t="shared" si="5"/>
        <v>3192658</v>
      </c>
      <c r="O26" s="176">
        <f t="shared" si="5"/>
        <v>3807812</v>
      </c>
      <c r="P26" s="176">
        <f t="shared" si="5"/>
        <v>3493849.4820000008</v>
      </c>
      <c r="Q26" s="176">
        <f t="shared" si="5"/>
        <v>4268582.9978700001</v>
      </c>
    </row>
    <row r="27" spans="1:17" ht="15" thickBot="1" x14ac:dyDescent="0.4">
      <c r="A27" s="175" t="s">
        <v>264</v>
      </c>
      <c r="B27" s="177"/>
      <c r="C27" s="176">
        <f t="shared" ref="C27:Q27" si="6">SUM(C28:C34)</f>
        <v>-487939</v>
      </c>
      <c r="D27" s="176">
        <f t="shared" si="6"/>
        <v>-583318</v>
      </c>
      <c r="E27" s="176">
        <f t="shared" si="6"/>
        <v>-530205.96185000008</v>
      </c>
      <c r="F27" s="176">
        <f t="shared" si="6"/>
        <v>-311186.03814999998</v>
      </c>
      <c r="G27" s="176">
        <f t="shared" si="6"/>
        <v>-562318</v>
      </c>
      <c r="H27" s="176">
        <f t="shared" si="6"/>
        <v>-539712</v>
      </c>
      <c r="I27" s="176">
        <f t="shared" si="6"/>
        <v>-745753</v>
      </c>
      <c r="J27" s="176">
        <f t="shared" si="6"/>
        <v>-667267</v>
      </c>
      <c r="K27" s="176">
        <f t="shared" si="6"/>
        <v>-920279</v>
      </c>
      <c r="L27" s="176">
        <f t="shared" si="6"/>
        <v>-1062379</v>
      </c>
      <c r="M27" s="176">
        <f t="shared" si="6"/>
        <v>-861059</v>
      </c>
      <c r="N27" s="176">
        <f t="shared" si="6"/>
        <v>-1104707</v>
      </c>
      <c r="O27" s="176">
        <f t="shared" si="6"/>
        <v>-1342978</v>
      </c>
      <c r="P27" s="176">
        <f t="shared" si="6"/>
        <v>-1123949.673</v>
      </c>
      <c r="Q27" s="176">
        <f t="shared" si="6"/>
        <v>-1435722.68857</v>
      </c>
    </row>
    <row r="28" spans="1:17" x14ac:dyDescent="0.35">
      <c r="A28" s="172" t="s">
        <v>265</v>
      </c>
      <c r="B28" s="177"/>
      <c r="C28" s="173">
        <v>-151362</v>
      </c>
      <c r="D28" s="173">
        <v>-134279</v>
      </c>
      <c r="E28" s="173">
        <v>-150800</v>
      </c>
      <c r="F28" s="173">
        <v>-164569</v>
      </c>
      <c r="G28" s="173">
        <v>-163345</v>
      </c>
      <c r="H28" s="173">
        <v>-146838</v>
      </c>
      <c r="I28" s="173">
        <v>-353966</v>
      </c>
      <c r="J28" s="173">
        <v>-269506</v>
      </c>
      <c r="K28" s="173">
        <v>-254347</v>
      </c>
      <c r="L28" s="173">
        <v>-262831</v>
      </c>
      <c r="M28" s="173">
        <v>-222078</v>
      </c>
      <c r="N28" s="173">
        <v>-281447</v>
      </c>
      <c r="O28" s="173">
        <v>-331753</v>
      </c>
      <c r="P28" s="173">
        <v>-336687</v>
      </c>
      <c r="Q28" s="173">
        <v>-317288</v>
      </c>
    </row>
    <row r="29" spans="1:17" x14ac:dyDescent="0.35">
      <c r="A29" s="172" t="s">
        <v>266</v>
      </c>
      <c r="B29" s="177"/>
      <c r="C29" s="173">
        <v>-8319</v>
      </c>
      <c r="D29" s="173">
        <v>-6631</v>
      </c>
      <c r="E29" s="173">
        <v>-15274</v>
      </c>
      <c r="F29" s="173">
        <v>-32598</v>
      </c>
      <c r="G29" s="173">
        <v>-15169</v>
      </c>
      <c r="H29" s="173">
        <v>-10835</v>
      </c>
      <c r="I29" s="173">
        <v>-18666</v>
      </c>
      <c r="J29" s="173">
        <v>-39651</v>
      </c>
      <c r="K29" s="173">
        <v>-32109</v>
      </c>
      <c r="L29" s="173">
        <v>-27649</v>
      </c>
      <c r="M29" s="173">
        <v>-35323</v>
      </c>
      <c r="N29" s="173">
        <v>-45020</v>
      </c>
      <c r="O29" s="173">
        <v>-45847</v>
      </c>
      <c r="P29" s="173">
        <v>-20893</v>
      </c>
      <c r="Q29" s="173">
        <v>-41826</v>
      </c>
    </row>
    <row r="30" spans="1:17" x14ac:dyDescent="0.35">
      <c r="A30" s="172" t="s">
        <v>267</v>
      </c>
      <c r="B30" s="177"/>
      <c r="C30" s="173">
        <v>-194182</v>
      </c>
      <c r="D30" s="173">
        <v>-201125</v>
      </c>
      <c r="E30" s="173">
        <v>-232643</v>
      </c>
      <c r="F30" s="173">
        <v>-245320</v>
      </c>
      <c r="G30" s="173">
        <v>-250980</v>
      </c>
      <c r="H30" s="173">
        <v>-268302</v>
      </c>
      <c r="I30" s="173">
        <v>-259248</v>
      </c>
      <c r="J30" s="173">
        <v>-372722</v>
      </c>
      <c r="K30" s="173">
        <v>-324577</v>
      </c>
      <c r="L30" s="173">
        <v>-398943</v>
      </c>
      <c r="M30" s="173">
        <v>-332046</v>
      </c>
      <c r="N30" s="173">
        <v>-484521</v>
      </c>
      <c r="O30" s="173">
        <v>-660274</v>
      </c>
      <c r="P30" s="173">
        <v>-494972.48200000008</v>
      </c>
      <c r="Q30" s="173">
        <v>-644149.99787000008</v>
      </c>
    </row>
    <row r="31" spans="1:17" x14ac:dyDescent="0.35">
      <c r="A31" s="172" t="s">
        <v>268</v>
      </c>
      <c r="B31" s="177"/>
      <c r="C31" s="173">
        <v>-79132</v>
      </c>
      <c r="D31" s="173">
        <v>-189231</v>
      </c>
      <c r="E31" s="173">
        <v>-46707.96185</v>
      </c>
      <c r="F31" s="173">
        <v>17119.96185</v>
      </c>
      <c r="G31" s="173">
        <v>-83931</v>
      </c>
      <c r="H31" s="173">
        <v>-70686</v>
      </c>
      <c r="I31" s="173">
        <v>-129190</v>
      </c>
      <c r="J31" s="173">
        <v>219001</v>
      </c>
      <c r="K31" s="173">
        <v>-146632</v>
      </c>
      <c r="L31" s="173">
        <v>-95265</v>
      </c>
      <c r="M31" s="173">
        <v>-112242</v>
      </c>
      <c r="N31" s="173">
        <v>-13332</v>
      </c>
      <c r="O31" s="173">
        <v>-172242</v>
      </c>
      <c r="P31" s="173">
        <v>-78951.190999999992</v>
      </c>
      <c r="Q31" s="173">
        <v>-211820.69070000001</v>
      </c>
    </row>
    <row r="32" spans="1:17" x14ac:dyDescent="0.35">
      <c r="A32" s="172" t="s">
        <v>269</v>
      </c>
      <c r="B32" s="177"/>
      <c r="C32" s="173"/>
      <c r="D32" s="173"/>
      <c r="E32" s="173"/>
      <c r="F32" s="173"/>
      <c r="G32" s="173"/>
      <c r="H32" s="173">
        <v>0</v>
      </c>
      <c r="I32" s="173"/>
      <c r="J32" s="173">
        <v>-58726</v>
      </c>
      <c r="K32" s="173">
        <v>-33042</v>
      </c>
      <c r="L32" s="173">
        <v>-19331</v>
      </c>
      <c r="M32" s="173">
        <v>1592</v>
      </c>
      <c r="N32" s="173">
        <v>12512</v>
      </c>
      <c r="O32" s="173">
        <v>-7576</v>
      </c>
      <c r="P32" s="173">
        <v>-496</v>
      </c>
      <c r="Q32" s="173">
        <v>10385</v>
      </c>
    </row>
    <row r="33" spans="1:17" x14ac:dyDescent="0.35">
      <c r="A33" s="172" t="s">
        <v>270</v>
      </c>
      <c r="B33" s="177"/>
      <c r="C33" s="173">
        <v>-47696</v>
      </c>
      <c r="D33" s="173">
        <v>-52082</v>
      </c>
      <c r="E33" s="173">
        <v>-63071</v>
      </c>
      <c r="F33" s="173">
        <v>-18172</v>
      </c>
      <c r="G33" s="173">
        <v>-30485</v>
      </c>
      <c r="H33" s="173">
        <v>-41542</v>
      </c>
      <c r="I33" s="173">
        <v>15700</v>
      </c>
      <c r="J33" s="173">
        <v>-45226</v>
      </c>
      <c r="K33" s="173">
        <v>-41428</v>
      </c>
      <c r="L33" s="173">
        <v>-121120</v>
      </c>
      <c r="M33" s="173">
        <v>-70245</v>
      </c>
      <c r="N33" s="173">
        <v>-75667</v>
      </c>
      <c r="O33" s="173">
        <v>-111731</v>
      </c>
      <c r="P33" s="173">
        <v>-59375</v>
      </c>
      <c r="Q33" s="173">
        <v>-113672</v>
      </c>
    </row>
    <row r="34" spans="1:17" x14ac:dyDescent="0.35">
      <c r="A34" s="172" t="s">
        <v>271</v>
      </c>
      <c r="B34" s="169"/>
      <c r="C34" s="173">
        <v>-7248</v>
      </c>
      <c r="D34" s="173">
        <v>30</v>
      </c>
      <c r="E34" s="173">
        <v>-21710</v>
      </c>
      <c r="F34" s="173">
        <v>132353</v>
      </c>
      <c r="G34" s="173">
        <v>-18408</v>
      </c>
      <c r="H34" s="173">
        <v>-1509</v>
      </c>
      <c r="I34" s="173">
        <v>-383</v>
      </c>
      <c r="J34" s="173">
        <v>-100437</v>
      </c>
      <c r="K34" s="173">
        <v>-88144</v>
      </c>
      <c r="L34" s="173">
        <v>-137240</v>
      </c>
      <c r="M34" s="173">
        <v>-90717</v>
      </c>
      <c r="N34" s="173">
        <v>-217232</v>
      </c>
      <c r="O34" s="173">
        <v>-13555</v>
      </c>
      <c r="P34" s="173">
        <v>-132575</v>
      </c>
      <c r="Q34" s="173">
        <v>-117351</v>
      </c>
    </row>
    <row r="35" spans="1:17" x14ac:dyDescent="0.35">
      <c r="A35" s="589" t="s">
        <v>272</v>
      </c>
      <c r="B35" s="177"/>
      <c r="C35" s="592">
        <f t="shared" ref="C35:P35" si="7">C26+C27</f>
        <v>1149265</v>
      </c>
      <c r="D35" s="592">
        <f t="shared" si="7"/>
        <v>873271</v>
      </c>
      <c r="E35" s="592">
        <f t="shared" si="7"/>
        <v>1271678.0381499999</v>
      </c>
      <c r="F35" s="592">
        <f t="shared" si="7"/>
        <v>2281713.9618500001</v>
      </c>
      <c r="G35" s="592">
        <f t="shared" si="7"/>
        <v>1006482</v>
      </c>
      <c r="H35" s="592">
        <f t="shared" si="7"/>
        <v>1290656</v>
      </c>
      <c r="I35" s="592">
        <f t="shared" si="7"/>
        <v>1347825</v>
      </c>
      <c r="J35" s="592">
        <f t="shared" si="7"/>
        <v>2230066</v>
      </c>
      <c r="K35" s="592">
        <f t="shared" si="7"/>
        <v>1591721</v>
      </c>
      <c r="L35" s="592">
        <f t="shared" si="7"/>
        <v>1649469</v>
      </c>
      <c r="M35" s="592">
        <f t="shared" si="7"/>
        <v>1673190</v>
      </c>
      <c r="N35" s="592">
        <f t="shared" si="7"/>
        <v>2087951</v>
      </c>
      <c r="O35" s="592">
        <f t="shared" si="7"/>
        <v>2464834</v>
      </c>
      <c r="P35" s="592">
        <f t="shared" si="7"/>
        <v>2369899.8090000008</v>
      </c>
      <c r="Q35" s="592">
        <f>Q26+Q27</f>
        <v>2832860.3092999998</v>
      </c>
    </row>
    <row r="36" spans="1:17" ht="15" thickBot="1" x14ac:dyDescent="0.4">
      <c r="A36" s="174" t="s">
        <v>273</v>
      </c>
      <c r="B36" s="169"/>
      <c r="C36" s="173">
        <v>-160034</v>
      </c>
      <c r="D36" s="173">
        <v>-161624</v>
      </c>
      <c r="E36" s="173">
        <v>-163198</v>
      </c>
      <c r="F36" s="173">
        <v>-228201</v>
      </c>
      <c r="G36" s="173">
        <v>-164028</v>
      </c>
      <c r="H36" s="173">
        <v>-189578</v>
      </c>
      <c r="I36" s="173">
        <v>-165302</v>
      </c>
      <c r="J36" s="173">
        <v>-264610</v>
      </c>
      <c r="K36" s="173">
        <v>-255660</v>
      </c>
      <c r="L36" s="173">
        <v>-311542</v>
      </c>
      <c r="M36" s="173">
        <v>-299120</v>
      </c>
      <c r="N36" s="173">
        <v>-343394</v>
      </c>
      <c r="O36" s="173">
        <v>-441090</v>
      </c>
      <c r="P36" s="173">
        <v>-432398</v>
      </c>
      <c r="Q36" s="173">
        <v>-487659</v>
      </c>
    </row>
    <row r="37" spans="1:17" ht="15" thickBot="1" x14ac:dyDescent="0.4">
      <c r="A37" s="175" t="s">
        <v>274</v>
      </c>
      <c r="B37" s="169"/>
      <c r="C37" s="176">
        <f t="shared" ref="C37:K37" si="8">C35+C36+SUM(C38:C39)</f>
        <v>968638</v>
      </c>
      <c r="D37" s="176">
        <f t="shared" si="8"/>
        <v>691476</v>
      </c>
      <c r="E37" s="176">
        <f t="shared" si="8"/>
        <v>1088225.0381499999</v>
      </c>
      <c r="F37" s="176">
        <f t="shared" si="8"/>
        <v>2034087.9618500001</v>
      </c>
      <c r="G37" s="176">
        <f t="shared" si="8"/>
        <v>825514</v>
      </c>
      <c r="H37" s="176">
        <f t="shared" si="8"/>
        <v>1086343</v>
      </c>
      <c r="I37" s="176">
        <f t="shared" si="8"/>
        <v>1149333</v>
      </c>
      <c r="J37" s="176">
        <f t="shared" si="8"/>
        <v>1926302</v>
      </c>
      <c r="K37" s="176">
        <f t="shared" si="8"/>
        <v>1269541</v>
      </c>
      <c r="L37" s="176">
        <f t="shared" ref="L37:Q37" si="9">L35+L36+SUM(L38:L39)</f>
        <v>1176223</v>
      </c>
      <c r="M37" s="176">
        <f t="shared" si="9"/>
        <v>1229958</v>
      </c>
      <c r="N37" s="176">
        <f t="shared" si="9"/>
        <v>1601491</v>
      </c>
      <c r="O37" s="176">
        <f t="shared" si="9"/>
        <v>1873691</v>
      </c>
      <c r="P37" s="176">
        <f t="shared" si="9"/>
        <v>1801775.8090000008</v>
      </c>
      <c r="Q37" s="176">
        <f t="shared" si="9"/>
        <v>2201374.3092999998</v>
      </c>
    </row>
    <row r="38" spans="1:17" x14ac:dyDescent="0.35">
      <c r="A38" s="172" t="s">
        <v>275</v>
      </c>
      <c r="B38" s="169"/>
      <c r="C38" s="173">
        <v>-20593</v>
      </c>
      <c r="D38" s="173">
        <v>36132</v>
      </c>
      <c r="E38" s="173">
        <v>7895</v>
      </c>
      <c r="F38" s="173">
        <v>10306</v>
      </c>
      <c r="G38" s="173">
        <v>11210</v>
      </c>
      <c r="H38" s="173">
        <v>13424</v>
      </c>
      <c r="I38" s="173">
        <v>22571</v>
      </c>
      <c r="J38" s="173">
        <v>19771</v>
      </c>
      <c r="K38" s="173" t="s">
        <v>243</v>
      </c>
      <c r="L38" s="173">
        <v>0</v>
      </c>
      <c r="M38" s="173">
        <v>0</v>
      </c>
      <c r="N38" s="173">
        <v>0</v>
      </c>
      <c r="O38" s="173"/>
      <c r="P38" s="173"/>
      <c r="Q38" s="173"/>
    </row>
    <row r="39" spans="1:17" ht="15" thickBot="1" x14ac:dyDescent="0.4">
      <c r="A39" s="174" t="s">
        <v>276</v>
      </c>
      <c r="B39" s="169"/>
      <c r="C39" s="173">
        <v>0</v>
      </c>
      <c r="D39" s="173">
        <v>-56303</v>
      </c>
      <c r="E39" s="173">
        <v>-28150</v>
      </c>
      <c r="F39" s="173">
        <v>-29731</v>
      </c>
      <c r="G39" s="173">
        <v>-28150</v>
      </c>
      <c r="H39" s="173">
        <v>-28159</v>
      </c>
      <c r="I39" s="173">
        <v>-55761</v>
      </c>
      <c r="J39" s="173">
        <v>-58925</v>
      </c>
      <c r="K39" s="173">
        <v>-66520</v>
      </c>
      <c r="L39" s="173">
        <v>-161704</v>
      </c>
      <c r="M39" s="173">
        <v>-144112</v>
      </c>
      <c r="N39" s="173">
        <v>-143066</v>
      </c>
      <c r="O39" s="173">
        <v>-150053</v>
      </c>
      <c r="P39" s="173">
        <v>-135726</v>
      </c>
      <c r="Q39" s="173">
        <v>-143827</v>
      </c>
    </row>
    <row r="40" spans="1:17" ht="15" thickBot="1" x14ac:dyDescent="0.4">
      <c r="A40" s="175" t="s">
        <v>277</v>
      </c>
      <c r="B40" s="169"/>
      <c r="C40" s="176">
        <f t="shared" ref="C40:K40" si="10">SUM(C41:C42)</f>
        <v>-153293</v>
      </c>
      <c r="D40" s="176">
        <f t="shared" si="10"/>
        <v>-64551</v>
      </c>
      <c r="E40" s="176">
        <f t="shared" si="10"/>
        <v>-116213</v>
      </c>
      <c r="F40" s="176">
        <f t="shared" si="10"/>
        <v>-90068</v>
      </c>
      <c r="G40" s="176">
        <f t="shared" si="10"/>
        <v>-230661</v>
      </c>
      <c r="H40" s="176">
        <f t="shared" si="10"/>
        <v>-308232</v>
      </c>
      <c r="I40" s="176">
        <f t="shared" si="10"/>
        <v>-445953</v>
      </c>
      <c r="J40" s="176">
        <f t="shared" si="10"/>
        <v>166787.76662999997</v>
      </c>
      <c r="K40" s="176">
        <f t="shared" si="10"/>
        <v>-360477</v>
      </c>
      <c r="L40" s="176">
        <f t="shared" ref="L40:Q40" si="11">SUM(L41:L42)</f>
        <v>-1101244</v>
      </c>
      <c r="M40" s="176">
        <f t="shared" si="11"/>
        <v>-445078</v>
      </c>
      <c r="N40" s="176">
        <f t="shared" si="11"/>
        <v>-677677</v>
      </c>
      <c r="O40" s="176">
        <f t="shared" si="11"/>
        <v>-1500353</v>
      </c>
      <c r="P40" s="176">
        <f t="shared" si="11"/>
        <v>-1097822.8090000004</v>
      </c>
      <c r="Q40" s="176">
        <f t="shared" si="11"/>
        <v>-988149</v>
      </c>
    </row>
    <row r="41" spans="1:17" x14ac:dyDescent="0.35">
      <c r="A41" s="172" t="s">
        <v>278</v>
      </c>
      <c r="B41" s="169"/>
      <c r="C41" s="173">
        <v>543749</v>
      </c>
      <c r="D41" s="173">
        <v>248646</v>
      </c>
      <c r="E41" s="173">
        <v>249400</v>
      </c>
      <c r="F41" s="173">
        <v>84927</v>
      </c>
      <c r="G41" s="173">
        <v>408119</v>
      </c>
      <c r="H41" s="173">
        <v>234841</v>
      </c>
      <c r="I41" s="173">
        <v>610204</v>
      </c>
      <c r="J41" s="173">
        <v>986539</v>
      </c>
      <c r="K41" s="173">
        <v>1338297</v>
      </c>
      <c r="L41" s="173">
        <v>668969</v>
      </c>
      <c r="M41" s="173">
        <v>772507</v>
      </c>
      <c r="N41" s="173">
        <v>725410</v>
      </c>
      <c r="O41" s="173">
        <v>931568</v>
      </c>
      <c r="P41" s="173">
        <v>975283</v>
      </c>
      <c r="Q41" s="173">
        <v>622798</v>
      </c>
    </row>
    <row r="42" spans="1:17" ht="15" thickBot="1" x14ac:dyDescent="0.4">
      <c r="A42" s="174" t="s">
        <v>279</v>
      </c>
      <c r="B42" s="169"/>
      <c r="C42" s="173">
        <v>-697042</v>
      </c>
      <c r="D42" s="173">
        <v>-313197</v>
      </c>
      <c r="E42" s="173">
        <v>-365613</v>
      </c>
      <c r="F42" s="173">
        <v>-174995</v>
      </c>
      <c r="G42" s="173">
        <v>-638780</v>
      </c>
      <c r="H42" s="173">
        <v>-543073</v>
      </c>
      <c r="I42" s="173">
        <v>-1056157</v>
      </c>
      <c r="J42" s="173">
        <v>-819751.23337000003</v>
      </c>
      <c r="K42" s="173">
        <v>-1698774</v>
      </c>
      <c r="L42" s="173">
        <v>-1770213</v>
      </c>
      <c r="M42" s="173">
        <v>-1217585</v>
      </c>
      <c r="N42" s="173">
        <v>-1403087</v>
      </c>
      <c r="O42" s="173">
        <v>-2431921</v>
      </c>
      <c r="P42" s="173">
        <v>-2073105.8090000004</v>
      </c>
      <c r="Q42" s="173">
        <v>-1610947</v>
      </c>
    </row>
    <row r="43" spans="1:17" ht="15" thickBot="1" x14ac:dyDescent="0.4">
      <c r="A43" s="180" t="s">
        <v>280</v>
      </c>
      <c r="B43" s="169"/>
      <c r="C43" s="176">
        <f t="shared" ref="C43:Q43" si="12">SUM(C37,C40)</f>
        <v>815345</v>
      </c>
      <c r="D43" s="176">
        <f t="shared" si="12"/>
        <v>626925</v>
      </c>
      <c r="E43" s="176">
        <f t="shared" si="12"/>
        <v>972012.03814999992</v>
      </c>
      <c r="F43" s="176">
        <f t="shared" si="12"/>
        <v>1944019.9618500001</v>
      </c>
      <c r="G43" s="176">
        <f t="shared" si="12"/>
        <v>594853</v>
      </c>
      <c r="H43" s="176">
        <f t="shared" si="12"/>
        <v>778111</v>
      </c>
      <c r="I43" s="176">
        <f t="shared" si="12"/>
        <v>703380</v>
      </c>
      <c r="J43" s="176">
        <f t="shared" si="12"/>
        <v>2093089.76663</v>
      </c>
      <c r="K43" s="176">
        <f t="shared" si="12"/>
        <v>909064</v>
      </c>
      <c r="L43" s="176">
        <f t="shared" si="12"/>
        <v>74979</v>
      </c>
      <c r="M43" s="176">
        <f t="shared" si="12"/>
        <v>784880</v>
      </c>
      <c r="N43" s="176">
        <f t="shared" si="12"/>
        <v>923814</v>
      </c>
      <c r="O43" s="176">
        <f t="shared" si="12"/>
        <v>373338</v>
      </c>
      <c r="P43" s="176">
        <f t="shared" si="12"/>
        <v>703953.00000000047</v>
      </c>
      <c r="Q43" s="176">
        <f t="shared" si="12"/>
        <v>1213225.3092999998</v>
      </c>
    </row>
    <row r="44" spans="1:17" x14ac:dyDescent="0.35">
      <c r="A44" s="172" t="s">
        <v>281</v>
      </c>
      <c r="B44" s="169"/>
      <c r="C44" s="173">
        <v>-17548</v>
      </c>
      <c r="D44" s="173">
        <v>-34111</v>
      </c>
      <c r="E44" s="173">
        <v>-41532</v>
      </c>
      <c r="F44" s="173">
        <v>-92287</v>
      </c>
      <c r="G44" s="173">
        <v>-28839</v>
      </c>
      <c r="H44" s="173">
        <v>-78126</v>
      </c>
      <c r="I44" s="173">
        <v>-67224</v>
      </c>
      <c r="J44" s="173">
        <v>-39505</v>
      </c>
      <c r="K44" s="173">
        <v>-87684</v>
      </c>
      <c r="L44" s="173">
        <v>-56633</v>
      </c>
      <c r="M44" s="173">
        <v>-109737</v>
      </c>
      <c r="N44" s="173">
        <v>-102454</v>
      </c>
      <c r="O44" s="173">
        <v>-98588</v>
      </c>
      <c r="P44" s="173">
        <v>-108458</v>
      </c>
      <c r="Q44" s="173">
        <v>-110571</v>
      </c>
    </row>
    <row r="45" spans="1:17" x14ac:dyDescent="0.35">
      <c r="A45" s="172" t="s">
        <v>282</v>
      </c>
      <c r="B45" s="169"/>
      <c r="C45" s="173">
        <v>-41525</v>
      </c>
      <c r="D45" s="173">
        <v>-101069</v>
      </c>
      <c r="E45" s="173">
        <v>-122106</v>
      </c>
      <c r="F45" s="173">
        <v>-278095</v>
      </c>
      <c r="G45" s="173">
        <v>-93589</v>
      </c>
      <c r="H45" s="173">
        <v>-223889</v>
      </c>
      <c r="I45" s="173">
        <v>-172727</v>
      </c>
      <c r="J45" s="173">
        <v>-128049</v>
      </c>
      <c r="K45" s="173">
        <v>-260158</v>
      </c>
      <c r="L45" s="173">
        <v>-152000</v>
      </c>
      <c r="M45" s="173">
        <v>-312043</v>
      </c>
      <c r="N45" s="173">
        <v>-313899</v>
      </c>
      <c r="O45" s="173">
        <v>-284953</v>
      </c>
      <c r="P45" s="173">
        <v>-312146</v>
      </c>
      <c r="Q45" s="173">
        <v>-311220</v>
      </c>
    </row>
    <row r="46" spans="1:17" x14ac:dyDescent="0.35">
      <c r="A46" s="172" t="s">
        <v>283</v>
      </c>
      <c r="B46" s="169"/>
      <c r="C46" s="173">
        <v>-271484.26</v>
      </c>
      <c r="D46" s="173">
        <v>-77462.140000000014</v>
      </c>
      <c r="E46" s="173">
        <v>-73985.572970999987</v>
      </c>
      <c r="F46" s="173">
        <v>-181915.02702899999</v>
      </c>
      <c r="G46" s="173">
        <v>-90858</v>
      </c>
      <c r="H46" s="173">
        <v>21944</v>
      </c>
      <c r="I46" s="173">
        <v>984382</v>
      </c>
      <c r="J46" s="173">
        <v>-426295</v>
      </c>
      <c r="K46" s="173">
        <v>-13439</v>
      </c>
      <c r="L46" s="173">
        <v>-114403</v>
      </c>
      <c r="M46" s="173">
        <v>5825</v>
      </c>
      <c r="N46" s="173">
        <v>-43058</v>
      </c>
      <c r="O46" s="173">
        <v>226845</v>
      </c>
      <c r="P46" s="173">
        <v>175203</v>
      </c>
      <c r="Q46" s="173">
        <v>-108900</v>
      </c>
    </row>
    <row r="47" spans="1:17" ht="15" thickBot="1" x14ac:dyDescent="0.4">
      <c r="A47" s="174" t="s">
        <v>284</v>
      </c>
      <c r="B47" s="169"/>
      <c r="C47" s="173">
        <v>29902</v>
      </c>
      <c r="D47" s="173">
        <v>59918</v>
      </c>
      <c r="E47" s="173">
        <v>112822</v>
      </c>
      <c r="F47" s="173">
        <v>219829</v>
      </c>
      <c r="G47" s="173">
        <v>71089</v>
      </c>
      <c r="H47" s="173">
        <v>133969</v>
      </c>
      <c r="I47" s="173">
        <v>143568</v>
      </c>
      <c r="J47" s="173">
        <v>127224</v>
      </c>
      <c r="K47" s="173">
        <v>130814</v>
      </c>
      <c r="L47" s="173">
        <v>135589</v>
      </c>
      <c r="M47" s="173">
        <v>215595</v>
      </c>
      <c r="N47" s="173">
        <v>306951</v>
      </c>
      <c r="O47" s="173">
        <v>71237</v>
      </c>
      <c r="P47" s="173">
        <v>212098</v>
      </c>
      <c r="Q47" s="173">
        <v>245150</v>
      </c>
    </row>
    <row r="48" spans="1:17" ht="15" thickBot="1" x14ac:dyDescent="0.4">
      <c r="A48" s="175" t="s">
        <v>285</v>
      </c>
      <c r="B48" s="169"/>
      <c r="C48" s="176">
        <f t="shared" ref="C48:K48" si="13">SUM(C43:C47)</f>
        <v>514689.74</v>
      </c>
      <c r="D48" s="176">
        <f t="shared" si="13"/>
        <v>474200.86</v>
      </c>
      <c r="E48" s="176">
        <f t="shared" si="13"/>
        <v>847210.46517899993</v>
      </c>
      <c r="F48" s="176">
        <f t="shared" si="13"/>
        <v>1611551.9348210001</v>
      </c>
      <c r="G48" s="176">
        <f t="shared" si="13"/>
        <v>452656</v>
      </c>
      <c r="H48" s="176">
        <f t="shared" si="13"/>
        <v>632009</v>
      </c>
      <c r="I48" s="176">
        <f t="shared" si="13"/>
        <v>1591379</v>
      </c>
      <c r="J48" s="176">
        <f t="shared" si="13"/>
        <v>1626464.76663</v>
      </c>
      <c r="K48" s="176">
        <f t="shared" si="13"/>
        <v>678597</v>
      </c>
      <c r="L48" s="176">
        <f t="shared" ref="L48:Q48" si="14">SUM(L43:L47)</f>
        <v>-112468</v>
      </c>
      <c r="M48" s="176">
        <f t="shared" si="14"/>
        <v>584520</v>
      </c>
      <c r="N48" s="176">
        <f t="shared" si="14"/>
        <v>771354</v>
      </c>
      <c r="O48" s="176">
        <f t="shared" si="14"/>
        <v>287879</v>
      </c>
      <c r="P48" s="176">
        <f t="shared" si="14"/>
        <v>670650.00000000047</v>
      </c>
      <c r="Q48" s="176">
        <f t="shared" si="14"/>
        <v>927684.30929999985</v>
      </c>
    </row>
    <row r="49" spans="1:17" ht="15" thickBot="1" x14ac:dyDescent="0.4">
      <c r="A49" s="181" t="s">
        <v>286</v>
      </c>
      <c r="B49" s="169"/>
      <c r="C49" s="182">
        <v>-74732</v>
      </c>
      <c r="D49" s="182">
        <v>-68471</v>
      </c>
      <c r="E49" s="182">
        <v>-119253</v>
      </c>
      <c r="F49" s="182">
        <v>-210108</v>
      </c>
      <c r="G49" s="182">
        <v>-99430</v>
      </c>
      <c r="H49" s="182">
        <v>-122279</v>
      </c>
      <c r="I49" s="182">
        <v>-180984</v>
      </c>
      <c r="J49" s="182">
        <v>-205288.72273598076</v>
      </c>
      <c r="K49" s="182">
        <v>-98521</v>
      </c>
      <c r="L49" s="182">
        <v>-57833.573726359173</v>
      </c>
      <c r="M49" s="182">
        <v>-80259.226386072114</v>
      </c>
      <c r="N49" s="182">
        <v>-311449.13035226823</v>
      </c>
      <c r="O49" s="182">
        <v>-124193</v>
      </c>
      <c r="P49" s="182">
        <v>-152951</v>
      </c>
      <c r="Q49" s="182">
        <v>-207661.92636018206</v>
      </c>
    </row>
    <row r="50" spans="1:17" ht="15" thickBot="1" x14ac:dyDescent="0.4">
      <c r="A50" s="175" t="s">
        <v>287</v>
      </c>
      <c r="B50" s="169"/>
      <c r="C50" s="183">
        <f t="shared" ref="C50:Q50" si="15">SUM(C48:C49)</f>
        <v>439957.74</v>
      </c>
      <c r="D50" s="183">
        <f t="shared" si="15"/>
        <v>405729.86</v>
      </c>
      <c r="E50" s="183">
        <f t="shared" si="15"/>
        <v>727957.46517899993</v>
      </c>
      <c r="F50" s="183">
        <f t="shared" si="15"/>
        <v>1401443.9348210001</v>
      </c>
      <c r="G50" s="183">
        <f t="shared" si="15"/>
        <v>353226</v>
      </c>
      <c r="H50" s="183">
        <f t="shared" si="15"/>
        <v>509730</v>
      </c>
      <c r="I50" s="183">
        <f t="shared" si="15"/>
        <v>1410395</v>
      </c>
      <c r="J50" s="183">
        <f t="shared" si="15"/>
        <v>1421176.0438940192</v>
      </c>
      <c r="K50" s="183">
        <f t="shared" si="15"/>
        <v>580076</v>
      </c>
      <c r="L50" s="183">
        <f t="shared" si="15"/>
        <v>-170301.57372635917</v>
      </c>
      <c r="M50" s="183">
        <f t="shared" si="15"/>
        <v>504260.77361392789</v>
      </c>
      <c r="N50" s="183">
        <f t="shared" si="15"/>
        <v>459904.86964773177</v>
      </c>
      <c r="O50" s="183">
        <f t="shared" si="15"/>
        <v>163686</v>
      </c>
      <c r="P50" s="183">
        <f t="shared" si="15"/>
        <v>517699.00000000047</v>
      </c>
      <c r="Q50" s="183">
        <f t="shared" si="15"/>
        <v>720022.38293981785</v>
      </c>
    </row>
    <row r="1048576" spans="16:17" x14ac:dyDescent="0.35">
      <c r="P1048576" s="173"/>
      <c r="Q1048576" s="17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8766-FB44-4154-8305-B29D3C2BABDC}">
  <sheetPr>
    <tabColor theme="9" tint="0.79998168889431442"/>
  </sheetPr>
  <dimension ref="A7:AS44"/>
  <sheetViews>
    <sheetView showGridLines="0" zoomScale="85" zoomScaleNormal="85" workbookViewId="0">
      <pane xSplit="1" ySplit="8" topLeftCell="B9" activePane="bottomRight" state="frozen"/>
      <selection activeCell="I26" sqref="I26"/>
      <selection pane="topRight" activeCell="I26" sqref="I26"/>
      <selection pane="bottomLeft" activeCell="I26" sqref="I26"/>
      <selection pane="bottomRight"/>
    </sheetView>
  </sheetViews>
  <sheetFormatPr defaultColWidth="9.1796875" defaultRowHeight="14.5" outlineLevelCol="1" x14ac:dyDescent="0.35"/>
  <cols>
    <col min="1" max="1" width="44.453125" style="37" bestFit="1" customWidth="1"/>
    <col min="2" max="2" width="2.453125" style="168" customWidth="1"/>
    <col min="3" max="33" width="0" style="37" hidden="1" customWidth="1" outlineLevel="1"/>
    <col min="34" max="38" width="9.453125" style="37" hidden="1" customWidth="1" outlineLevel="1"/>
    <col min="39" max="39" width="9.453125" style="37" bestFit="1" customWidth="1" collapsed="1"/>
    <col min="40" max="45" width="9.453125" style="37" bestFit="1" customWidth="1"/>
    <col min="46" max="16384" width="9.1796875" style="37"/>
  </cols>
  <sheetData>
    <row r="7" spans="1:45" x14ac:dyDescent="0.35">
      <c r="A7" s="41" t="s">
        <v>288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ht="15" thickBot="1" x14ac:dyDescent="0.4">
      <c r="A8" s="589" t="s">
        <v>245</v>
      </c>
      <c r="C8" s="590" t="s">
        <v>289</v>
      </c>
      <c r="D8" s="590" t="s">
        <v>290</v>
      </c>
      <c r="E8" s="590" t="s">
        <v>291</v>
      </c>
      <c r="F8" s="590" t="s">
        <v>292</v>
      </c>
      <c r="G8" s="590" t="s">
        <v>293</v>
      </c>
      <c r="H8" s="590" t="s">
        <v>294</v>
      </c>
      <c r="I8" s="590" t="s">
        <v>295</v>
      </c>
      <c r="J8" s="590" t="s">
        <v>296</v>
      </c>
      <c r="K8" s="590" t="s">
        <v>297</v>
      </c>
      <c r="L8" s="590" t="s">
        <v>298</v>
      </c>
      <c r="M8" s="590" t="s">
        <v>299</v>
      </c>
      <c r="N8" s="590" t="s">
        <v>300</v>
      </c>
      <c r="O8" s="590" t="s">
        <v>301</v>
      </c>
      <c r="P8" s="590" t="s">
        <v>302</v>
      </c>
      <c r="Q8" s="590" t="s">
        <v>303</v>
      </c>
      <c r="R8" s="590" t="s">
        <v>304</v>
      </c>
      <c r="S8" s="590" t="s">
        <v>57</v>
      </c>
      <c r="T8" s="590" t="s">
        <v>58</v>
      </c>
      <c r="U8" s="590" t="s">
        <v>59</v>
      </c>
      <c r="V8" s="590" t="s">
        <v>60</v>
      </c>
      <c r="W8" s="590" t="s">
        <v>61</v>
      </c>
      <c r="X8" s="590" t="s">
        <v>62</v>
      </c>
      <c r="Y8" s="590" t="s">
        <v>63</v>
      </c>
      <c r="Z8" s="590" t="s">
        <v>64</v>
      </c>
      <c r="AA8" s="590" t="s">
        <v>65</v>
      </c>
      <c r="AB8" s="590" t="s">
        <v>66</v>
      </c>
      <c r="AC8" s="591" t="s">
        <v>67</v>
      </c>
      <c r="AD8" s="591" t="s">
        <v>68</v>
      </c>
      <c r="AE8" s="591" t="s">
        <v>69</v>
      </c>
      <c r="AF8" s="591" t="s">
        <v>70</v>
      </c>
      <c r="AG8" s="591" t="s">
        <v>71</v>
      </c>
      <c r="AH8" s="591" t="s">
        <v>72</v>
      </c>
      <c r="AI8" s="591" t="s">
        <v>73</v>
      </c>
      <c r="AJ8" s="591" t="s">
        <v>74</v>
      </c>
      <c r="AK8" s="591" t="s">
        <v>75</v>
      </c>
      <c r="AL8" s="591" t="s">
        <v>76</v>
      </c>
      <c r="AM8" s="591" t="s">
        <v>77</v>
      </c>
      <c r="AN8" s="591" t="s">
        <v>78</v>
      </c>
      <c r="AO8" s="591" t="s">
        <v>79</v>
      </c>
      <c r="AP8" s="591" t="s">
        <v>80</v>
      </c>
      <c r="AQ8" s="591" t="s">
        <v>81</v>
      </c>
      <c r="AR8" s="591" t="s">
        <v>82</v>
      </c>
      <c r="AS8" s="591" t="s">
        <v>83</v>
      </c>
    </row>
    <row r="9" spans="1:45" ht="15" thickBot="1" x14ac:dyDescent="0.4">
      <c r="A9" s="170" t="s">
        <v>246</v>
      </c>
      <c r="C9" s="176">
        <f>SUM(C10:C13)</f>
        <v>0</v>
      </c>
      <c r="D9" s="176">
        <f t="shared" ref="D9:X9" si="0">SUM(D10:D13)</f>
        <v>0</v>
      </c>
      <c r="E9" s="176">
        <f t="shared" si="0"/>
        <v>1005.15469</v>
      </c>
      <c r="F9" s="176">
        <f t="shared" si="0"/>
        <v>0</v>
      </c>
      <c r="G9" s="176">
        <f t="shared" si="0"/>
        <v>0</v>
      </c>
      <c r="H9" s="176">
        <f t="shared" si="0"/>
        <v>0</v>
      </c>
      <c r="I9" s="176">
        <f t="shared" si="0"/>
        <v>0</v>
      </c>
      <c r="J9" s="176">
        <f t="shared" si="0"/>
        <v>0</v>
      </c>
      <c r="K9" s="176">
        <f t="shared" si="0"/>
        <v>0</v>
      </c>
      <c r="L9" s="176">
        <f t="shared" si="0"/>
        <v>1.1918199999999999</v>
      </c>
      <c r="M9" s="176">
        <f t="shared" si="0"/>
        <v>0</v>
      </c>
      <c r="N9" s="176">
        <f t="shared" si="0"/>
        <v>17.205299999999998</v>
      </c>
      <c r="O9" s="176">
        <f t="shared" si="0"/>
        <v>0</v>
      </c>
      <c r="P9" s="176">
        <f t="shared" si="0"/>
        <v>0</v>
      </c>
      <c r="Q9" s="176">
        <f t="shared" si="0"/>
        <v>0</v>
      </c>
      <c r="R9" s="176">
        <f t="shared" si="0"/>
        <v>0</v>
      </c>
      <c r="S9" s="176">
        <f t="shared" si="0"/>
        <v>0</v>
      </c>
      <c r="T9" s="176">
        <f t="shared" si="0"/>
        <v>0</v>
      </c>
      <c r="U9" s="176">
        <f t="shared" si="0"/>
        <v>0</v>
      </c>
      <c r="V9" s="176">
        <f t="shared" si="0"/>
        <v>0</v>
      </c>
      <c r="W9" s="176">
        <f t="shared" si="0"/>
        <v>0</v>
      </c>
      <c r="X9" s="176">
        <f t="shared" si="0"/>
        <v>0</v>
      </c>
      <c r="Y9" s="176">
        <f>SUM(Y10:Y13)</f>
        <v>0</v>
      </c>
      <c r="Z9" s="176">
        <f>SUM(Z10:Z13)</f>
        <v>0</v>
      </c>
      <c r="AA9" s="176">
        <f>SUM(AA10:AA13)</f>
        <v>0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</row>
    <row r="10" spans="1:45" x14ac:dyDescent="0.35">
      <c r="A10" s="172" t="s">
        <v>247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45" x14ac:dyDescent="0.35">
      <c r="A11" s="172" t="s">
        <v>248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</row>
    <row r="12" spans="1:45" x14ac:dyDescent="0.35">
      <c r="A12" s="172" t="s">
        <v>249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</row>
    <row r="13" spans="1:45" ht="15" thickBot="1" x14ac:dyDescent="0.4">
      <c r="A13" s="174" t="s">
        <v>254</v>
      </c>
      <c r="C13" s="173"/>
      <c r="D13" s="173"/>
      <c r="E13" s="173">
        <v>1005.15469</v>
      </c>
      <c r="F13" s="173"/>
      <c r="G13" s="173"/>
      <c r="H13" s="173"/>
      <c r="I13" s="173"/>
      <c r="J13" s="173"/>
      <c r="K13" s="173"/>
      <c r="L13" s="173">
        <v>1.1918199999999999</v>
      </c>
      <c r="M13" s="173"/>
      <c r="N13" s="173">
        <v>17.205299999999998</v>
      </c>
      <c r="O13" s="173"/>
      <c r="P13" s="173"/>
      <c r="Q13" s="173"/>
      <c r="R13" s="173"/>
      <c r="S13" s="173"/>
      <c r="T13" s="173"/>
      <c r="U13" s="173"/>
      <c r="V13" s="173"/>
      <c r="W13" s="173"/>
    </row>
    <row r="14" spans="1:45" ht="15" thickBot="1" x14ac:dyDescent="0.4">
      <c r="A14" s="175" t="s">
        <v>305</v>
      </c>
      <c r="C14" s="176"/>
      <c r="D14" s="176"/>
      <c r="E14" s="176">
        <v>-143.23453999999998</v>
      </c>
      <c r="F14" s="176"/>
      <c r="G14" s="176"/>
      <c r="H14" s="176"/>
      <c r="I14" s="176"/>
      <c r="J14" s="176"/>
      <c r="K14" s="176"/>
      <c r="L14" s="176"/>
      <c r="M14" s="176"/>
      <c r="N14" s="176">
        <v>-1.5914900000000001</v>
      </c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</row>
    <row r="15" spans="1:45" ht="15" thickBot="1" x14ac:dyDescent="0.4">
      <c r="A15" s="175" t="s">
        <v>256</v>
      </c>
      <c r="C15" s="176">
        <f>C9+C14</f>
        <v>0</v>
      </c>
      <c r="D15" s="176">
        <f t="shared" ref="D15:X15" si="1">D9+D14</f>
        <v>0</v>
      </c>
      <c r="E15" s="176">
        <f t="shared" si="1"/>
        <v>861.92014999999992</v>
      </c>
      <c r="F15" s="176">
        <f t="shared" si="1"/>
        <v>0</v>
      </c>
      <c r="G15" s="176">
        <f t="shared" si="1"/>
        <v>0</v>
      </c>
      <c r="H15" s="176">
        <f t="shared" si="1"/>
        <v>0</v>
      </c>
      <c r="I15" s="176">
        <f t="shared" si="1"/>
        <v>0</v>
      </c>
      <c r="J15" s="176">
        <f t="shared" si="1"/>
        <v>0</v>
      </c>
      <c r="K15" s="176">
        <f t="shared" si="1"/>
        <v>0</v>
      </c>
      <c r="L15" s="176">
        <f t="shared" si="1"/>
        <v>1.1918199999999999</v>
      </c>
      <c r="M15" s="176">
        <f t="shared" si="1"/>
        <v>0</v>
      </c>
      <c r="N15" s="176">
        <f>N9+N14</f>
        <v>15.613809999999997</v>
      </c>
      <c r="O15" s="176">
        <f t="shared" si="1"/>
        <v>0</v>
      </c>
      <c r="P15" s="176">
        <f t="shared" si="1"/>
        <v>0</v>
      </c>
      <c r="Q15" s="176">
        <f t="shared" si="1"/>
        <v>0</v>
      </c>
      <c r="R15" s="176">
        <f t="shared" si="1"/>
        <v>0</v>
      </c>
      <c r="S15" s="176">
        <f t="shared" si="1"/>
        <v>0</v>
      </c>
      <c r="T15" s="176">
        <f t="shared" si="1"/>
        <v>0</v>
      </c>
      <c r="U15" s="176">
        <f t="shared" si="1"/>
        <v>0</v>
      </c>
      <c r="V15" s="176">
        <f t="shared" si="1"/>
        <v>0</v>
      </c>
      <c r="W15" s="176">
        <f t="shared" si="1"/>
        <v>0</v>
      </c>
      <c r="X15" s="176">
        <f t="shared" si="1"/>
        <v>0</v>
      </c>
      <c r="Y15" s="176">
        <f>Y9+Y14</f>
        <v>0</v>
      </c>
      <c r="Z15" s="176">
        <f>Z9+Z14</f>
        <v>0</v>
      </c>
      <c r="AA15" s="176">
        <f>AA9+AA14</f>
        <v>0</v>
      </c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</row>
    <row r="16" spans="1:45" ht="15" thickBot="1" x14ac:dyDescent="0.4">
      <c r="A16" s="175" t="s">
        <v>257</v>
      </c>
      <c r="C16" s="176">
        <f>SUM(C17:C20)</f>
        <v>0</v>
      </c>
      <c r="D16" s="176">
        <f t="shared" ref="D16:X16" si="2">SUM(D17:D20)</f>
        <v>0</v>
      </c>
      <c r="E16" s="176">
        <f t="shared" si="2"/>
        <v>0</v>
      </c>
      <c r="F16" s="176">
        <f t="shared" si="2"/>
        <v>0</v>
      </c>
      <c r="G16" s="176">
        <f t="shared" si="2"/>
        <v>0</v>
      </c>
      <c r="H16" s="176">
        <f t="shared" si="2"/>
        <v>0</v>
      </c>
      <c r="I16" s="176">
        <f t="shared" si="2"/>
        <v>0</v>
      </c>
      <c r="J16" s="176">
        <f t="shared" si="2"/>
        <v>0</v>
      </c>
      <c r="K16" s="176">
        <f t="shared" si="2"/>
        <v>0</v>
      </c>
      <c r="L16" s="176">
        <f t="shared" si="2"/>
        <v>0</v>
      </c>
      <c r="M16" s="176">
        <f t="shared" si="2"/>
        <v>0</v>
      </c>
      <c r="N16" s="176">
        <f t="shared" si="2"/>
        <v>0</v>
      </c>
      <c r="O16" s="176">
        <f t="shared" si="2"/>
        <v>0</v>
      </c>
      <c r="P16" s="176">
        <f t="shared" si="2"/>
        <v>0</v>
      </c>
      <c r="Q16" s="176">
        <f t="shared" si="2"/>
        <v>0</v>
      </c>
      <c r="R16" s="176">
        <f t="shared" si="2"/>
        <v>0</v>
      </c>
      <c r="S16" s="176">
        <f t="shared" si="2"/>
        <v>0</v>
      </c>
      <c r="T16" s="176">
        <f t="shared" si="2"/>
        <v>0</v>
      </c>
      <c r="U16" s="176">
        <f t="shared" si="2"/>
        <v>0</v>
      </c>
      <c r="V16" s="176">
        <f t="shared" si="2"/>
        <v>0</v>
      </c>
      <c r="W16" s="176">
        <f t="shared" si="2"/>
        <v>0</v>
      </c>
      <c r="X16" s="176">
        <f t="shared" si="2"/>
        <v>0</v>
      </c>
      <c r="Y16" s="176">
        <f>SUM(Y17:Y20)</f>
        <v>0</v>
      </c>
      <c r="Z16" s="176">
        <f>SUM(Z17:Z20)</f>
        <v>0</v>
      </c>
      <c r="AA16" s="176">
        <f>SUM(AA17:AA20)</f>
        <v>0</v>
      </c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</row>
    <row r="17" spans="1:45" x14ac:dyDescent="0.35">
      <c r="A17" s="172" t="s">
        <v>258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</row>
    <row r="18" spans="1:45" x14ac:dyDescent="0.35">
      <c r="A18" s="172" t="s">
        <v>260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</row>
    <row r="19" spans="1:45" x14ac:dyDescent="0.35">
      <c r="A19" s="172" t="s">
        <v>261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</row>
    <row r="20" spans="1:45" ht="15" thickBot="1" x14ac:dyDescent="0.4">
      <c r="A20" s="174" t="s">
        <v>262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</row>
    <row r="21" spans="1:45" ht="15" thickBot="1" x14ac:dyDescent="0.4">
      <c r="A21" s="178" t="s">
        <v>263</v>
      </c>
      <c r="C21" s="176">
        <f t="shared" ref="C21:AB21" si="3">C15+C16</f>
        <v>0</v>
      </c>
      <c r="D21" s="176">
        <f t="shared" si="3"/>
        <v>0</v>
      </c>
      <c r="E21" s="176">
        <f t="shared" si="3"/>
        <v>861.92014999999992</v>
      </c>
      <c r="F21" s="176">
        <f t="shared" si="3"/>
        <v>0</v>
      </c>
      <c r="G21" s="176">
        <f t="shared" si="3"/>
        <v>0</v>
      </c>
      <c r="H21" s="176">
        <f t="shared" si="3"/>
        <v>0</v>
      </c>
      <c r="I21" s="176">
        <f t="shared" si="3"/>
        <v>0</v>
      </c>
      <c r="J21" s="176">
        <f t="shared" si="3"/>
        <v>0</v>
      </c>
      <c r="K21" s="176">
        <f t="shared" si="3"/>
        <v>0</v>
      </c>
      <c r="L21" s="176">
        <f t="shared" si="3"/>
        <v>1.1918199999999999</v>
      </c>
      <c r="M21" s="176">
        <f t="shared" si="3"/>
        <v>0</v>
      </c>
      <c r="N21" s="176">
        <f t="shared" si="3"/>
        <v>15.613809999999997</v>
      </c>
      <c r="O21" s="176">
        <f t="shared" si="3"/>
        <v>0</v>
      </c>
      <c r="P21" s="176">
        <f t="shared" si="3"/>
        <v>0</v>
      </c>
      <c r="Q21" s="176">
        <f t="shared" si="3"/>
        <v>0</v>
      </c>
      <c r="R21" s="176">
        <f t="shared" si="3"/>
        <v>0</v>
      </c>
      <c r="S21" s="176">
        <f t="shared" si="3"/>
        <v>0</v>
      </c>
      <c r="T21" s="176">
        <f t="shared" si="3"/>
        <v>0</v>
      </c>
      <c r="U21" s="176">
        <f t="shared" si="3"/>
        <v>0</v>
      </c>
      <c r="V21" s="176">
        <f t="shared" si="3"/>
        <v>0</v>
      </c>
      <c r="W21" s="176">
        <f t="shared" si="3"/>
        <v>0</v>
      </c>
      <c r="X21" s="176">
        <f t="shared" si="3"/>
        <v>0</v>
      </c>
      <c r="Y21" s="176">
        <f t="shared" si="3"/>
        <v>0</v>
      </c>
      <c r="Z21" s="176">
        <f t="shared" si="3"/>
        <v>0</v>
      </c>
      <c r="AA21" s="176">
        <f t="shared" si="3"/>
        <v>0</v>
      </c>
      <c r="AB21" s="176">
        <f t="shared" si="3"/>
        <v>0</v>
      </c>
      <c r="AC21" s="185">
        <v>0</v>
      </c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</row>
    <row r="22" spans="1:45" ht="15" thickBot="1" x14ac:dyDescent="0.4">
      <c r="A22" s="175" t="s">
        <v>264</v>
      </c>
      <c r="C22" s="176">
        <f>SUM(C23:C28)</f>
        <v>-16555</v>
      </c>
      <c r="D22" s="176">
        <f t="shared" ref="D22:AB22" si="4">SUM(D23:D28)</f>
        <v>-8959</v>
      </c>
      <c r="E22" s="176">
        <f t="shared" si="4"/>
        <v>-4612</v>
      </c>
      <c r="F22" s="176">
        <f t="shared" si="4"/>
        <v>-7422.5585100000062</v>
      </c>
      <c r="G22" s="176">
        <f t="shared" si="4"/>
        <v>-4039</v>
      </c>
      <c r="H22" s="176">
        <f t="shared" si="4"/>
        <v>-3484</v>
      </c>
      <c r="I22" s="176">
        <f t="shared" si="4"/>
        <v>-10564.19325</v>
      </c>
      <c r="J22" s="176">
        <f t="shared" si="4"/>
        <v>-6715.2463100000023</v>
      </c>
      <c r="K22" s="176">
        <f t="shared" si="4"/>
        <v>-19697.012180000002</v>
      </c>
      <c r="L22" s="176">
        <f t="shared" si="4"/>
        <v>-10859.631229999992</v>
      </c>
      <c r="M22" s="176">
        <f t="shared" si="4"/>
        <v>-5727.4703400000026</v>
      </c>
      <c r="N22" s="176">
        <f t="shared" si="4"/>
        <v>-6790.6780500000059</v>
      </c>
      <c r="O22" s="176">
        <f t="shared" si="4"/>
        <v>-14490.117980000001</v>
      </c>
      <c r="P22" s="176">
        <f t="shared" si="4"/>
        <v>-6852.8820199999982</v>
      </c>
      <c r="Q22" s="176">
        <f t="shared" si="4"/>
        <v>-6708</v>
      </c>
      <c r="R22" s="176">
        <f t="shared" si="4"/>
        <v>-6739</v>
      </c>
      <c r="S22" s="176">
        <f t="shared" si="4"/>
        <v>-7230.5</v>
      </c>
      <c r="T22" s="176">
        <f t="shared" si="4"/>
        <v>-12773.5</v>
      </c>
      <c r="U22" s="176">
        <f t="shared" si="4"/>
        <v>-12233</v>
      </c>
      <c r="V22" s="176">
        <f t="shared" si="4"/>
        <v>-15572</v>
      </c>
      <c r="W22" s="176">
        <f t="shared" si="4"/>
        <v>-8190</v>
      </c>
      <c r="X22" s="176">
        <f t="shared" si="4"/>
        <v>-13270</v>
      </c>
      <c r="Y22" s="176">
        <f t="shared" si="4"/>
        <v>-7115</v>
      </c>
      <c r="Z22" s="176">
        <f t="shared" si="4"/>
        <v>-10366</v>
      </c>
      <c r="AA22" s="176">
        <f t="shared" si="4"/>
        <v>-6999.3419999999996</v>
      </c>
      <c r="AB22" s="176">
        <f t="shared" si="4"/>
        <v>-8159.0879999999997</v>
      </c>
      <c r="AC22" s="185">
        <v>-6946.1050000000005</v>
      </c>
      <c r="AD22" s="186">
        <v>-111763</v>
      </c>
      <c r="AE22" s="186">
        <v>-19669</v>
      </c>
      <c r="AF22" s="186">
        <v>-20737</v>
      </c>
      <c r="AG22" s="176">
        <f t="shared" ref="AG22:AS22" si="5">SUM(AG23:AG28)</f>
        <v>-20376</v>
      </c>
      <c r="AH22" s="176">
        <f t="shared" si="5"/>
        <v>33245.925000000003</v>
      </c>
      <c r="AI22" s="176">
        <f t="shared" si="5"/>
        <v>-12398</v>
      </c>
      <c r="AJ22" s="176">
        <f t="shared" si="5"/>
        <v>-25846</v>
      </c>
      <c r="AK22" s="176">
        <f t="shared" si="5"/>
        <v>-21940</v>
      </c>
      <c r="AL22" s="176">
        <f t="shared" si="5"/>
        <v>-20311</v>
      </c>
      <c r="AM22" s="176">
        <f t="shared" si="5"/>
        <v>-27506</v>
      </c>
      <c r="AN22" s="176">
        <f t="shared" si="5"/>
        <v>-16045</v>
      </c>
      <c r="AO22" s="176">
        <f t="shared" si="5"/>
        <v>-11480</v>
      </c>
      <c r="AP22" s="176">
        <f t="shared" si="5"/>
        <v>-14601</v>
      </c>
      <c r="AQ22" s="176">
        <f t="shared" si="5"/>
        <v>-20356</v>
      </c>
      <c r="AR22" s="176">
        <f t="shared" si="5"/>
        <v>-16910</v>
      </c>
      <c r="AS22" s="176">
        <f t="shared" si="5"/>
        <v>-21316</v>
      </c>
    </row>
    <row r="23" spans="1:45" x14ac:dyDescent="0.35">
      <c r="A23" s="172" t="s">
        <v>265</v>
      </c>
      <c r="C23" s="173">
        <v>-2175</v>
      </c>
      <c r="D23" s="173">
        <v>-3090</v>
      </c>
      <c r="E23" s="173">
        <v>-2168</v>
      </c>
      <c r="F23" s="173">
        <v>-6271</v>
      </c>
      <c r="G23" s="173">
        <v>-2291</v>
      </c>
      <c r="H23" s="173">
        <v>-2281</v>
      </c>
      <c r="I23" s="173">
        <v>-7774</v>
      </c>
      <c r="J23" s="173">
        <v>-5645.369840000003</v>
      </c>
      <c r="K23" s="173">
        <v>-18529.619620000005</v>
      </c>
      <c r="L23" s="173">
        <v>-9264.1573699999935</v>
      </c>
      <c r="M23" s="173">
        <v>-4466.9395700000023</v>
      </c>
      <c r="N23" s="173">
        <v>-5288.7758500000054</v>
      </c>
      <c r="O23" s="173">
        <v>-13269.053320000001</v>
      </c>
      <c r="P23" s="173">
        <v>-5462.9466799999991</v>
      </c>
      <c r="Q23" s="173">
        <v>-4537</v>
      </c>
      <c r="R23" s="173">
        <v>-5182</v>
      </c>
      <c r="S23" s="173">
        <v>-4996</v>
      </c>
      <c r="T23" s="173">
        <v>-6730</v>
      </c>
      <c r="U23" s="173">
        <v>-9066</v>
      </c>
      <c r="V23" s="173">
        <v>-11447</v>
      </c>
      <c r="W23" s="173">
        <v>-5368</v>
      </c>
      <c r="X23" s="173">
        <v>-6008</v>
      </c>
      <c r="Y23" s="173">
        <v>-4099</v>
      </c>
      <c r="Z23" s="173">
        <v>-3820</v>
      </c>
      <c r="AA23" s="173">
        <v>-3775</v>
      </c>
      <c r="AB23" s="173">
        <f>-4797-86</f>
        <v>-4883</v>
      </c>
      <c r="AC23" s="184">
        <v>-2649</v>
      </c>
      <c r="AD23" s="187">
        <v>-5695</v>
      </c>
      <c r="AE23" s="187">
        <v>-16984</v>
      </c>
      <c r="AF23" s="187">
        <v>-17030</v>
      </c>
      <c r="AG23" s="187">
        <v>-17805</v>
      </c>
      <c r="AH23" s="187">
        <v>28978</v>
      </c>
      <c r="AI23" s="187">
        <v>-5055</v>
      </c>
      <c r="AJ23" s="187">
        <v>-11491</v>
      </c>
      <c r="AK23" s="187">
        <v>-5701</v>
      </c>
      <c r="AL23" s="187">
        <v>-5507</v>
      </c>
      <c r="AM23" s="187">
        <v>-6300</v>
      </c>
      <c r="AN23" s="187">
        <v>-5972</v>
      </c>
      <c r="AO23" s="187">
        <v>-6559</v>
      </c>
      <c r="AP23" s="187">
        <v>-6253</v>
      </c>
      <c r="AQ23" s="187">
        <v>-6335</v>
      </c>
      <c r="AR23" s="187">
        <v>-8057</v>
      </c>
      <c r="AS23" s="187">
        <v>-9276</v>
      </c>
    </row>
    <row r="24" spans="1:45" x14ac:dyDescent="0.35">
      <c r="A24" s="172" t="s">
        <v>266</v>
      </c>
      <c r="C24" s="173">
        <v>-2</v>
      </c>
      <c r="D24" s="173">
        <v>-2</v>
      </c>
      <c r="E24" s="173">
        <v>-1</v>
      </c>
      <c r="F24" s="173">
        <v>-2</v>
      </c>
      <c r="G24" s="173">
        <v>-25</v>
      </c>
      <c r="H24" s="173">
        <v>-4</v>
      </c>
      <c r="I24" s="173">
        <v>-32.902290000000001</v>
      </c>
      <c r="J24" s="173">
        <v>-3.558799999999998</v>
      </c>
      <c r="K24" s="173">
        <v>-2.5979800000000002</v>
      </c>
      <c r="L24" s="173">
        <v>-6.6219300000000008</v>
      </c>
      <c r="M24" s="173">
        <v>-0.25126000000000026</v>
      </c>
      <c r="N24" s="173">
        <v>-7.1604599999999969</v>
      </c>
      <c r="O24" s="173">
        <v>-4.2767400000000011</v>
      </c>
      <c r="P24" s="173">
        <v>-7.7232599999999989</v>
      </c>
      <c r="Q24" s="173">
        <v>-10</v>
      </c>
      <c r="R24" s="173">
        <v>-15</v>
      </c>
      <c r="S24" s="173">
        <v>-20</v>
      </c>
      <c r="T24" s="173">
        <v>-66</v>
      </c>
      <c r="U24" s="173">
        <v>-26</v>
      </c>
      <c r="V24" s="173">
        <v>-33</v>
      </c>
      <c r="W24" s="173">
        <v>-31</v>
      </c>
      <c r="X24" s="173">
        <v>-65</v>
      </c>
      <c r="Y24" s="173">
        <v>-35</v>
      </c>
      <c r="Z24" s="173">
        <v>-67</v>
      </c>
      <c r="AA24" s="173">
        <v>-45</v>
      </c>
      <c r="AB24" s="173">
        <v>-79</v>
      </c>
      <c r="AC24" s="184">
        <v>-47</v>
      </c>
      <c r="AD24" s="187">
        <v>-27</v>
      </c>
      <c r="AE24" s="187">
        <v>-22</v>
      </c>
      <c r="AF24" s="187">
        <v>-16</v>
      </c>
      <c r="AG24" s="187">
        <v>-18</v>
      </c>
      <c r="AH24" s="187">
        <v>-17</v>
      </c>
      <c r="AI24" s="187">
        <v>-7</v>
      </c>
      <c r="AJ24" s="187">
        <v>-61</v>
      </c>
      <c r="AK24" s="187">
        <v>-135</v>
      </c>
      <c r="AL24" s="187">
        <v>-216</v>
      </c>
      <c r="AM24" s="187">
        <v>-32</v>
      </c>
      <c r="AN24" s="187">
        <v>-42</v>
      </c>
      <c r="AO24" s="187">
        <v>-52</v>
      </c>
      <c r="AP24" s="187">
        <v>-85</v>
      </c>
      <c r="AQ24" s="187">
        <v>-93</v>
      </c>
      <c r="AR24" s="187">
        <v>-77</v>
      </c>
      <c r="AS24" s="187">
        <v>-44</v>
      </c>
    </row>
    <row r="25" spans="1:45" x14ac:dyDescent="0.35">
      <c r="A25" s="172" t="s">
        <v>267</v>
      </c>
      <c r="C25" s="173">
        <v>-13636</v>
      </c>
      <c r="D25" s="173">
        <v>-4605</v>
      </c>
      <c r="E25" s="173">
        <v>-1840</v>
      </c>
      <c r="F25" s="173">
        <v>-805.55851000000621</v>
      </c>
      <c r="G25" s="173">
        <v>-1109</v>
      </c>
      <c r="H25" s="173">
        <v>-638</v>
      </c>
      <c r="I25" s="173">
        <v>-1235.9927900000002</v>
      </c>
      <c r="J25" s="173">
        <v>-534.01261999999952</v>
      </c>
      <c r="K25" s="173">
        <v>-483.85053999999991</v>
      </c>
      <c r="L25" s="173">
        <v>-1158.9289799999997</v>
      </c>
      <c r="M25" s="173">
        <v>-675.42996000000039</v>
      </c>
      <c r="N25" s="173">
        <v>-1018.8673800000001</v>
      </c>
      <c r="O25" s="173">
        <v>-526.51661999999999</v>
      </c>
      <c r="P25" s="173">
        <v>-954.48338000000001</v>
      </c>
      <c r="Q25" s="173">
        <v>-1682</v>
      </c>
      <c r="R25" s="173">
        <v>-1258</v>
      </c>
      <c r="S25" s="173">
        <v>-1790</v>
      </c>
      <c r="T25" s="173">
        <v>-5637</v>
      </c>
      <c r="U25" s="173">
        <v>-2892</v>
      </c>
      <c r="V25" s="173">
        <v>-3581</v>
      </c>
      <c r="W25" s="173">
        <v>-2501</v>
      </c>
      <c r="X25" s="173">
        <v>-6964</v>
      </c>
      <c r="Y25" s="173">
        <v>-3422</v>
      </c>
      <c r="Z25" s="173">
        <v>-4618</v>
      </c>
      <c r="AA25" s="173">
        <v>-3298</v>
      </c>
      <c r="AB25" s="173">
        <v>-3064</v>
      </c>
      <c r="AC25" s="184">
        <v>-3533</v>
      </c>
      <c r="AD25" s="187">
        <v>-5802</v>
      </c>
      <c r="AE25" s="187">
        <v>-2307</v>
      </c>
      <c r="AF25" s="187">
        <v>-3625</v>
      </c>
      <c r="AG25" s="187">
        <v>-2388</v>
      </c>
      <c r="AH25" s="187">
        <v>-5759</v>
      </c>
      <c r="AI25" s="187">
        <v>-6799</v>
      </c>
      <c r="AJ25" s="187">
        <v>-13576</v>
      </c>
      <c r="AK25" s="187">
        <v>-15727</v>
      </c>
      <c r="AL25" s="187">
        <v>-14383</v>
      </c>
      <c r="AM25" s="187">
        <v>-19753</v>
      </c>
      <c r="AN25" s="187">
        <v>-9863</v>
      </c>
      <c r="AO25" s="187">
        <v>-7895</v>
      </c>
      <c r="AP25" s="187">
        <v>-7631</v>
      </c>
      <c r="AQ25" s="187">
        <v>-11602</v>
      </c>
      <c r="AR25" s="187">
        <v>-8424</v>
      </c>
      <c r="AS25" s="187">
        <v>-6308</v>
      </c>
    </row>
    <row r="26" spans="1:45" x14ac:dyDescent="0.35">
      <c r="A26" s="172" t="s">
        <v>268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73">
        <v>0</v>
      </c>
      <c r="Q26" s="173">
        <v>0</v>
      </c>
      <c r="R26" s="173">
        <v>0</v>
      </c>
      <c r="S26" s="173">
        <v>0</v>
      </c>
      <c r="T26" s="173">
        <v>0</v>
      </c>
      <c r="U26" s="173">
        <v>0</v>
      </c>
      <c r="V26" s="173">
        <v>0</v>
      </c>
      <c r="W26" s="173">
        <v>0</v>
      </c>
      <c r="X26" s="173">
        <v>0</v>
      </c>
      <c r="Y26" s="173">
        <v>0</v>
      </c>
      <c r="Z26" s="173">
        <v>0</v>
      </c>
      <c r="AA26" s="173">
        <v>0</v>
      </c>
      <c r="AB26" s="173">
        <v>0</v>
      </c>
      <c r="AC26" s="184">
        <v>0</v>
      </c>
      <c r="AD26" s="184">
        <v>0</v>
      </c>
      <c r="AE26" s="184">
        <v>-24</v>
      </c>
      <c r="AF26" s="184">
        <v>0</v>
      </c>
      <c r="AG26" s="184"/>
      <c r="AH26" s="184">
        <v>0</v>
      </c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>
        <v>0</v>
      </c>
    </row>
    <row r="27" spans="1:45" x14ac:dyDescent="0.35">
      <c r="A27" s="172" t="s">
        <v>270</v>
      </c>
      <c r="C27" s="173">
        <v>-742</v>
      </c>
      <c r="D27" s="173">
        <v>-1262</v>
      </c>
      <c r="E27" s="173">
        <v>-603</v>
      </c>
      <c r="F27" s="173">
        <v>-344</v>
      </c>
      <c r="G27" s="173">
        <v>-614</v>
      </c>
      <c r="H27" s="173">
        <v>-561</v>
      </c>
      <c r="I27" s="173">
        <v>-1521.2981700000005</v>
      </c>
      <c r="J27" s="173">
        <v>-532.30504999999948</v>
      </c>
      <c r="K27" s="173">
        <v>-680.94403999999997</v>
      </c>
      <c r="L27" s="173">
        <v>-429.92295000000024</v>
      </c>
      <c r="M27" s="173">
        <v>-584.84955000000014</v>
      </c>
      <c r="N27" s="173">
        <v>-475.8743599999998</v>
      </c>
      <c r="O27" s="173">
        <v>-690.2713</v>
      </c>
      <c r="P27" s="173">
        <v>-427.7287</v>
      </c>
      <c r="Q27" s="173">
        <v>0</v>
      </c>
      <c r="R27" s="173">
        <v>-284</v>
      </c>
      <c r="S27" s="173">
        <v>-424.5</v>
      </c>
      <c r="T27" s="173">
        <v>-340.5</v>
      </c>
      <c r="U27" s="173">
        <v>-249</v>
      </c>
      <c r="V27" s="173">
        <v>-511</v>
      </c>
      <c r="W27" s="173">
        <v>-290</v>
      </c>
      <c r="X27" s="173">
        <v>-233</v>
      </c>
      <c r="Y27" s="173">
        <v>441</v>
      </c>
      <c r="Z27" s="173">
        <v>-1861</v>
      </c>
      <c r="AA27" s="173">
        <v>118.65799999999999</v>
      </c>
      <c r="AB27" s="173">
        <v>-133.08799999999999</v>
      </c>
      <c r="AC27" s="184">
        <v>-717.10500000000002</v>
      </c>
      <c r="AD27" s="187">
        <v>-87</v>
      </c>
      <c r="AE27" s="187">
        <v>-332</v>
      </c>
      <c r="AF27" s="187">
        <v>-66</v>
      </c>
      <c r="AG27" s="187">
        <v>-165</v>
      </c>
      <c r="AH27" s="187">
        <v>10043.924999999999</v>
      </c>
      <c r="AI27" s="187">
        <v>-537</v>
      </c>
      <c r="AJ27" s="187">
        <v>-718</v>
      </c>
      <c r="AK27" s="187">
        <v>-377</v>
      </c>
      <c r="AL27" s="187">
        <v>-205</v>
      </c>
      <c r="AM27" s="187">
        <v>-1396</v>
      </c>
      <c r="AN27" s="187">
        <v>-168</v>
      </c>
      <c r="AO27" s="187">
        <v>3026</v>
      </c>
      <c r="AP27" s="187">
        <v>-632</v>
      </c>
      <c r="AQ27" s="187">
        <v>-1831</v>
      </c>
      <c r="AR27" s="187">
        <v>-213</v>
      </c>
      <c r="AS27" s="187">
        <v>-5688</v>
      </c>
    </row>
    <row r="28" spans="1:45" x14ac:dyDescent="0.35">
      <c r="A28" s="172" t="s">
        <v>271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>
        <v>-479</v>
      </c>
      <c r="R28" s="173"/>
      <c r="S28" s="173"/>
      <c r="T28" s="173">
        <v>0</v>
      </c>
      <c r="U28" s="173">
        <v>0</v>
      </c>
      <c r="V28" s="173">
        <v>0</v>
      </c>
      <c r="W28" s="173"/>
      <c r="X28" s="173"/>
      <c r="Y28" s="173">
        <v>0</v>
      </c>
      <c r="Z28" s="173">
        <v>0</v>
      </c>
      <c r="AA28" s="173">
        <v>0</v>
      </c>
      <c r="AB28" s="173">
        <v>0</v>
      </c>
      <c r="AC28" s="184">
        <v>0</v>
      </c>
      <c r="AD28" s="184">
        <v>-100152</v>
      </c>
      <c r="AE28" s="184">
        <v>0</v>
      </c>
      <c r="AF28" s="184">
        <v>0</v>
      </c>
      <c r="AG28" s="184"/>
      <c r="AH28" s="184">
        <v>0</v>
      </c>
      <c r="AI28" s="184"/>
      <c r="AJ28" s="184"/>
      <c r="AK28" s="184"/>
      <c r="AL28" s="184"/>
      <c r="AM28" s="184">
        <v>-25</v>
      </c>
      <c r="AN28" s="184"/>
      <c r="AO28" s="184"/>
      <c r="AP28" s="184"/>
      <c r="AQ28" s="184">
        <v>-495</v>
      </c>
      <c r="AR28" s="184">
        <v>-139</v>
      </c>
      <c r="AS28" s="184">
        <v>0</v>
      </c>
    </row>
    <row r="29" spans="1:45" x14ac:dyDescent="0.35">
      <c r="A29" s="589" t="s">
        <v>272</v>
      </c>
      <c r="C29" s="592">
        <f>C15+C16+C22</f>
        <v>-16555</v>
      </c>
      <c r="D29" s="592">
        <f t="shared" ref="D29:AB29" si="6">D15+D16+D22</f>
        <v>-8959</v>
      </c>
      <c r="E29" s="592">
        <f t="shared" si="6"/>
        <v>-3750.0798500000001</v>
      </c>
      <c r="F29" s="592">
        <f t="shared" si="6"/>
        <v>-7422.5585100000062</v>
      </c>
      <c r="G29" s="592">
        <f t="shared" si="6"/>
        <v>-4039</v>
      </c>
      <c r="H29" s="592">
        <f t="shared" si="6"/>
        <v>-3484</v>
      </c>
      <c r="I29" s="592">
        <f t="shared" si="6"/>
        <v>-10564.19325</v>
      </c>
      <c r="J29" s="592">
        <f t="shared" si="6"/>
        <v>-6715.2463100000023</v>
      </c>
      <c r="K29" s="592">
        <f t="shared" si="6"/>
        <v>-19697.012180000002</v>
      </c>
      <c r="L29" s="592">
        <f t="shared" si="6"/>
        <v>-10858.439409999992</v>
      </c>
      <c r="M29" s="592">
        <f t="shared" si="6"/>
        <v>-5727.4703400000026</v>
      </c>
      <c r="N29" s="592">
        <f t="shared" si="6"/>
        <v>-6775.0642400000061</v>
      </c>
      <c r="O29" s="592">
        <f t="shared" si="6"/>
        <v>-14490.117980000001</v>
      </c>
      <c r="P29" s="592">
        <f t="shared" si="6"/>
        <v>-6852.8820199999982</v>
      </c>
      <c r="Q29" s="592">
        <f t="shared" si="6"/>
        <v>-6708</v>
      </c>
      <c r="R29" s="592">
        <f t="shared" si="6"/>
        <v>-6739</v>
      </c>
      <c r="S29" s="592">
        <f t="shared" si="6"/>
        <v>-7230.5</v>
      </c>
      <c r="T29" s="592">
        <f t="shared" si="6"/>
        <v>-12773.5</v>
      </c>
      <c r="U29" s="592">
        <f t="shared" si="6"/>
        <v>-12233</v>
      </c>
      <c r="V29" s="592">
        <f t="shared" si="6"/>
        <v>-15572</v>
      </c>
      <c r="W29" s="592">
        <f t="shared" si="6"/>
        <v>-8190</v>
      </c>
      <c r="X29" s="592">
        <f t="shared" si="6"/>
        <v>-13270</v>
      </c>
      <c r="Y29" s="592">
        <f t="shared" si="6"/>
        <v>-7115</v>
      </c>
      <c r="Z29" s="592">
        <f t="shared" si="6"/>
        <v>-10366</v>
      </c>
      <c r="AA29" s="592">
        <f t="shared" si="6"/>
        <v>-6999.3419999999996</v>
      </c>
      <c r="AB29" s="592">
        <f t="shared" si="6"/>
        <v>-8159.0879999999997</v>
      </c>
      <c r="AC29" s="593">
        <v>-6946.1050000000005</v>
      </c>
      <c r="AD29" s="593">
        <v>-111763</v>
      </c>
      <c r="AE29" s="593">
        <v>-19669</v>
      </c>
      <c r="AF29" s="593">
        <v>-20737</v>
      </c>
      <c r="AG29" s="592">
        <f t="shared" ref="AG29:AS29" si="7">AG15+AG16+AG22</f>
        <v>-20376</v>
      </c>
      <c r="AH29" s="592">
        <f t="shared" si="7"/>
        <v>33245.925000000003</v>
      </c>
      <c r="AI29" s="592">
        <f t="shared" si="7"/>
        <v>-12398</v>
      </c>
      <c r="AJ29" s="592">
        <f t="shared" si="7"/>
        <v>-25846</v>
      </c>
      <c r="AK29" s="592">
        <f t="shared" si="7"/>
        <v>-21940</v>
      </c>
      <c r="AL29" s="592">
        <f t="shared" si="7"/>
        <v>-20311</v>
      </c>
      <c r="AM29" s="592">
        <f t="shared" si="7"/>
        <v>-27506</v>
      </c>
      <c r="AN29" s="592">
        <f t="shared" si="7"/>
        <v>-16045</v>
      </c>
      <c r="AO29" s="592">
        <f t="shared" si="7"/>
        <v>-11480</v>
      </c>
      <c r="AP29" s="592">
        <f t="shared" si="7"/>
        <v>-14601</v>
      </c>
      <c r="AQ29" s="592">
        <f t="shared" si="7"/>
        <v>-20356</v>
      </c>
      <c r="AR29" s="592">
        <f t="shared" si="7"/>
        <v>-16910</v>
      </c>
      <c r="AS29" s="592">
        <f t="shared" si="7"/>
        <v>-21316</v>
      </c>
    </row>
    <row r="30" spans="1:45" ht="15" thickBot="1" x14ac:dyDescent="0.4">
      <c r="A30" s="174" t="s">
        <v>273</v>
      </c>
      <c r="C30" s="173"/>
      <c r="D30" s="173"/>
      <c r="E30" s="173"/>
      <c r="F30" s="173"/>
      <c r="G30" s="173"/>
      <c r="H30" s="173"/>
      <c r="I30" s="173">
        <v>-0.97099999999999997</v>
      </c>
      <c r="J30" s="173"/>
      <c r="K30" s="173"/>
      <c r="L30" s="173">
        <v>-48.585329999999999</v>
      </c>
      <c r="M30" s="173">
        <v>-1.5185999999999993</v>
      </c>
      <c r="N30" s="173">
        <v>-1.5185999999999993</v>
      </c>
      <c r="O30" s="173">
        <v>-1.5185999999999999</v>
      </c>
      <c r="P30" s="173">
        <v>-1.4814000000000001</v>
      </c>
      <c r="Q30" s="173">
        <v>-2</v>
      </c>
      <c r="R30" s="173"/>
      <c r="S30" s="173">
        <v>-2</v>
      </c>
      <c r="T30" s="173">
        <v>-1</v>
      </c>
      <c r="U30" s="173">
        <v>-2</v>
      </c>
      <c r="V30" s="173">
        <v>-1</v>
      </c>
      <c r="W30" s="173">
        <v>-2</v>
      </c>
      <c r="X30" s="173">
        <v>-2939</v>
      </c>
      <c r="Y30" s="173">
        <v>-2509</v>
      </c>
      <c r="Z30" s="173">
        <v>-12731</v>
      </c>
      <c r="AA30" s="173">
        <v>-2</v>
      </c>
      <c r="AB30" s="173">
        <v>-2</v>
      </c>
      <c r="AC30" s="184">
        <v>-34</v>
      </c>
      <c r="AD30" s="187">
        <v>-118</v>
      </c>
      <c r="AE30" s="187">
        <v>-30</v>
      </c>
      <c r="AF30" s="187">
        <v>-30</v>
      </c>
      <c r="AG30" s="187">
        <v>-29</v>
      </c>
      <c r="AH30" s="187">
        <v>-30</v>
      </c>
      <c r="AI30" s="187">
        <v>-30</v>
      </c>
      <c r="AJ30" s="187">
        <v>-59</v>
      </c>
      <c r="AK30" s="187">
        <v>-68</v>
      </c>
      <c r="AL30" s="187">
        <v>-197</v>
      </c>
      <c r="AM30" s="188">
        <v>-59</v>
      </c>
      <c r="AN30" s="188">
        <v>-24330</v>
      </c>
      <c r="AO30" s="188">
        <v>-18</v>
      </c>
      <c r="AP30" s="188">
        <v>-18</v>
      </c>
      <c r="AQ30" s="188">
        <v>-18</v>
      </c>
      <c r="AR30" s="188">
        <v>-18</v>
      </c>
      <c r="AS30" s="188">
        <v>-18</v>
      </c>
    </row>
    <row r="31" spans="1:45" ht="15" thickBot="1" x14ac:dyDescent="0.4">
      <c r="A31" s="175" t="s">
        <v>274</v>
      </c>
      <c r="C31" s="176">
        <f t="shared" ref="C31:AB31" si="8">SUM(C29:C30)</f>
        <v>-16555</v>
      </c>
      <c r="D31" s="176">
        <f t="shared" si="8"/>
        <v>-8959</v>
      </c>
      <c r="E31" s="176">
        <f t="shared" si="8"/>
        <v>-3750.0798500000001</v>
      </c>
      <c r="F31" s="176">
        <f t="shared" si="8"/>
        <v>-7422.5585100000062</v>
      </c>
      <c r="G31" s="176">
        <f t="shared" si="8"/>
        <v>-4039</v>
      </c>
      <c r="H31" s="176">
        <f t="shared" si="8"/>
        <v>-3484</v>
      </c>
      <c r="I31" s="176">
        <f t="shared" si="8"/>
        <v>-10565.16425</v>
      </c>
      <c r="J31" s="176">
        <f t="shared" si="8"/>
        <v>-6715.2463100000023</v>
      </c>
      <c r="K31" s="176">
        <f t="shared" si="8"/>
        <v>-19697.012180000002</v>
      </c>
      <c r="L31" s="176">
        <f t="shared" si="8"/>
        <v>-10907.024739999992</v>
      </c>
      <c r="M31" s="176">
        <f t="shared" si="8"/>
        <v>-5728.9889400000029</v>
      </c>
      <c r="N31" s="176">
        <f t="shared" si="8"/>
        <v>-6776.5828400000064</v>
      </c>
      <c r="O31" s="176">
        <f t="shared" si="8"/>
        <v>-14491.63658</v>
      </c>
      <c r="P31" s="176">
        <f t="shared" si="8"/>
        <v>-6854.3634199999979</v>
      </c>
      <c r="Q31" s="176">
        <f t="shared" si="8"/>
        <v>-6710</v>
      </c>
      <c r="R31" s="176">
        <f t="shared" si="8"/>
        <v>-6739</v>
      </c>
      <c r="S31" s="176">
        <f t="shared" si="8"/>
        <v>-7232.5</v>
      </c>
      <c r="T31" s="176">
        <f t="shared" si="8"/>
        <v>-12774.5</v>
      </c>
      <c r="U31" s="176">
        <f t="shared" si="8"/>
        <v>-12235</v>
      </c>
      <c r="V31" s="176">
        <f t="shared" si="8"/>
        <v>-15573</v>
      </c>
      <c r="W31" s="176">
        <f t="shared" si="8"/>
        <v>-8192</v>
      </c>
      <c r="X31" s="176">
        <f t="shared" si="8"/>
        <v>-16209</v>
      </c>
      <c r="Y31" s="176">
        <f t="shared" si="8"/>
        <v>-9624</v>
      </c>
      <c r="Z31" s="176">
        <f t="shared" si="8"/>
        <v>-23097</v>
      </c>
      <c r="AA31" s="176">
        <f t="shared" si="8"/>
        <v>-7001.3419999999996</v>
      </c>
      <c r="AB31" s="176">
        <f t="shared" si="8"/>
        <v>-8161.0879999999997</v>
      </c>
      <c r="AC31" s="185">
        <v>-6980.1049999999996</v>
      </c>
      <c r="AD31" s="186">
        <v>-111881</v>
      </c>
      <c r="AE31" s="186">
        <v>-19699</v>
      </c>
      <c r="AF31" s="186">
        <v>-20767</v>
      </c>
      <c r="AG31" s="176">
        <f t="shared" ref="AG31:AS31" si="9">SUM(AG29:AG30)</f>
        <v>-20405</v>
      </c>
      <c r="AH31" s="176">
        <f t="shared" si="9"/>
        <v>33215.925000000003</v>
      </c>
      <c r="AI31" s="176">
        <f t="shared" si="9"/>
        <v>-12428</v>
      </c>
      <c r="AJ31" s="176">
        <f t="shared" si="9"/>
        <v>-25905</v>
      </c>
      <c r="AK31" s="176">
        <f t="shared" si="9"/>
        <v>-22008</v>
      </c>
      <c r="AL31" s="176">
        <f t="shared" si="9"/>
        <v>-20508</v>
      </c>
      <c r="AM31" s="189">
        <f t="shared" si="9"/>
        <v>-27565</v>
      </c>
      <c r="AN31" s="189">
        <f t="shared" si="9"/>
        <v>-40375</v>
      </c>
      <c r="AO31" s="189">
        <f t="shared" si="9"/>
        <v>-11498</v>
      </c>
      <c r="AP31" s="189">
        <f t="shared" si="9"/>
        <v>-14619</v>
      </c>
      <c r="AQ31" s="189">
        <f t="shared" si="9"/>
        <v>-20374</v>
      </c>
      <c r="AR31" s="189">
        <f t="shared" si="9"/>
        <v>-16928</v>
      </c>
      <c r="AS31" s="189">
        <f t="shared" si="9"/>
        <v>-21334</v>
      </c>
    </row>
    <row r="32" spans="1:45" x14ac:dyDescent="0.35">
      <c r="A32" s="172" t="s">
        <v>275</v>
      </c>
      <c r="C32" s="173">
        <v>-18074</v>
      </c>
      <c r="D32" s="173">
        <v>-60124.399139999994</v>
      </c>
      <c r="E32" s="173">
        <v>200080.39913999999</v>
      </c>
      <c r="F32" s="173">
        <v>-76731</v>
      </c>
      <c r="G32" s="173">
        <v>3185</v>
      </c>
      <c r="H32" s="173">
        <v>-196894</v>
      </c>
      <c r="I32" s="173">
        <v>275675.0514</v>
      </c>
      <c r="J32" s="173">
        <v>503177.88875000004</v>
      </c>
      <c r="K32" s="173">
        <v>86874</v>
      </c>
      <c r="L32" s="173">
        <v>500039.76731999998</v>
      </c>
      <c r="M32" s="173">
        <v>70473.418680000002</v>
      </c>
      <c r="N32" s="173">
        <v>116621.69929000002</v>
      </c>
      <c r="O32" s="173">
        <v>99791.695909999995</v>
      </c>
      <c r="P32" s="173">
        <v>173471.30408999999</v>
      </c>
      <c r="Q32" s="173">
        <v>183333</v>
      </c>
      <c r="R32" s="173">
        <v>185101</v>
      </c>
      <c r="S32" s="173">
        <v>49443</v>
      </c>
      <c r="T32" s="173">
        <v>123795</v>
      </c>
      <c r="U32" s="173">
        <v>315346</v>
      </c>
      <c r="V32" s="173">
        <v>505434</v>
      </c>
      <c r="W32" s="173">
        <v>79029</v>
      </c>
      <c r="X32" s="173">
        <v>143536</v>
      </c>
      <c r="Y32" s="173">
        <v>265786</v>
      </c>
      <c r="Z32" s="173">
        <v>679758</v>
      </c>
      <c r="AA32" s="173">
        <v>254358</v>
      </c>
      <c r="AB32" s="173">
        <v>429373</v>
      </c>
      <c r="AC32" s="184">
        <v>610551</v>
      </c>
      <c r="AD32" s="187">
        <v>1418914</v>
      </c>
      <c r="AE32" s="187">
        <v>475508</v>
      </c>
      <c r="AF32" s="187">
        <v>481044</v>
      </c>
      <c r="AG32" s="187">
        <v>789894</v>
      </c>
      <c r="AH32" s="187">
        <v>1401133</v>
      </c>
      <c r="AI32" s="187">
        <v>397494</v>
      </c>
      <c r="AJ32" s="187">
        <v>1053223</v>
      </c>
      <c r="AK32" s="187">
        <v>1369648</v>
      </c>
      <c r="AL32" s="187">
        <v>1186234</v>
      </c>
      <c r="AM32" s="188">
        <v>678638</v>
      </c>
      <c r="AN32" s="188">
        <v>7779</v>
      </c>
      <c r="AO32" s="188">
        <v>652959</v>
      </c>
      <c r="AP32" s="188">
        <v>555613</v>
      </c>
      <c r="AQ32" s="188">
        <v>517741</v>
      </c>
      <c r="AR32" s="188">
        <v>645818</v>
      </c>
      <c r="AS32" s="188">
        <v>926364</v>
      </c>
    </row>
    <row r="33" spans="1:45" ht="15" thickBot="1" x14ac:dyDescent="0.4">
      <c r="A33" s="174" t="s">
        <v>276</v>
      </c>
      <c r="C33" s="173">
        <v>-1153</v>
      </c>
      <c r="D33" s="173">
        <v>-1153</v>
      </c>
      <c r="E33" s="173">
        <v>-1154.6701200000002</v>
      </c>
      <c r="F33" s="173">
        <v>-1150.8900399999998</v>
      </c>
      <c r="G33" s="173">
        <v>-280.96375999999998</v>
      </c>
      <c r="H33" s="173">
        <v>-277.03624000000002</v>
      </c>
      <c r="I33" s="173">
        <v>-278.89128000000005</v>
      </c>
      <c r="J33" s="173">
        <v>-278.96376000000009</v>
      </c>
      <c r="K33" s="173">
        <v>-1676.8068600000001</v>
      </c>
      <c r="L33" s="173">
        <v>-1676.8068600000001</v>
      </c>
      <c r="M33" s="173">
        <v>-1676.8068599999997</v>
      </c>
      <c r="N33" s="173">
        <v>-1676.8068600000006</v>
      </c>
      <c r="O33" s="173">
        <v>-1593.3617099999999</v>
      </c>
      <c r="P33" s="173">
        <v>-1593.6382900000001</v>
      </c>
      <c r="Q33" s="173">
        <v>-1593</v>
      </c>
      <c r="R33" s="173">
        <v>-1593</v>
      </c>
      <c r="S33" s="173">
        <v>-1481</v>
      </c>
      <c r="T33" s="173">
        <v>-1480</v>
      </c>
      <c r="U33" s="173">
        <v>-1481</v>
      </c>
      <c r="V33" s="173">
        <v>-1481</v>
      </c>
      <c r="W33" s="173">
        <v>-2077</v>
      </c>
      <c r="X33" s="173"/>
      <c r="Y33" s="173"/>
      <c r="Z33" s="173"/>
      <c r="AA33" s="173">
        <v>-5080</v>
      </c>
      <c r="AB33" s="173">
        <v>-45535</v>
      </c>
      <c r="AC33" s="184">
        <v>-23304</v>
      </c>
      <c r="AD33" s="184">
        <v>73919</v>
      </c>
      <c r="AE33" s="184">
        <v>0</v>
      </c>
      <c r="AF33" s="184">
        <v>-49297</v>
      </c>
      <c r="AG33" s="184">
        <v>-83676</v>
      </c>
      <c r="AH33" s="184">
        <v>-24586</v>
      </c>
      <c r="AI33" s="184">
        <v>-24237</v>
      </c>
      <c r="AJ33" s="184">
        <v>-53473</v>
      </c>
      <c r="AK33" s="184"/>
      <c r="AL33" s="184">
        <v>-24263</v>
      </c>
      <c r="AM33" s="190">
        <v>-24278</v>
      </c>
      <c r="AN33" s="190">
        <v>-36566</v>
      </c>
      <c r="AO33" s="190">
        <v>-24309</v>
      </c>
      <c r="AP33" s="190">
        <v>-24309</v>
      </c>
      <c r="AQ33" s="190">
        <v>-19794</v>
      </c>
      <c r="AR33" s="190">
        <v>-10762</v>
      </c>
      <c r="AS33" s="190">
        <v>-10762</v>
      </c>
    </row>
    <row r="34" spans="1:45" ht="15" thickBot="1" x14ac:dyDescent="0.4">
      <c r="A34" s="175" t="s">
        <v>277</v>
      </c>
      <c r="C34" s="176">
        <f>SUM(C35:C36)</f>
        <v>11189</v>
      </c>
      <c r="D34" s="176">
        <f t="shared" ref="D34:AB34" si="10">SUM(D35:D36)</f>
        <v>25907.384850000002</v>
      </c>
      <c r="E34" s="176">
        <f t="shared" si="10"/>
        <v>9771.4728900000009</v>
      </c>
      <c r="F34" s="176">
        <f t="shared" si="10"/>
        <v>29688.964570000007</v>
      </c>
      <c r="G34" s="176">
        <f t="shared" si="10"/>
        <v>19769.874520000001</v>
      </c>
      <c r="H34" s="176">
        <f t="shared" si="10"/>
        <v>19807.125479999999</v>
      </c>
      <c r="I34" s="176">
        <f t="shared" si="10"/>
        <v>21707.856810000005</v>
      </c>
      <c r="J34" s="176">
        <f t="shared" si="10"/>
        <v>21030.612560000001</v>
      </c>
      <c r="K34" s="176">
        <f t="shared" si="10"/>
        <v>23344.658100000001</v>
      </c>
      <c r="L34" s="176">
        <f t="shared" si="10"/>
        <v>18021.564989999995</v>
      </c>
      <c r="M34" s="176">
        <f t="shared" si="10"/>
        <v>21443.580200000004</v>
      </c>
      <c r="N34" s="176">
        <f t="shared" si="10"/>
        <v>20808.742920000008</v>
      </c>
      <c r="O34" s="176">
        <f t="shared" si="10"/>
        <v>17139</v>
      </c>
      <c r="P34" s="176">
        <f t="shared" si="10"/>
        <v>19029</v>
      </c>
      <c r="Q34" s="176">
        <f t="shared" si="10"/>
        <v>20170</v>
      </c>
      <c r="R34" s="176">
        <f t="shared" si="10"/>
        <v>16348</v>
      </c>
      <c r="S34" s="176">
        <f t="shared" si="10"/>
        <v>11048</v>
      </c>
      <c r="T34" s="176">
        <f t="shared" si="10"/>
        <v>18214</v>
      </c>
      <c r="U34" s="176">
        <f t="shared" si="10"/>
        <v>10783</v>
      </c>
      <c r="V34" s="176">
        <f t="shared" si="10"/>
        <v>17018</v>
      </c>
      <c r="W34" s="176">
        <f t="shared" si="10"/>
        <v>-4179</v>
      </c>
      <c r="X34" s="176">
        <f t="shared" si="10"/>
        <v>-6259</v>
      </c>
      <c r="Y34" s="176">
        <f t="shared" si="10"/>
        <v>-8133</v>
      </c>
      <c r="Z34" s="176">
        <f t="shared" si="10"/>
        <v>-21654</v>
      </c>
      <c r="AA34" s="176">
        <f t="shared" si="10"/>
        <v>-29497</v>
      </c>
      <c r="AB34" s="176">
        <f t="shared" si="10"/>
        <v>-33601</v>
      </c>
      <c r="AC34" s="185">
        <v>-31617.999999999996</v>
      </c>
      <c r="AD34" s="186">
        <v>-68720</v>
      </c>
      <c r="AE34" s="186">
        <v>-15851.999999999998</v>
      </c>
      <c r="AF34" s="186">
        <v>-5249</v>
      </c>
      <c r="AG34" s="176">
        <f t="shared" ref="AG34:AS34" si="11">SUM(AG35:AG36)</f>
        <v>-7153</v>
      </c>
      <c r="AH34" s="176">
        <f t="shared" si="11"/>
        <v>-8244</v>
      </c>
      <c r="AI34" s="176">
        <f t="shared" si="11"/>
        <v>-7548</v>
      </c>
      <c r="AJ34" s="176">
        <f t="shared" si="11"/>
        <v>-110889</v>
      </c>
      <c r="AK34" s="176">
        <f t="shared" si="11"/>
        <v>40748</v>
      </c>
      <c r="AL34" s="176">
        <f t="shared" si="11"/>
        <v>420868</v>
      </c>
      <c r="AM34" s="189">
        <f t="shared" si="11"/>
        <v>-33375</v>
      </c>
      <c r="AN34" s="189">
        <f t="shared" si="11"/>
        <v>-87612</v>
      </c>
      <c r="AO34" s="189">
        <f t="shared" si="11"/>
        <v>-99584</v>
      </c>
      <c r="AP34" s="189">
        <f t="shared" si="11"/>
        <v>-38380</v>
      </c>
      <c r="AQ34" s="189">
        <f t="shared" si="11"/>
        <v>-414419</v>
      </c>
      <c r="AR34" s="189">
        <f t="shared" si="11"/>
        <v>-118143</v>
      </c>
      <c r="AS34" s="189">
        <f t="shared" si="11"/>
        <v>-192861</v>
      </c>
    </row>
    <row r="35" spans="1:45" x14ac:dyDescent="0.35">
      <c r="A35" s="172" t="s">
        <v>278</v>
      </c>
      <c r="C35" s="173">
        <v>23437</v>
      </c>
      <c r="D35" s="173">
        <v>28439.985710000001</v>
      </c>
      <c r="E35" s="173">
        <v>10983.792820000002</v>
      </c>
      <c r="F35" s="173">
        <v>24266.559920000007</v>
      </c>
      <c r="G35" s="173">
        <v>19769.874520000001</v>
      </c>
      <c r="H35" s="173">
        <v>19807.125479999999</v>
      </c>
      <c r="I35" s="173">
        <v>21713.230860000003</v>
      </c>
      <c r="J35" s="173">
        <v>22282.354230000004</v>
      </c>
      <c r="K35" s="173">
        <v>23391.087</v>
      </c>
      <c r="L35" s="173">
        <v>24166.484299999996</v>
      </c>
      <c r="M35" s="173">
        <v>21373.582160000005</v>
      </c>
      <c r="N35" s="173">
        <v>20926.952480000007</v>
      </c>
      <c r="O35" s="173">
        <v>17139</v>
      </c>
      <c r="P35" s="173">
        <v>19030</v>
      </c>
      <c r="Q35" s="173">
        <v>20173</v>
      </c>
      <c r="R35" s="173">
        <v>16351</v>
      </c>
      <c r="S35" s="173">
        <v>15372</v>
      </c>
      <c r="T35" s="173">
        <v>19566</v>
      </c>
      <c r="U35" s="173">
        <v>11016</v>
      </c>
      <c r="V35" s="173">
        <v>22057</v>
      </c>
      <c r="W35" s="173">
        <v>17803</v>
      </c>
      <c r="X35" s="173">
        <v>15907</v>
      </c>
      <c r="Y35" s="173">
        <v>15750</v>
      </c>
      <c r="Z35" s="173">
        <v>18927</v>
      </c>
      <c r="AA35" s="173">
        <v>9114</v>
      </c>
      <c r="AB35" s="173">
        <v>5658</v>
      </c>
      <c r="AC35" s="184">
        <v>8039</v>
      </c>
      <c r="AD35" s="187">
        <v>10522</v>
      </c>
      <c r="AE35" s="187">
        <v>11830</v>
      </c>
      <c r="AF35" s="187">
        <v>5453</v>
      </c>
      <c r="AG35" s="187">
        <v>3499</v>
      </c>
      <c r="AH35" s="187">
        <v>2251</v>
      </c>
      <c r="AI35" s="187">
        <v>2011</v>
      </c>
      <c r="AJ35" s="187">
        <v>4796</v>
      </c>
      <c r="AK35" s="187">
        <v>13447</v>
      </c>
      <c r="AL35" s="187">
        <v>445500</v>
      </c>
      <c r="AM35" s="188">
        <v>106479</v>
      </c>
      <c r="AN35" s="188">
        <v>62459</v>
      </c>
      <c r="AO35" s="188">
        <v>68874</v>
      </c>
      <c r="AP35" s="188">
        <v>126815</v>
      </c>
      <c r="AQ35" s="188">
        <v>115928</v>
      </c>
      <c r="AR35" s="188">
        <v>94923</v>
      </c>
      <c r="AS35" s="188">
        <v>109967</v>
      </c>
    </row>
    <row r="36" spans="1:45" ht="15" thickBot="1" x14ac:dyDescent="0.4">
      <c r="A36" s="174" t="s">
        <v>279</v>
      </c>
      <c r="C36" s="173">
        <v>-12248</v>
      </c>
      <c r="D36" s="173">
        <v>-2532.6008599999986</v>
      </c>
      <c r="E36" s="173">
        <v>-1212.3199300000015</v>
      </c>
      <c r="F36" s="173">
        <v>5422.4046500000004</v>
      </c>
      <c r="G36" s="173"/>
      <c r="H36" s="173"/>
      <c r="I36" s="173">
        <v>-5.3740500000000004</v>
      </c>
      <c r="J36" s="173">
        <v>-1251.7416700000017</v>
      </c>
      <c r="K36" s="173">
        <v>-46.428899999999999</v>
      </c>
      <c r="L36" s="173">
        <v>-6144.9193100000002</v>
      </c>
      <c r="M36" s="173">
        <v>69.998039999999492</v>
      </c>
      <c r="N36" s="173">
        <v>-118.20955999999933</v>
      </c>
      <c r="O36" s="173"/>
      <c r="P36" s="173">
        <v>-1</v>
      </c>
      <c r="Q36" s="173">
        <v>-3</v>
      </c>
      <c r="R36" s="173">
        <v>-3</v>
      </c>
      <c r="S36" s="173">
        <v>-4324</v>
      </c>
      <c r="T36" s="173">
        <v>-1352</v>
      </c>
      <c r="U36" s="173">
        <v>-233</v>
      </c>
      <c r="V36" s="173">
        <v>-5039</v>
      </c>
      <c r="W36" s="173">
        <v>-21982</v>
      </c>
      <c r="X36" s="173">
        <v>-22166</v>
      </c>
      <c r="Y36" s="173">
        <v>-23883</v>
      </c>
      <c r="Z36" s="173">
        <v>-40581</v>
      </c>
      <c r="AA36" s="173">
        <v>-38611</v>
      </c>
      <c r="AB36" s="173">
        <v>-39259</v>
      </c>
      <c r="AC36" s="184">
        <v>-39657</v>
      </c>
      <c r="AD36" s="187">
        <v>-79242</v>
      </c>
      <c r="AE36" s="187">
        <v>-27682</v>
      </c>
      <c r="AF36" s="187">
        <v>-10702</v>
      </c>
      <c r="AG36" s="187">
        <v>-10652</v>
      </c>
      <c r="AH36" s="187">
        <v>-10495</v>
      </c>
      <c r="AI36" s="187">
        <v>-9559</v>
      </c>
      <c r="AJ36" s="187">
        <v>-115685</v>
      </c>
      <c r="AK36" s="187">
        <v>27301</v>
      </c>
      <c r="AL36" s="187">
        <v>-24632</v>
      </c>
      <c r="AM36" s="188">
        <v>-139854</v>
      </c>
      <c r="AN36" s="188">
        <v>-150071</v>
      </c>
      <c r="AO36" s="188">
        <v>-168458</v>
      </c>
      <c r="AP36" s="188">
        <v>-165195</v>
      </c>
      <c r="AQ36" s="188">
        <v>-530347</v>
      </c>
      <c r="AR36" s="188">
        <v>-213066</v>
      </c>
      <c r="AS36" s="188">
        <v>-302828</v>
      </c>
    </row>
    <row r="37" spans="1:45" ht="15" thickBot="1" x14ac:dyDescent="0.4">
      <c r="A37" s="180" t="s">
        <v>280</v>
      </c>
      <c r="C37" s="176">
        <f>C31+C32+C33+C34</f>
        <v>-24593</v>
      </c>
      <c r="D37" s="176">
        <f t="shared" ref="D37:AB37" si="12">D31+D32+D33+D34</f>
        <v>-44329.014289999992</v>
      </c>
      <c r="E37" s="176">
        <f t="shared" si="12"/>
        <v>204947.12205999999</v>
      </c>
      <c r="F37" s="176">
        <f t="shared" si="12"/>
        <v>-55615.48397999999</v>
      </c>
      <c r="G37" s="176">
        <f t="shared" si="12"/>
        <v>18634.910760000002</v>
      </c>
      <c r="H37" s="176">
        <f t="shared" si="12"/>
        <v>-180847.91076</v>
      </c>
      <c r="I37" s="176">
        <f t="shared" si="12"/>
        <v>286538.85268000007</v>
      </c>
      <c r="J37" s="176">
        <f t="shared" si="12"/>
        <v>517214.29123999999</v>
      </c>
      <c r="K37" s="176">
        <f t="shared" si="12"/>
        <v>88844.839059999998</v>
      </c>
      <c r="L37" s="176">
        <f t="shared" si="12"/>
        <v>505477.50070999999</v>
      </c>
      <c r="M37" s="176">
        <f t="shared" si="12"/>
        <v>84511.203080000007</v>
      </c>
      <c r="N37" s="176">
        <f t="shared" si="12"/>
        <v>128977.05251000002</v>
      </c>
      <c r="O37" s="176">
        <f t="shared" si="12"/>
        <v>100845.69761999999</v>
      </c>
      <c r="P37" s="176">
        <f t="shared" si="12"/>
        <v>184052.30237999998</v>
      </c>
      <c r="Q37" s="176">
        <f t="shared" si="12"/>
        <v>195200</v>
      </c>
      <c r="R37" s="176">
        <f t="shared" si="12"/>
        <v>193117</v>
      </c>
      <c r="S37" s="176">
        <f t="shared" si="12"/>
        <v>51777.5</v>
      </c>
      <c r="T37" s="176">
        <f t="shared" si="12"/>
        <v>127754.5</v>
      </c>
      <c r="U37" s="176">
        <f t="shared" si="12"/>
        <v>312413</v>
      </c>
      <c r="V37" s="176">
        <f t="shared" si="12"/>
        <v>505398</v>
      </c>
      <c r="W37" s="176">
        <f t="shared" si="12"/>
        <v>64581</v>
      </c>
      <c r="X37" s="176">
        <f t="shared" si="12"/>
        <v>121068</v>
      </c>
      <c r="Y37" s="176">
        <f t="shared" si="12"/>
        <v>248029</v>
      </c>
      <c r="Z37" s="176">
        <f t="shared" si="12"/>
        <v>635007</v>
      </c>
      <c r="AA37" s="176">
        <f t="shared" si="12"/>
        <v>212779.658</v>
      </c>
      <c r="AB37" s="176">
        <f t="shared" si="12"/>
        <v>342075.91200000001</v>
      </c>
      <c r="AC37" s="185">
        <v>548648.89500000002</v>
      </c>
      <c r="AD37" s="186">
        <v>1312232</v>
      </c>
      <c r="AE37" s="186">
        <v>439957</v>
      </c>
      <c r="AF37" s="186">
        <v>405730.99999999994</v>
      </c>
      <c r="AG37" s="176">
        <f t="shared" ref="AG37:AS37" si="13">AG31+AG32+AG33+AG34</f>
        <v>678660</v>
      </c>
      <c r="AH37" s="176">
        <f t="shared" si="13"/>
        <v>1401518.925</v>
      </c>
      <c r="AI37" s="176">
        <f t="shared" si="13"/>
        <v>353281</v>
      </c>
      <c r="AJ37" s="176">
        <f t="shared" si="13"/>
        <v>862956</v>
      </c>
      <c r="AK37" s="176">
        <f t="shared" si="13"/>
        <v>1388388</v>
      </c>
      <c r="AL37" s="176">
        <f t="shared" si="13"/>
        <v>1562331</v>
      </c>
      <c r="AM37" s="176">
        <f t="shared" si="13"/>
        <v>593420</v>
      </c>
      <c r="AN37" s="176">
        <f t="shared" si="13"/>
        <v>-156774</v>
      </c>
      <c r="AO37" s="176">
        <f t="shared" si="13"/>
        <v>517568</v>
      </c>
      <c r="AP37" s="176">
        <f t="shared" si="13"/>
        <v>478305</v>
      </c>
      <c r="AQ37" s="176">
        <f t="shared" si="13"/>
        <v>63154</v>
      </c>
      <c r="AR37" s="176">
        <f t="shared" si="13"/>
        <v>499985</v>
      </c>
      <c r="AS37" s="176">
        <f t="shared" si="13"/>
        <v>701407</v>
      </c>
    </row>
    <row r="38" spans="1:45" x14ac:dyDescent="0.35">
      <c r="A38" s="172" t="s">
        <v>281</v>
      </c>
      <c r="C38" s="173"/>
      <c r="D38" s="173"/>
      <c r="E38" s="173">
        <v>-1394</v>
      </c>
      <c r="F38" s="173">
        <v>-1728.7580699999999</v>
      </c>
      <c r="G38" s="173">
        <v>-1064.4675099999999</v>
      </c>
      <c r="H38" s="173">
        <v>-1106.3941199999999</v>
      </c>
      <c r="I38" s="173">
        <v>-1111.9614999999999</v>
      </c>
      <c r="J38" s="173">
        <v>2274.8680599999998</v>
      </c>
      <c r="K38" s="173">
        <v>-921.81399999999996</v>
      </c>
      <c r="L38" s="173">
        <v>-1335.8954300000005</v>
      </c>
      <c r="M38" s="173">
        <v>-822.57741999999962</v>
      </c>
      <c r="N38" s="173">
        <v>3251.6011699999999</v>
      </c>
      <c r="O38" s="173">
        <v>-820.04539999999997</v>
      </c>
      <c r="P38" s="173">
        <v>-1395.9546</v>
      </c>
      <c r="Q38" s="173">
        <v>-2291</v>
      </c>
      <c r="R38" s="173">
        <v>3958</v>
      </c>
      <c r="S38" s="173">
        <v>-609.4</v>
      </c>
      <c r="T38" s="173">
        <v>-1007.6</v>
      </c>
      <c r="U38" s="173">
        <v>-195</v>
      </c>
      <c r="V38" s="173">
        <v>957</v>
      </c>
      <c r="W38" s="173">
        <v>0</v>
      </c>
      <c r="X38" s="173">
        <v>0</v>
      </c>
      <c r="Y38" s="173">
        <v>0</v>
      </c>
      <c r="Z38" s="173">
        <v>0</v>
      </c>
      <c r="AA38" s="173"/>
      <c r="AB38" s="173"/>
      <c r="AC38" s="184">
        <v>0</v>
      </c>
      <c r="AD38" s="184">
        <v>0</v>
      </c>
      <c r="AE38" s="184">
        <v>0</v>
      </c>
      <c r="AF38" s="184">
        <v>0</v>
      </c>
      <c r="AG38" s="184">
        <v>0</v>
      </c>
      <c r="AH38" s="184">
        <v>0</v>
      </c>
      <c r="AI38" s="184">
        <v>0</v>
      </c>
      <c r="AJ38" s="184">
        <v>0</v>
      </c>
      <c r="AK38" s="184">
        <v>0</v>
      </c>
      <c r="AL38" s="184"/>
      <c r="AM38" s="184"/>
      <c r="AN38" s="184"/>
      <c r="AO38" s="184">
        <v>0</v>
      </c>
      <c r="AP38" s="184"/>
      <c r="AQ38" s="184"/>
      <c r="AR38" s="184"/>
      <c r="AS38" s="184"/>
    </row>
    <row r="39" spans="1:45" x14ac:dyDescent="0.35">
      <c r="A39" s="172" t="s">
        <v>282</v>
      </c>
      <c r="C39" s="173"/>
      <c r="D39" s="173"/>
      <c r="E39" s="173">
        <v>-3853.3856700000001</v>
      </c>
      <c r="F39" s="173">
        <v>-4796.6143300000003</v>
      </c>
      <c r="G39" s="173">
        <v>-2950.8541700000001</v>
      </c>
      <c r="H39" s="173">
        <v>-3067.3148899999992</v>
      </c>
      <c r="I39" s="173">
        <v>-3528.4386999999997</v>
      </c>
      <c r="J39" s="173">
        <v>6771.607759999999</v>
      </c>
      <c r="K39" s="173">
        <v>-2554.5944500000001</v>
      </c>
      <c r="L39" s="173">
        <v>-4028.6577299999994</v>
      </c>
      <c r="M39" s="173">
        <v>-3264.8683400000009</v>
      </c>
      <c r="N39" s="173">
        <v>10347.995989999999</v>
      </c>
      <c r="O39" s="173">
        <v>-2271.9038799999998</v>
      </c>
      <c r="P39" s="173">
        <v>-3872.0961200000002</v>
      </c>
      <c r="Q39" s="173">
        <v>-4188</v>
      </c>
      <c r="R39" s="173">
        <v>8832</v>
      </c>
      <c r="S39" s="173">
        <v>-1685</v>
      </c>
      <c r="T39" s="173">
        <v>-2794</v>
      </c>
      <c r="U39" s="173">
        <v>-536</v>
      </c>
      <c r="V39" s="173">
        <v>2656</v>
      </c>
      <c r="W39" s="173">
        <v>0</v>
      </c>
      <c r="X39" s="173">
        <v>0</v>
      </c>
      <c r="Y39" s="173">
        <v>0</v>
      </c>
      <c r="Z39" s="173">
        <v>0</v>
      </c>
      <c r="AA39" s="173"/>
      <c r="AB39" s="173"/>
      <c r="AC39" s="184">
        <v>0</v>
      </c>
      <c r="AD39" s="184">
        <v>0</v>
      </c>
      <c r="AE39" s="184">
        <v>0</v>
      </c>
      <c r="AF39" s="184">
        <v>0</v>
      </c>
      <c r="AG39" s="184">
        <v>0</v>
      </c>
      <c r="AH39" s="184">
        <v>0</v>
      </c>
      <c r="AI39" s="184">
        <v>0</v>
      </c>
      <c r="AJ39" s="184">
        <v>0</v>
      </c>
      <c r="AK39" s="184">
        <v>0</v>
      </c>
      <c r="AL39" s="184"/>
      <c r="AM39" s="184"/>
      <c r="AN39" s="184"/>
      <c r="AO39" s="184">
        <v>0</v>
      </c>
      <c r="AP39" s="184"/>
      <c r="AQ39" s="184"/>
      <c r="AR39" s="184"/>
      <c r="AS39" s="184"/>
    </row>
    <row r="40" spans="1:45" x14ac:dyDescent="0.35">
      <c r="A40" s="172" t="s">
        <v>283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>
        <v>0</v>
      </c>
      <c r="R40" s="173"/>
      <c r="S40" s="173">
        <v>0</v>
      </c>
      <c r="T40" s="173">
        <v>3134</v>
      </c>
      <c r="U40" s="173">
        <v>0</v>
      </c>
      <c r="V40" s="173">
        <v>0</v>
      </c>
      <c r="W40" s="173">
        <v>0</v>
      </c>
      <c r="X40" s="173">
        <v>0</v>
      </c>
      <c r="Y40" s="173">
        <v>0</v>
      </c>
      <c r="Z40" s="173">
        <v>0</v>
      </c>
      <c r="AA40" s="173"/>
      <c r="AB40" s="173"/>
      <c r="AC40" s="184">
        <v>0</v>
      </c>
      <c r="AD40" s="184">
        <v>0</v>
      </c>
      <c r="AE40" s="184">
        <v>0</v>
      </c>
      <c r="AF40" s="184">
        <v>0</v>
      </c>
      <c r="AG40" s="184">
        <v>0</v>
      </c>
      <c r="AH40" s="184">
        <v>0</v>
      </c>
      <c r="AI40" s="184">
        <v>0</v>
      </c>
      <c r="AJ40" s="184">
        <v>0</v>
      </c>
      <c r="AK40" s="184">
        <v>0</v>
      </c>
      <c r="AL40" s="184">
        <v>-140465</v>
      </c>
      <c r="AM40" s="184">
        <v>-13344</v>
      </c>
      <c r="AN40" s="184">
        <v>-13529</v>
      </c>
      <c r="AO40" s="184">
        <v>-13307</v>
      </c>
      <c r="AP40" s="184">
        <v>-18311</v>
      </c>
      <c r="AQ40" s="184">
        <v>100532</v>
      </c>
      <c r="AR40" s="184">
        <v>17714</v>
      </c>
      <c r="AS40" s="184">
        <v>18615</v>
      </c>
    </row>
    <row r="41" spans="1:45" ht="15" thickBot="1" x14ac:dyDescent="0.4">
      <c r="A41" s="174" t="s">
        <v>284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>
        <v>0</v>
      </c>
      <c r="R41" s="173"/>
      <c r="S41" s="173">
        <v>0</v>
      </c>
      <c r="T41" s="173">
        <v>0</v>
      </c>
      <c r="U41" s="173">
        <v>0</v>
      </c>
      <c r="V41" s="173">
        <v>0</v>
      </c>
      <c r="W41" s="173">
        <v>0</v>
      </c>
      <c r="X41" s="173">
        <v>0</v>
      </c>
      <c r="Y41" s="173">
        <v>0</v>
      </c>
      <c r="Z41" s="173">
        <v>0</v>
      </c>
      <c r="AA41" s="173"/>
      <c r="AB41" s="173"/>
      <c r="AC41" s="184">
        <v>0</v>
      </c>
      <c r="AD41" s="184">
        <v>0</v>
      </c>
      <c r="AE41" s="184">
        <v>0</v>
      </c>
      <c r="AF41" s="184">
        <v>0</v>
      </c>
      <c r="AG41" s="184">
        <v>0</v>
      </c>
      <c r="AH41" s="184">
        <v>0</v>
      </c>
      <c r="AI41" s="184">
        <v>0</v>
      </c>
      <c r="AJ41" s="184">
        <v>0</v>
      </c>
      <c r="AK41" s="184">
        <v>0</v>
      </c>
      <c r="AL41" s="184"/>
      <c r="AM41" s="184"/>
      <c r="AN41" s="184"/>
      <c r="AO41" s="184"/>
      <c r="AP41" s="184"/>
      <c r="AQ41" s="184"/>
      <c r="AR41" s="184"/>
      <c r="AS41" s="184"/>
    </row>
    <row r="42" spans="1:45" ht="15" thickBot="1" x14ac:dyDescent="0.4">
      <c r="A42" s="175" t="s">
        <v>285</v>
      </c>
      <c r="C42" s="176">
        <f>SUM(C37:C41)</f>
        <v>-24593</v>
      </c>
      <c r="D42" s="176">
        <f t="shared" ref="D42:AB42" si="14">SUM(D37:D41)</f>
        <v>-44329.014289999992</v>
      </c>
      <c r="E42" s="176">
        <f t="shared" si="14"/>
        <v>199699.73639000001</v>
      </c>
      <c r="F42" s="176">
        <f t="shared" si="14"/>
        <v>-62140.856379999983</v>
      </c>
      <c r="G42" s="176">
        <f t="shared" si="14"/>
        <v>14619.589080000003</v>
      </c>
      <c r="H42" s="176">
        <f t="shared" si="14"/>
        <v>-185021.61977000002</v>
      </c>
      <c r="I42" s="176">
        <f t="shared" si="14"/>
        <v>281898.45248000009</v>
      </c>
      <c r="J42" s="176">
        <f t="shared" si="14"/>
        <v>526260.76705999998</v>
      </c>
      <c r="K42" s="176">
        <f t="shared" si="14"/>
        <v>85368.430609999996</v>
      </c>
      <c r="L42" s="176">
        <f t="shared" si="14"/>
        <v>500112.94755000004</v>
      </c>
      <c r="M42" s="176">
        <f t="shared" si="14"/>
        <v>80423.757320000004</v>
      </c>
      <c r="N42" s="176">
        <f t="shared" si="14"/>
        <v>142576.64967000001</v>
      </c>
      <c r="O42" s="176">
        <f t="shared" si="14"/>
        <v>97753.748339999991</v>
      </c>
      <c r="P42" s="176">
        <f t="shared" si="14"/>
        <v>178784.25165999998</v>
      </c>
      <c r="Q42" s="176">
        <f t="shared" si="14"/>
        <v>188721</v>
      </c>
      <c r="R42" s="176">
        <f t="shared" si="14"/>
        <v>205907</v>
      </c>
      <c r="S42" s="176">
        <f t="shared" si="14"/>
        <v>49483.1</v>
      </c>
      <c r="T42" s="176">
        <f t="shared" si="14"/>
        <v>127086.9</v>
      </c>
      <c r="U42" s="176">
        <f t="shared" si="14"/>
        <v>311682</v>
      </c>
      <c r="V42" s="176">
        <f t="shared" si="14"/>
        <v>509011</v>
      </c>
      <c r="W42" s="176">
        <f t="shared" si="14"/>
        <v>64581</v>
      </c>
      <c r="X42" s="176">
        <f t="shared" si="14"/>
        <v>121068</v>
      </c>
      <c r="Y42" s="176">
        <f t="shared" si="14"/>
        <v>248029</v>
      </c>
      <c r="Z42" s="176">
        <f t="shared" si="14"/>
        <v>635007</v>
      </c>
      <c r="AA42" s="176">
        <f t="shared" si="14"/>
        <v>212779.658</v>
      </c>
      <c r="AB42" s="176">
        <f t="shared" si="14"/>
        <v>342075.91200000001</v>
      </c>
      <c r="AC42" s="185">
        <v>548648.89500000002</v>
      </c>
      <c r="AD42" s="186">
        <v>1312232</v>
      </c>
      <c r="AE42" s="186">
        <v>439957</v>
      </c>
      <c r="AF42" s="186">
        <v>405730.99999999994</v>
      </c>
      <c r="AG42" s="176">
        <f t="shared" ref="AG42:AS42" si="15">SUM(AG37:AG41)</f>
        <v>678660</v>
      </c>
      <c r="AH42" s="176">
        <f t="shared" si="15"/>
        <v>1401518.925</v>
      </c>
      <c r="AI42" s="176">
        <f t="shared" si="15"/>
        <v>353281</v>
      </c>
      <c r="AJ42" s="176">
        <f t="shared" si="15"/>
        <v>862956</v>
      </c>
      <c r="AK42" s="176">
        <f t="shared" si="15"/>
        <v>1388388</v>
      </c>
      <c r="AL42" s="176">
        <f t="shared" si="15"/>
        <v>1421866</v>
      </c>
      <c r="AM42" s="176">
        <f t="shared" si="15"/>
        <v>580076</v>
      </c>
      <c r="AN42" s="176">
        <f t="shared" si="15"/>
        <v>-170303</v>
      </c>
      <c r="AO42" s="176">
        <f t="shared" si="15"/>
        <v>504261</v>
      </c>
      <c r="AP42" s="176">
        <f t="shared" si="15"/>
        <v>459994</v>
      </c>
      <c r="AQ42" s="176">
        <f t="shared" si="15"/>
        <v>163686</v>
      </c>
      <c r="AR42" s="176">
        <f t="shared" si="15"/>
        <v>517699</v>
      </c>
      <c r="AS42" s="176">
        <f t="shared" si="15"/>
        <v>720022</v>
      </c>
    </row>
    <row r="44" spans="1:45" x14ac:dyDescent="0.35">
      <c r="AN44" s="114"/>
      <c r="AO44" s="114"/>
      <c r="AP44" s="114"/>
      <c r="AQ44" s="114"/>
      <c r="AR44" s="114"/>
      <c r="AS44" s="114"/>
    </row>
  </sheetData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888F-EBEF-4403-A2FB-8378A32B0E88}">
  <sheetPr>
    <tabColor theme="9" tint="0.79998168889431442"/>
  </sheetPr>
  <dimension ref="B7:R48"/>
  <sheetViews>
    <sheetView showGridLines="0" zoomScale="85" zoomScaleNormal="85" workbookViewId="0"/>
  </sheetViews>
  <sheetFormatPr defaultRowHeight="13" x14ac:dyDescent="0.3"/>
  <cols>
    <col min="1" max="1" width="8.7265625" style="130"/>
    <col min="2" max="2" width="45.6328125" style="130" customWidth="1"/>
    <col min="3" max="18" width="13.26953125" style="130" customWidth="1"/>
    <col min="19" max="16384" width="8.7265625" style="130"/>
  </cols>
  <sheetData>
    <row r="7" spans="2:18" x14ac:dyDescent="0.3">
      <c r="B7" s="191" t="s">
        <v>306</v>
      </c>
    </row>
    <row r="8" spans="2:18" ht="28" customHeight="1" x14ac:dyDescent="0.3">
      <c r="B8" s="586" t="s">
        <v>307</v>
      </c>
      <c r="C8" s="587" t="s">
        <v>1</v>
      </c>
      <c r="D8" s="587" t="s">
        <v>2</v>
      </c>
      <c r="E8" s="587" t="s">
        <v>3</v>
      </c>
      <c r="F8" s="587" t="s">
        <v>4</v>
      </c>
      <c r="G8" s="587" t="s">
        <v>5</v>
      </c>
      <c r="H8" s="587" t="s">
        <v>6</v>
      </c>
      <c r="I8" s="587" t="s">
        <v>7</v>
      </c>
      <c r="J8" s="587" t="s">
        <v>90</v>
      </c>
      <c r="K8" s="587" t="s">
        <v>96</v>
      </c>
      <c r="L8" s="587" t="s">
        <v>92</v>
      </c>
      <c r="M8" s="587" t="s">
        <v>93</v>
      </c>
      <c r="N8" s="587" t="s">
        <v>101</v>
      </c>
      <c r="O8" s="587" t="s">
        <v>308</v>
      </c>
      <c r="P8" s="588" t="s">
        <v>309</v>
      </c>
      <c r="Q8" s="587" t="s">
        <v>310</v>
      </c>
      <c r="R8" s="587" t="s">
        <v>143</v>
      </c>
    </row>
    <row r="9" spans="2:18" s="191" customFormat="1" x14ac:dyDescent="0.3">
      <c r="B9" s="192" t="s">
        <v>311</v>
      </c>
      <c r="C9" s="193">
        <v>1973.674753</v>
      </c>
      <c r="D9" s="193">
        <v>3587.2570820000001</v>
      </c>
      <c r="E9" s="193">
        <v>1103.0094710000001</v>
      </c>
      <c r="F9" s="193">
        <v>1079.42263</v>
      </c>
      <c r="G9" s="193">
        <v>1677.6352390000002</v>
      </c>
      <c r="H9" s="193">
        <v>431.26937199999998</v>
      </c>
      <c r="I9" s="193">
        <v>3060.7950380000002</v>
      </c>
      <c r="J9" s="193">
        <v>435.88969406249998</v>
      </c>
      <c r="K9" s="193">
        <v>293.36799999999999</v>
      </c>
      <c r="L9" s="193">
        <v>45.496302299999996</v>
      </c>
      <c r="M9" s="193">
        <v>177.58800000000002</v>
      </c>
      <c r="N9" s="193">
        <v>42.267000000000003</v>
      </c>
      <c r="O9" s="193">
        <v>0</v>
      </c>
      <c r="P9" s="193">
        <v>4.5270000000000001</v>
      </c>
      <c r="Q9" s="193">
        <v>-67.575999999999993</v>
      </c>
      <c r="R9" s="193">
        <v>13844.623581362499</v>
      </c>
    </row>
    <row r="10" spans="2:18" x14ac:dyDescent="0.3">
      <c r="B10" s="194" t="s">
        <v>247</v>
      </c>
      <c r="C10" s="195">
        <v>1538.1219289999999</v>
      </c>
      <c r="D10" s="195">
        <v>2522.4162289999999</v>
      </c>
      <c r="E10" s="195">
        <v>882.574206</v>
      </c>
      <c r="F10" s="195">
        <v>814.70129000000009</v>
      </c>
      <c r="G10" s="195">
        <v>1266.0381100000002</v>
      </c>
      <c r="H10" s="195">
        <v>292.26659100000001</v>
      </c>
      <c r="I10" s="195">
        <v>2183.2200849999999</v>
      </c>
      <c r="J10" s="195">
        <v>0</v>
      </c>
      <c r="K10" s="195">
        <v>0</v>
      </c>
      <c r="L10" s="195">
        <v>0</v>
      </c>
      <c r="M10" s="195">
        <v>67.161000000000001</v>
      </c>
      <c r="N10" s="195">
        <v>0</v>
      </c>
      <c r="O10" s="195">
        <v>0</v>
      </c>
      <c r="P10" s="195">
        <v>0</v>
      </c>
      <c r="Q10" s="195">
        <v>0</v>
      </c>
      <c r="R10" s="195">
        <v>9566.4994399999996</v>
      </c>
    </row>
    <row r="11" spans="2:18" x14ac:dyDescent="0.3">
      <c r="B11" s="194" t="s">
        <v>248</v>
      </c>
      <c r="C11" s="195">
        <v>2.400274</v>
      </c>
      <c r="D11" s="195">
        <v>6.9180450000000002</v>
      </c>
      <c r="E11" s="195">
        <v>7.6543339999999995</v>
      </c>
      <c r="F11" s="195">
        <v>16.118569000000001</v>
      </c>
      <c r="G11" s="195">
        <v>47.653154000000001</v>
      </c>
      <c r="H11" s="195">
        <v>5.0958259999999997</v>
      </c>
      <c r="I11" s="195">
        <v>24.497640999999998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110.33784300000001</v>
      </c>
    </row>
    <row r="12" spans="2:18" x14ac:dyDescent="0.3">
      <c r="B12" s="194" t="s">
        <v>249</v>
      </c>
      <c r="C12" s="195">
        <v>323.57700499999999</v>
      </c>
      <c r="D12" s="195">
        <v>603.92206899999996</v>
      </c>
      <c r="E12" s="195">
        <v>150.423709</v>
      </c>
      <c r="F12" s="195">
        <v>165.968278</v>
      </c>
      <c r="G12" s="195">
        <v>175.068094</v>
      </c>
      <c r="H12" s="195">
        <v>98.854545000000002</v>
      </c>
      <c r="I12" s="195">
        <v>385.92205000000001</v>
      </c>
      <c r="J12" s="195">
        <v>61.013017999999995</v>
      </c>
      <c r="K12" s="195">
        <v>0</v>
      </c>
      <c r="L12" s="195">
        <v>0</v>
      </c>
      <c r="M12" s="195">
        <v>0</v>
      </c>
      <c r="N12" s="195">
        <v>23.013000000000002</v>
      </c>
      <c r="O12" s="195">
        <v>0</v>
      </c>
      <c r="P12" s="195">
        <v>0</v>
      </c>
      <c r="Q12" s="195">
        <v>0</v>
      </c>
      <c r="R12" s="195">
        <v>1987.7617679999998</v>
      </c>
    </row>
    <row r="13" spans="2:18" x14ac:dyDescent="0.3">
      <c r="B13" s="194" t="s">
        <v>250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</row>
    <row r="14" spans="2:18" x14ac:dyDescent="0.3">
      <c r="B14" s="194" t="s">
        <v>251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  <c r="J14" s="195">
        <v>47.764966000000001</v>
      </c>
      <c r="K14" s="195">
        <v>0</v>
      </c>
      <c r="L14" s="195">
        <v>2.7999019999999999</v>
      </c>
      <c r="M14" s="195">
        <v>0</v>
      </c>
      <c r="N14" s="195">
        <v>0</v>
      </c>
      <c r="O14" s="195">
        <v>0</v>
      </c>
      <c r="P14" s="195">
        <v>0</v>
      </c>
      <c r="Q14" s="195">
        <v>0</v>
      </c>
      <c r="R14" s="195">
        <v>50.564868000000004</v>
      </c>
    </row>
    <row r="15" spans="2:18" x14ac:dyDescent="0.3">
      <c r="B15" s="194" t="s">
        <v>252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281.81200000000001</v>
      </c>
      <c r="L15" s="195">
        <v>0</v>
      </c>
      <c r="M15" s="195">
        <v>0</v>
      </c>
      <c r="N15" s="195">
        <v>0</v>
      </c>
      <c r="O15" s="195">
        <v>0</v>
      </c>
      <c r="P15" s="195">
        <v>4.5270000000000001</v>
      </c>
      <c r="Q15" s="195">
        <v>0</v>
      </c>
      <c r="R15" s="195">
        <v>286.339</v>
      </c>
    </row>
    <row r="16" spans="2:18" x14ac:dyDescent="0.3">
      <c r="B16" s="194" t="s">
        <v>253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18.779</v>
      </c>
      <c r="O16" s="195">
        <v>0</v>
      </c>
      <c r="P16" s="195">
        <v>0</v>
      </c>
      <c r="Q16" s="195">
        <v>0</v>
      </c>
      <c r="R16" s="195">
        <v>18.779</v>
      </c>
    </row>
    <row r="17" spans="2:18" x14ac:dyDescent="0.3">
      <c r="B17" s="194" t="s">
        <v>254</v>
      </c>
      <c r="C17" s="195">
        <v>109.57554500000001</v>
      </c>
      <c r="D17" s="195">
        <v>454.00073900000001</v>
      </c>
      <c r="E17" s="195">
        <v>62.357222</v>
      </c>
      <c r="F17" s="195">
        <v>82.634493000000006</v>
      </c>
      <c r="G17" s="195">
        <v>188.87588099999999</v>
      </c>
      <c r="H17" s="195">
        <v>35.052410000000002</v>
      </c>
      <c r="I17" s="195">
        <v>467.15526199999999</v>
      </c>
      <c r="J17" s="195">
        <v>327.11171006249998</v>
      </c>
      <c r="K17" s="195">
        <v>11.555999999999999</v>
      </c>
      <c r="L17" s="195">
        <v>42.696400299999993</v>
      </c>
      <c r="M17" s="195">
        <v>110.42700000000001</v>
      </c>
      <c r="N17" s="195">
        <v>0.47499999999999998</v>
      </c>
      <c r="O17" s="195">
        <v>0</v>
      </c>
      <c r="P17" s="195">
        <v>0</v>
      </c>
      <c r="Q17" s="195">
        <v>-67.575999999999993</v>
      </c>
      <c r="R17" s="195">
        <v>1824.3416623624998</v>
      </c>
    </row>
    <row r="18" spans="2:18" s="191" customFormat="1" x14ac:dyDescent="0.3">
      <c r="B18" s="196" t="s">
        <v>305</v>
      </c>
      <c r="C18" s="197">
        <v>-498.66381800000005</v>
      </c>
      <c r="D18" s="197">
        <v>-808.149179</v>
      </c>
      <c r="E18" s="197">
        <v>-327.67408500000005</v>
      </c>
      <c r="F18" s="197">
        <v>-306.56554299999999</v>
      </c>
      <c r="G18" s="197">
        <v>-476.639951</v>
      </c>
      <c r="H18" s="197">
        <v>-92.613144000000005</v>
      </c>
      <c r="I18" s="197">
        <v>-902.72777399999995</v>
      </c>
      <c r="J18" s="197">
        <v>-25.613230062499998</v>
      </c>
      <c r="K18" s="197">
        <v>-10.141</v>
      </c>
      <c r="L18" s="197">
        <v>-3.6002199999999998</v>
      </c>
      <c r="M18" s="197">
        <v>-23.623999999999999</v>
      </c>
      <c r="N18" s="197">
        <v>-1.7769999999999999</v>
      </c>
      <c r="O18" s="197">
        <v>0</v>
      </c>
      <c r="P18" s="197">
        <v>-0.44700000000000001</v>
      </c>
      <c r="Q18" s="197">
        <v>0</v>
      </c>
      <c r="R18" s="197">
        <v>-3478.2359440624996</v>
      </c>
    </row>
    <row r="19" spans="2:18" s="191" customFormat="1" x14ac:dyDescent="0.3">
      <c r="B19" s="192" t="s">
        <v>256</v>
      </c>
      <c r="C19" s="193">
        <v>1475.010935</v>
      </c>
      <c r="D19" s="193">
        <v>2779.1079030000001</v>
      </c>
      <c r="E19" s="193">
        <v>775.33538599999997</v>
      </c>
      <c r="F19" s="193">
        <v>772.85708700000009</v>
      </c>
      <c r="G19" s="193">
        <v>1200.9952880000001</v>
      </c>
      <c r="H19" s="193">
        <v>338.65622799999994</v>
      </c>
      <c r="I19" s="193">
        <v>2158.0672640000003</v>
      </c>
      <c r="J19" s="193">
        <v>410.27646399999998</v>
      </c>
      <c r="K19" s="193">
        <v>283.22699999999998</v>
      </c>
      <c r="L19" s="193">
        <v>41.896082299999996</v>
      </c>
      <c r="M19" s="193">
        <v>153.96400000000003</v>
      </c>
      <c r="N19" s="193">
        <v>40.49</v>
      </c>
      <c r="O19" s="193">
        <v>0</v>
      </c>
      <c r="P19" s="193">
        <v>4.08</v>
      </c>
      <c r="Q19" s="193">
        <v>-67.575999999999993</v>
      </c>
      <c r="R19" s="193">
        <v>10366.387637299998</v>
      </c>
    </row>
    <row r="20" spans="2:18" s="191" customFormat="1" x14ac:dyDescent="0.3">
      <c r="B20" s="196" t="s">
        <v>257</v>
      </c>
      <c r="C20" s="197">
        <v>-932.48792000000003</v>
      </c>
      <c r="D20" s="197">
        <v>-1499.1962159999998</v>
      </c>
      <c r="E20" s="197">
        <v>-488.63747599999999</v>
      </c>
      <c r="F20" s="197">
        <v>-499.905597</v>
      </c>
      <c r="G20" s="197">
        <v>-891.87108799999999</v>
      </c>
      <c r="H20" s="197">
        <v>-226.07150300000001</v>
      </c>
      <c r="I20" s="197">
        <v>-1423.3409030000003</v>
      </c>
      <c r="J20" s="197">
        <v>-53.586459000000005</v>
      </c>
      <c r="K20" s="197">
        <v>-2.6779999999999999</v>
      </c>
      <c r="L20" s="197">
        <v>0</v>
      </c>
      <c r="M20" s="197">
        <v>-52.338999999999999</v>
      </c>
      <c r="N20" s="197">
        <v>-23.013000000000002</v>
      </c>
      <c r="O20" s="197">
        <v>0</v>
      </c>
      <c r="P20" s="197">
        <v>-4.5910000000000002</v>
      </c>
      <c r="Q20" s="197">
        <v>0</v>
      </c>
      <c r="R20" s="197">
        <v>-6097.8634549999988</v>
      </c>
    </row>
    <row r="21" spans="2:18" x14ac:dyDescent="0.3">
      <c r="B21" s="194" t="s">
        <v>258</v>
      </c>
      <c r="C21" s="195">
        <v>-599.6635060000001</v>
      </c>
      <c r="D21" s="195">
        <v>-884.53696699999989</v>
      </c>
      <c r="E21" s="195">
        <v>-345.20453999999995</v>
      </c>
      <c r="F21" s="195">
        <v>-331.27722899999998</v>
      </c>
      <c r="G21" s="195">
        <v>-662.03996200000006</v>
      </c>
      <c r="H21" s="195">
        <v>-39.671879000000004</v>
      </c>
      <c r="I21" s="195">
        <v>-776.35903000000008</v>
      </c>
      <c r="J21" s="195">
        <v>0</v>
      </c>
      <c r="K21" s="195">
        <v>-2.6779999999999999</v>
      </c>
      <c r="L21" s="195">
        <v>0</v>
      </c>
      <c r="M21" s="195">
        <v>-52.338999999999999</v>
      </c>
      <c r="N21" s="195">
        <v>0</v>
      </c>
      <c r="O21" s="195">
        <v>0</v>
      </c>
      <c r="P21" s="195">
        <v>-4.5910000000000002</v>
      </c>
      <c r="Q21" s="195">
        <v>0</v>
      </c>
      <c r="R21" s="195">
        <v>-3698.3611129999995</v>
      </c>
    </row>
    <row r="22" spans="2:18" x14ac:dyDescent="0.3">
      <c r="B22" s="194" t="s">
        <v>260</v>
      </c>
      <c r="C22" s="195">
        <v>-9.2474089999999993</v>
      </c>
      <c r="D22" s="195">
        <v>-10.73718</v>
      </c>
      <c r="E22" s="195">
        <v>6.9907729999999999</v>
      </c>
      <c r="F22" s="195">
        <v>-2.6600900000000003</v>
      </c>
      <c r="G22" s="195">
        <v>-54.763032000000003</v>
      </c>
      <c r="H22" s="195">
        <v>-87.545079000000001</v>
      </c>
      <c r="I22" s="195">
        <v>-261.05982299999999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-419.02184</v>
      </c>
    </row>
    <row r="23" spans="2:18" x14ac:dyDescent="0.3">
      <c r="B23" s="194" t="s">
        <v>259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</row>
    <row r="24" spans="2:18" s="191" customFormat="1" x14ac:dyDescent="0.3">
      <c r="B24" s="192" t="s">
        <v>312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3">
        <v>0</v>
      </c>
      <c r="L24" s="193">
        <v>0</v>
      </c>
      <c r="M24" s="193">
        <v>0</v>
      </c>
      <c r="N24" s="193">
        <v>0</v>
      </c>
      <c r="O24" s="193">
        <v>0</v>
      </c>
      <c r="P24" s="193">
        <v>0</v>
      </c>
      <c r="Q24" s="193">
        <v>0</v>
      </c>
      <c r="R24" s="193">
        <v>0</v>
      </c>
    </row>
    <row r="25" spans="2:18" x14ac:dyDescent="0.3">
      <c r="B25" s="194" t="s">
        <v>261</v>
      </c>
      <c r="C25" s="195">
        <v>-323.57700499999999</v>
      </c>
      <c r="D25" s="195">
        <v>-603.92206899999996</v>
      </c>
      <c r="E25" s="195">
        <v>-150.423709</v>
      </c>
      <c r="F25" s="195">
        <v>-165.968278</v>
      </c>
      <c r="G25" s="195">
        <v>-175.068094</v>
      </c>
      <c r="H25" s="195">
        <v>-98.854545000000002</v>
      </c>
      <c r="I25" s="195">
        <v>-385.92205000000001</v>
      </c>
      <c r="J25" s="195">
        <v>-53.586459000000005</v>
      </c>
      <c r="K25" s="195">
        <v>0</v>
      </c>
      <c r="L25" s="195">
        <v>-0.14529300000000001</v>
      </c>
      <c r="M25" s="195">
        <v>0</v>
      </c>
      <c r="N25" s="195">
        <v>-23.013000000000002</v>
      </c>
      <c r="O25" s="195">
        <v>0</v>
      </c>
      <c r="P25" s="195">
        <v>0</v>
      </c>
      <c r="Q25" s="195">
        <v>0</v>
      </c>
      <c r="R25" s="195">
        <v>-1980.4805019999999</v>
      </c>
    </row>
    <row r="26" spans="2:18" x14ac:dyDescent="0.3">
      <c r="B26" s="194" t="s">
        <v>263</v>
      </c>
      <c r="C26" s="195">
        <v>542.52301499999999</v>
      </c>
      <c r="D26" s="195">
        <v>1279.9116870000003</v>
      </c>
      <c r="E26" s="195">
        <v>286.69790999999998</v>
      </c>
      <c r="F26" s="195">
        <v>272.95149000000009</v>
      </c>
      <c r="G26" s="195">
        <v>309.12420000000009</v>
      </c>
      <c r="H26" s="195">
        <v>112.58472499999993</v>
      </c>
      <c r="I26" s="195">
        <v>734.726361</v>
      </c>
      <c r="J26" s="195">
        <v>356.69000499999999</v>
      </c>
      <c r="K26" s="195">
        <v>280.54899999999998</v>
      </c>
      <c r="L26" s="195">
        <v>41.896082299999996</v>
      </c>
      <c r="M26" s="195">
        <v>101.62500000000003</v>
      </c>
      <c r="N26" s="195">
        <v>17.477</v>
      </c>
      <c r="O26" s="195">
        <v>0</v>
      </c>
      <c r="P26" s="195">
        <v>-0.51100000000000012</v>
      </c>
      <c r="Q26" s="195">
        <v>-67.575999999999993</v>
      </c>
      <c r="R26" s="195">
        <v>4268.5241822999997</v>
      </c>
    </row>
    <row r="27" spans="2:18" x14ac:dyDescent="0.3">
      <c r="B27" s="194" t="s">
        <v>264</v>
      </c>
      <c r="C27" s="195">
        <v>-222.62551400000001</v>
      </c>
      <c r="D27" s="195">
        <v>-287.50269099999997</v>
      </c>
      <c r="E27" s="195">
        <v>-106.295506</v>
      </c>
      <c r="F27" s="195">
        <v>-84.962980000000002</v>
      </c>
      <c r="G27" s="195">
        <v>-204.93373099999997</v>
      </c>
      <c r="H27" s="195">
        <v>-34.498052000000001</v>
      </c>
      <c r="I27" s="195">
        <v>-372.24604900000003</v>
      </c>
      <c r="J27" s="195">
        <v>-26.158899750000003</v>
      </c>
      <c r="K27" s="195">
        <v>-81.019000000000005</v>
      </c>
      <c r="L27" s="195">
        <v>-3.8403950000000004</v>
      </c>
      <c r="M27" s="195">
        <v>-55.514999999999993</v>
      </c>
      <c r="N27" s="195">
        <v>-34.11</v>
      </c>
      <c r="O27" s="195">
        <v>-21.315999999999999</v>
      </c>
      <c r="P27" s="195">
        <v>31.857000000000003</v>
      </c>
      <c r="Q27" s="195">
        <v>67.575999999999993</v>
      </c>
      <c r="R27" s="195">
        <v>-1435.5908177499998</v>
      </c>
    </row>
    <row r="28" spans="2:18" x14ac:dyDescent="0.3">
      <c r="B28" s="194" t="s">
        <v>265</v>
      </c>
      <c r="C28" s="195">
        <v>-54.536790000000003</v>
      </c>
      <c r="D28" s="195">
        <v>-41.614502999999999</v>
      </c>
      <c r="E28" s="195">
        <v>-26.372278999999999</v>
      </c>
      <c r="F28" s="195">
        <v>-20.981951000000002</v>
      </c>
      <c r="G28" s="195">
        <v>-57.834986000000001</v>
      </c>
      <c r="H28" s="195">
        <v>-7.4191229999999999</v>
      </c>
      <c r="I28" s="195">
        <v>-36.516428999999995</v>
      </c>
      <c r="J28" s="195">
        <v>-11.05833372</v>
      </c>
      <c r="K28" s="195">
        <v>-12.945</v>
      </c>
      <c r="L28" s="195">
        <v>-1.1729090000000002</v>
      </c>
      <c r="M28" s="195">
        <v>-31.233000000000001</v>
      </c>
      <c r="N28" s="195">
        <v>-6.9249999999999998</v>
      </c>
      <c r="O28" s="195">
        <v>-9.2759999999999998</v>
      </c>
      <c r="P28" s="195">
        <v>0.74199999999999999</v>
      </c>
      <c r="Q28" s="195">
        <v>0</v>
      </c>
      <c r="R28" s="195">
        <v>-317.14430371999998</v>
      </c>
    </row>
    <row r="29" spans="2:18" x14ac:dyDescent="0.3">
      <c r="B29" s="198" t="s">
        <v>266</v>
      </c>
      <c r="C29" s="195">
        <v>-3.1249709999999999</v>
      </c>
      <c r="D29" s="195">
        <v>-2.7496499999999999</v>
      </c>
      <c r="E29" s="195">
        <v>-1.7505350000000002</v>
      </c>
      <c r="F29" s="195">
        <v>-1.7527329999999999</v>
      </c>
      <c r="G29" s="195">
        <v>-8.6082999999999993E-2</v>
      </c>
      <c r="H29" s="195">
        <v>0.14920900000000001</v>
      </c>
      <c r="I29" s="195">
        <v>-19.340683000000002</v>
      </c>
      <c r="J29" s="195">
        <v>-0.33370517</v>
      </c>
      <c r="K29" s="195">
        <v>-3.609</v>
      </c>
      <c r="L29" s="195">
        <v>-0.31965499999999997</v>
      </c>
      <c r="M29" s="195">
        <v>-3.2589999999999999</v>
      </c>
      <c r="N29" s="195">
        <v>-3.1230000000000002</v>
      </c>
      <c r="O29" s="195">
        <v>-4.3999999999999997E-2</v>
      </c>
      <c r="P29" s="195">
        <v>-3.0000000000000001E-3</v>
      </c>
      <c r="Q29" s="195">
        <v>0</v>
      </c>
      <c r="R29" s="195">
        <v>-39.346806169999994</v>
      </c>
    </row>
    <row r="30" spans="2:18" x14ac:dyDescent="0.3">
      <c r="B30" s="194" t="s">
        <v>267</v>
      </c>
      <c r="C30" s="195">
        <v>-103.227328</v>
      </c>
      <c r="D30" s="195">
        <v>-124.691321</v>
      </c>
      <c r="E30" s="195">
        <v>-56.392178000000001</v>
      </c>
      <c r="F30" s="195">
        <v>-46.209572000000001</v>
      </c>
      <c r="G30" s="195">
        <v>-79.067788000000007</v>
      </c>
      <c r="H30" s="195">
        <v>-25.107770000000002</v>
      </c>
      <c r="I30" s="195">
        <v>-229.68191099999999</v>
      </c>
      <c r="J30" s="195">
        <v>-12.91168468</v>
      </c>
      <c r="K30" s="195">
        <v>-5.7549999999999999</v>
      </c>
      <c r="L30" s="195">
        <v>-2.303385</v>
      </c>
      <c r="M30" s="195">
        <v>-2.8479999999999999</v>
      </c>
      <c r="N30" s="195">
        <v>-4.62</v>
      </c>
      <c r="O30" s="195">
        <v>-6.3079999999999998</v>
      </c>
      <c r="P30" s="195">
        <v>7.9000000000000001E-2</v>
      </c>
      <c r="Q30" s="195">
        <v>67.575999999999993</v>
      </c>
      <c r="R30" s="195">
        <v>-631.46893768000007</v>
      </c>
    </row>
    <row r="31" spans="2:18" x14ac:dyDescent="0.3">
      <c r="B31" s="194" t="s">
        <v>268</v>
      </c>
      <c r="C31" s="195">
        <v>-27.313641000000001</v>
      </c>
      <c r="D31" s="195">
        <v>-63.199678999999996</v>
      </c>
      <c r="E31" s="195">
        <v>-13.261737999999999</v>
      </c>
      <c r="F31" s="195">
        <v>-11.462093000000001</v>
      </c>
      <c r="G31" s="195">
        <v>-49.844680999999994</v>
      </c>
      <c r="H31" s="195">
        <v>1.6000669999999999</v>
      </c>
      <c r="I31" s="195">
        <v>-58.609070000000003</v>
      </c>
      <c r="J31" s="195">
        <v>0</v>
      </c>
      <c r="K31" s="195">
        <v>0</v>
      </c>
      <c r="L31" s="195">
        <v>0</v>
      </c>
      <c r="M31" s="195">
        <v>-0.36399999999999999</v>
      </c>
      <c r="N31" s="195">
        <v>-15.458</v>
      </c>
      <c r="O31" s="195">
        <v>0</v>
      </c>
      <c r="P31" s="195">
        <v>26.074000000000002</v>
      </c>
      <c r="Q31" s="195">
        <v>0</v>
      </c>
      <c r="R31" s="195">
        <v>-211.83883499999996</v>
      </c>
    </row>
    <row r="32" spans="2:18" s="191" customFormat="1" x14ac:dyDescent="0.3">
      <c r="B32" s="192" t="s">
        <v>270</v>
      </c>
      <c r="C32" s="193">
        <v>-3.7178249999999999</v>
      </c>
      <c r="D32" s="193">
        <v>-0.122002</v>
      </c>
      <c r="E32" s="193">
        <v>-2.150271</v>
      </c>
      <c r="F32" s="193">
        <v>-0.313612</v>
      </c>
      <c r="G32" s="193">
        <v>-16.359593</v>
      </c>
      <c r="H32" s="193">
        <v>-5.5688000000000001E-2</v>
      </c>
      <c r="I32" s="193">
        <v>-7.8162830000000003</v>
      </c>
      <c r="J32" s="193">
        <v>-1.8551761800000004</v>
      </c>
      <c r="K32" s="193">
        <v>-58.71</v>
      </c>
      <c r="L32" s="193">
        <v>-4.4445999999999999E-2</v>
      </c>
      <c r="M32" s="193">
        <v>-17.812000000000001</v>
      </c>
      <c r="N32" s="193">
        <v>-3.984</v>
      </c>
      <c r="O32" s="193">
        <v>-5.6879999999999997</v>
      </c>
      <c r="P32" s="193">
        <v>4.9649999999999999</v>
      </c>
      <c r="Q32" s="193">
        <v>0</v>
      </c>
      <c r="R32" s="193">
        <v>-113.66389617999998</v>
      </c>
    </row>
    <row r="33" spans="2:18" x14ac:dyDescent="0.3">
      <c r="B33" s="199" t="s">
        <v>271</v>
      </c>
      <c r="C33" s="195">
        <v>-30.704958999999999</v>
      </c>
      <c r="D33" s="195">
        <v>-53.669499000000002</v>
      </c>
      <c r="E33" s="195">
        <v>-6.3685049999999999</v>
      </c>
      <c r="F33" s="195">
        <v>-4.2430190000000003</v>
      </c>
      <c r="G33" s="195">
        <v>-1.7405999999999999</v>
      </c>
      <c r="H33" s="195">
        <v>-0.34392200000000001</v>
      </c>
      <c r="I33" s="195">
        <v>-20.281672999999998</v>
      </c>
      <c r="J33" s="195">
        <v>0</v>
      </c>
      <c r="K33" s="195">
        <v>0</v>
      </c>
      <c r="L33" s="195">
        <v>0</v>
      </c>
      <c r="M33" s="195">
        <v>1E-3</v>
      </c>
      <c r="N33" s="195">
        <v>0</v>
      </c>
      <c r="O33" s="195">
        <v>0</v>
      </c>
      <c r="P33" s="195">
        <v>0</v>
      </c>
      <c r="Q33" s="195">
        <v>0</v>
      </c>
      <c r="R33" s="195">
        <v>-117.35117700000001</v>
      </c>
    </row>
    <row r="34" spans="2:18" s="191" customFormat="1" x14ac:dyDescent="0.3">
      <c r="B34" s="196" t="s">
        <v>313</v>
      </c>
      <c r="C34" s="197">
        <v>0</v>
      </c>
      <c r="D34" s="197">
        <v>-1.456037</v>
      </c>
      <c r="E34" s="197">
        <v>0</v>
      </c>
      <c r="F34" s="197">
        <v>0</v>
      </c>
      <c r="G34" s="197">
        <v>0</v>
      </c>
      <c r="H34" s="197">
        <v>-3.3208249999999997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-4.7768619999999995</v>
      </c>
    </row>
    <row r="35" spans="2:18" s="191" customFormat="1" x14ac:dyDescent="0.3">
      <c r="B35" s="196" t="s">
        <v>272</v>
      </c>
      <c r="C35" s="197">
        <v>319.89750099999998</v>
      </c>
      <c r="D35" s="197">
        <v>992.40899600000034</v>
      </c>
      <c r="E35" s="197">
        <v>180.40240399999999</v>
      </c>
      <c r="F35" s="197">
        <v>187.98851000000008</v>
      </c>
      <c r="G35" s="197">
        <v>104.19046900000012</v>
      </c>
      <c r="H35" s="197">
        <v>78.086672999999934</v>
      </c>
      <c r="I35" s="197">
        <v>362.48031199999997</v>
      </c>
      <c r="J35" s="197">
        <v>330.53110525</v>
      </c>
      <c r="K35" s="197">
        <v>199.52999999999997</v>
      </c>
      <c r="L35" s="197">
        <v>38.055687299999995</v>
      </c>
      <c r="M35" s="197">
        <v>46.110000000000035</v>
      </c>
      <c r="N35" s="197">
        <v>-16.632999999999999</v>
      </c>
      <c r="O35" s="197">
        <v>-21.315999999999999</v>
      </c>
      <c r="P35" s="197">
        <v>31.346000000000004</v>
      </c>
      <c r="Q35" s="197">
        <v>0</v>
      </c>
      <c r="R35" s="197">
        <v>2832.9333645500001</v>
      </c>
    </row>
    <row r="36" spans="2:18" x14ac:dyDescent="0.3">
      <c r="B36" s="200" t="s">
        <v>273</v>
      </c>
      <c r="C36" s="195">
        <v>-62.471908000000006</v>
      </c>
      <c r="D36" s="195">
        <v>-103.78142699999999</v>
      </c>
      <c r="E36" s="195">
        <v>-36.70637</v>
      </c>
      <c r="F36" s="195">
        <v>-23.638810000000003</v>
      </c>
      <c r="G36" s="195">
        <v>-31.155850999999998</v>
      </c>
      <c r="H36" s="195">
        <v>-9.2375949999999989</v>
      </c>
      <c r="I36" s="195">
        <v>-153.26781099999999</v>
      </c>
      <c r="J36" s="195">
        <v>-71.35074453999998</v>
      </c>
      <c r="K36" s="195">
        <v>-64.847999999999999</v>
      </c>
      <c r="L36" s="195">
        <v>-1.4959999999999999E-3</v>
      </c>
      <c r="M36" s="195">
        <v>-1.95</v>
      </c>
      <c r="N36" s="195">
        <v>-0.16700000000000001</v>
      </c>
      <c r="O36" s="195">
        <v>-1.7999999999999999E-2</v>
      </c>
      <c r="P36" s="195">
        <v>-0.33200000000000002</v>
      </c>
      <c r="Q36" s="195">
        <v>0</v>
      </c>
      <c r="R36" s="195">
        <v>-558.92701254000008</v>
      </c>
    </row>
    <row r="37" spans="2:18" x14ac:dyDescent="0.3">
      <c r="B37" s="200" t="s">
        <v>276</v>
      </c>
      <c r="C37" s="195">
        <v>0</v>
      </c>
      <c r="D37" s="195">
        <v>0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  <c r="J37" s="195">
        <v>0</v>
      </c>
      <c r="K37" s="195">
        <v>-9.4410000000000007</v>
      </c>
      <c r="L37" s="195">
        <v>0</v>
      </c>
      <c r="M37" s="195">
        <v>0</v>
      </c>
      <c r="N37" s="195">
        <v>-6.7359999999999998</v>
      </c>
      <c r="O37" s="195">
        <v>-10.762</v>
      </c>
      <c r="P37" s="195">
        <v>-45.622999999999998</v>
      </c>
      <c r="Q37" s="195">
        <v>0</v>
      </c>
      <c r="R37" s="195">
        <v>-72.561999999999998</v>
      </c>
    </row>
    <row r="38" spans="2:18" s="191" customFormat="1" x14ac:dyDescent="0.3">
      <c r="B38" s="196" t="s">
        <v>275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  <c r="N38" s="197">
        <v>0</v>
      </c>
      <c r="O38" s="197">
        <v>926.36400000000003</v>
      </c>
      <c r="P38" s="197">
        <v>729.726</v>
      </c>
      <c r="Q38" s="197">
        <v>-1656.09</v>
      </c>
      <c r="R38" s="197">
        <v>0</v>
      </c>
    </row>
    <row r="39" spans="2:18" x14ac:dyDescent="0.3">
      <c r="B39" s="194" t="s">
        <v>274</v>
      </c>
      <c r="C39" s="195">
        <v>257.42559299999999</v>
      </c>
      <c r="D39" s="195">
        <v>888.62756900000034</v>
      </c>
      <c r="E39" s="195">
        <v>143.696034</v>
      </c>
      <c r="F39" s="195">
        <v>164.34970000000007</v>
      </c>
      <c r="G39" s="195">
        <v>73.034618000000123</v>
      </c>
      <c r="H39" s="195">
        <v>68.849077999999935</v>
      </c>
      <c r="I39" s="195">
        <v>209.21250099999997</v>
      </c>
      <c r="J39" s="195">
        <v>259.18036071</v>
      </c>
      <c r="K39" s="195">
        <v>125.24099999999996</v>
      </c>
      <c r="L39" s="195">
        <v>37.90889829999999</v>
      </c>
      <c r="M39" s="195">
        <v>44.160000000000032</v>
      </c>
      <c r="N39" s="195">
        <v>-23.536000000000001</v>
      </c>
      <c r="O39" s="195">
        <v>894.26800000000003</v>
      </c>
      <c r="P39" s="195">
        <v>715.11699999999996</v>
      </c>
      <c r="Q39" s="195">
        <v>-1656.09</v>
      </c>
      <c r="R39" s="195">
        <v>2201.4443520100003</v>
      </c>
    </row>
    <row r="40" spans="2:18" x14ac:dyDescent="0.3">
      <c r="B40" s="194" t="s">
        <v>277</v>
      </c>
      <c r="C40" s="195">
        <v>-16.716155999999998</v>
      </c>
      <c r="D40" s="195">
        <v>-40.634119999999996</v>
      </c>
      <c r="E40" s="195">
        <v>-69.128519999999995</v>
      </c>
      <c r="F40" s="195">
        <v>-22.636495000000004</v>
      </c>
      <c r="G40" s="195">
        <v>-175.17937599999999</v>
      </c>
      <c r="H40" s="195">
        <v>-65.834861999999987</v>
      </c>
      <c r="I40" s="195">
        <v>-327.86506400000002</v>
      </c>
      <c r="J40" s="195">
        <v>-58.521628520000007</v>
      </c>
      <c r="K40" s="195">
        <v>-49.793999999999997</v>
      </c>
      <c r="L40" s="195">
        <v>-9.6990099999999995</v>
      </c>
      <c r="M40" s="195">
        <v>-2.1290000000000004</v>
      </c>
      <c r="N40" s="195">
        <v>-43.183</v>
      </c>
      <c r="O40" s="195">
        <v>-192.86099999999999</v>
      </c>
      <c r="P40" s="195">
        <v>86.022999999999996</v>
      </c>
      <c r="Q40" s="195">
        <v>0</v>
      </c>
      <c r="R40" s="195">
        <v>-988.15923152000005</v>
      </c>
    </row>
    <row r="41" spans="2:18" s="191" customFormat="1" x14ac:dyDescent="0.3">
      <c r="B41" s="192" t="s">
        <v>278</v>
      </c>
      <c r="C41" s="193">
        <v>93.595925000000008</v>
      </c>
      <c r="D41" s="193">
        <v>72.374535000000009</v>
      </c>
      <c r="E41" s="193">
        <v>99.520966000000001</v>
      </c>
      <c r="F41" s="193">
        <v>16.24671</v>
      </c>
      <c r="G41" s="193">
        <v>139.02543900000001</v>
      </c>
      <c r="H41" s="193">
        <v>-18.306426999999999</v>
      </c>
      <c r="I41" s="193">
        <v>58.219453999999999</v>
      </c>
      <c r="J41" s="193">
        <v>45.371846270000006</v>
      </c>
      <c r="K41" s="193">
        <v>28.646000000000001</v>
      </c>
      <c r="L41" s="193">
        <v>7.6247929999999995</v>
      </c>
      <c r="M41" s="193">
        <v>4.8929999999999998</v>
      </c>
      <c r="N41" s="193">
        <v>2.238</v>
      </c>
      <c r="O41" s="193">
        <v>109.967</v>
      </c>
      <c r="P41" s="193">
        <v>6.9080000000000004</v>
      </c>
      <c r="Q41" s="193">
        <v>-45.098999999999997</v>
      </c>
      <c r="R41" s="193">
        <v>621.22624126999995</v>
      </c>
    </row>
    <row r="42" spans="2:18" x14ac:dyDescent="0.3">
      <c r="B42" s="194" t="s">
        <v>279</v>
      </c>
      <c r="C42" s="195">
        <v>-110.31208100000001</v>
      </c>
      <c r="D42" s="195">
        <v>-113.008655</v>
      </c>
      <c r="E42" s="195">
        <v>-168.649486</v>
      </c>
      <c r="F42" s="195">
        <v>-38.883205000000004</v>
      </c>
      <c r="G42" s="195">
        <v>-314.204815</v>
      </c>
      <c r="H42" s="195">
        <v>-47.528434999999995</v>
      </c>
      <c r="I42" s="195">
        <v>-386.084518</v>
      </c>
      <c r="J42" s="195">
        <v>-103.89347479000001</v>
      </c>
      <c r="K42" s="195">
        <v>-78.44</v>
      </c>
      <c r="L42" s="195">
        <v>-17.323803000000002</v>
      </c>
      <c r="M42" s="195">
        <v>-7.0220000000000002</v>
      </c>
      <c r="N42" s="195">
        <v>-45.420999999999999</v>
      </c>
      <c r="O42" s="195">
        <v>-302.82799999999997</v>
      </c>
      <c r="P42" s="195">
        <v>79.114999999999995</v>
      </c>
      <c r="Q42" s="195">
        <v>45.098999999999997</v>
      </c>
      <c r="R42" s="195">
        <v>-1609.38547279</v>
      </c>
    </row>
    <row r="43" spans="2:18" x14ac:dyDescent="0.3">
      <c r="B43" s="194" t="s">
        <v>314</v>
      </c>
      <c r="C43" s="195">
        <v>240.70943699999998</v>
      </c>
      <c r="D43" s="195">
        <v>847.99344900000028</v>
      </c>
      <c r="E43" s="195">
        <v>74.567514000000003</v>
      </c>
      <c r="F43" s="195">
        <v>141.71320500000007</v>
      </c>
      <c r="G43" s="195">
        <v>-102.14475799999987</v>
      </c>
      <c r="H43" s="195">
        <v>3.0142159999999478</v>
      </c>
      <c r="I43" s="195">
        <v>-118.65256300000004</v>
      </c>
      <c r="J43" s="195">
        <v>200.65873218999999</v>
      </c>
      <c r="K43" s="195">
        <v>75.44699999999996</v>
      </c>
      <c r="L43" s="195">
        <v>28.209888299999989</v>
      </c>
      <c r="M43" s="195">
        <v>42.031000000000034</v>
      </c>
      <c r="N43" s="195">
        <v>-66.718999999999994</v>
      </c>
      <c r="O43" s="195">
        <v>701.40700000000004</v>
      </c>
      <c r="P43" s="195">
        <v>801.14</v>
      </c>
      <c r="Q43" s="195">
        <v>-1656.09</v>
      </c>
      <c r="R43" s="195">
        <v>1213.2851204900003</v>
      </c>
    </row>
    <row r="44" spans="2:18" x14ac:dyDescent="0.3">
      <c r="B44" s="194" t="s">
        <v>281</v>
      </c>
      <c r="C44" s="195">
        <v>-18.21461</v>
      </c>
      <c r="D44" s="195">
        <v>-50.975510999999997</v>
      </c>
      <c r="E44" s="195">
        <v>-4.8669930000000008</v>
      </c>
      <c r="F44" s="195">
        <v>-7.9606690000000002</v>
      </c>
      <c r="G44" s="195">
        <v>0</v>
      </c>
      <c r="H44" s="195">
        <v>1.175991</v>
      </c>
      <c r="I44" s="195">
        <v>0</v>
      </c>
      <c r="J44" s="195">
        <v>-66.632286999999991</v>
      </c>
      <c r="K44" s="195">
        <v>-6.492</v>
      </c>
      <c r="L44" s="195">
        <v>-5.7546200000000001</v>
      </c>
      <c r="M44" s="195">
        <v>-2.4580000000000002</v>
      </c>
      <c r="N44" s="195">
        <v>0</v>
      </c>
      <c r="O44" s="195">
        <v>0</v>
      </c>
      <c r="P44" s="195">
        <v>-0.6</v>
      </c>
      <c r="Q44" s="195">
        <v>0</v>
      </c>
      <c r="R44" s="195">
        <v>-162.77869899999999</v>
      </c>
    </row>
    <row r="45" spans="2:18" x14ac:dyDescent="0.3">
      <c r="B45" s="194" t="s">
        <v>282</v>
      </c>
      <c r="C45" s="195">
        <v>-56.917595999999996</v>
      </c>
      <c r="D45" s="195">
        <v>-146.46964499999999</v>
      </c>
      <c r="E45" s="195">
        <v>-13.701191999999999</v>
      </c>
      <c r="F45" s="195">
        <v>-22.234961999999999</v>
      </c>
      <c r="G45" s="195">
        <v>0</v>
      </c>
      <c r="H45" s="195">
        <v>3.1442840000000003</v>
      </c>
      <c r="I45" s="195">
        <v>0</v>
      </c>
      <c r="J45" s="195">
        <v>43.362135000000002</v>
      </c>
      <c r="K45" s="195">
        <v>-15</v>
      </c>
      <c r="L45" s="195">
        <v>3.7250520000000003</v>
      </c>
      <c r="M45" s="195">
        <v>-6.3049999999999997</v>
      </c>
      <c r="N45" s="195">
        <v>0</v>
      </c>
      <c r="O45" s="195">
        <v>0</v>
      </c>
      <c r="P45" s="195">
        <v>-1.524</v>
      </c>
      <c r="Q45" s="195">
        <v>0</v>
      </c>
      <c r="R45" s="195">
        <v>-211.92092399999999</v>
      </c>
    </row>
    <row r="46" spans="2:18" s="191" customFormat="1" x14ac:dyDescent="0.3">
      <c r="B46" s="196" t="s">
        <v>283</v>
      </c>
      <c r="C46" s="197">
        <v>-7.1210789999999999</v>
      </c>
      <c r="D46" s="197">
        <v>-90.904820999999998</v>
      </c>
      <c r="E46" s="197">
        <v>-7.2009590000000001</v>
      </c>
      <c r="F46" s="197">
        <v>-17.778063</v>
      </c>
      <c r="G46" s="197">
        <v>0</v>
      </c>
      <c r="H46" s="197">
        <v>0</v>
      </c>
      <c r="I46" s="197">
        <v>39.953821000000005</v>
      </c>
      <c r="J46" s="197">
        <v>-30.787341999999999</v>
      </c>
      <c r="K46" s="197">
        <v>3.21</v>
      </c>
      <c r="L46" s="197">
        <v>0</v>
      </c>
      <c r="M46" s="197">
        <v>0</v>
      </c>
      <c r="N46" s="197">
        <v>0</v>
      </c>
      <c r="O46" s="197">
        <v>18.614999999999998</v>
      </c>
      <c r="P46" s="197">
        <v>-4.0750000000000002</v>
      </c>
      <c r="Q46" s="197">
        <v>0</v>
      </c>
      <c r="R46" s="197">
        <v>-96.088442999999998</v>
      </c>
    </row>
    <row r="47" spans="2:18" x14ac:dyDescent="0.3">
      <c r="B47" s="201" t="s">
        <v>284</v>
      </c>
      <c r="C47" s="195">
        <v>44.177292000000001</v>
      </c>
      <c r="D47" s="195">
        <v>118.01017399999999</v>
      </c>
      <c r="E47" s="195">
        <v>13.08792</v>
      </c>
      <c r="F47" s="195">
        <v>22.789657999999999</v>
      </c>
      <c r="G47" s="195">
        <v>0</v>
      </c>
      <c r="H47" s="195">
        <v>0</v>
      </c>
      <c r="I47" s="195">
        <v>0</v>
      </c>
      <c r="J47" s="195">
        <v>0</v>
      </c>
      <c r="K47" s="195">
        <v>0</v>
      </c>
      <c r="L47" s="195">
        <v>-4.4168260000000004</v>
      </c>
      <c r="M47" s="195">
        <v>-8.3960000000000008</v>
      </c>
      <c r="N47" s="195">
        <v>0</v>
      </c>
      <c r="O47" s="195">
        <v>0</v>
      </c>
      <c r="P47" s="195">
        <v>0</v>
      </c>
      <c r="Q47" s="195">
        <v>0</v>
      </c>
      <c r="R47" s="195">
        <v>185.25221799999997</v>
      </c>
    </row>
    <row r="48" spans="2:18" s="191" customFormat="1" x14ac:dyDescent="0.3">
      <c r="B48" s="192" t="s">
        <v>285</v>
      </c>
      <c r="C48" s="193">
        <v>202.63344399999997</v>
      </c>
      <c r="D48" s="193">
        <v>677.65364600000032</v>
      </c>
      <c r="E48" s="193">
        <v>61.886290000000017</v>
      </c>
      <c r="F48" s="193">
        <v>116.52916900000008</v>
      </c>
      <c r="G48" s="193">
        <v>-102.14475799999987</v>
      </c>
      <c r="H48" s="193">
        <v>7.3344909999999484</v>
      </c>
      <c r="I48" s="193">
        <v>-78.698742000000038</v>
      </c>
      <c r="J48" s="193">
        <v>146.60123819</v>
      </c>
      <c r="K48" s="193">
        <v>57.164999999999957</v>
      </c>
      <c r="L48" s="193">
        <v>21.763494299999991</v>
      </c>
      <c r="M48" s="193">
        <v>24.872000000000035</v>
      </c>
      <c r="N48" s="193">
        <v>-66.718999999999994</v>
      </c>
      <c r="O48" s="193">
        <v>720.02200000000005</v>
      </c>
      <c r="P48" s="193">
        <v>794.94099999999992</v>
      </c>
      <c r="Q48" s="193">
        <v>-1656.09</v>
      </c>
      <c r="R48" s="193">
        <v>927.74927249000029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808F-2269-48E4-B682-043CFADE2F50}">
  <sheetPr>
    <tabColor theme="9" tint="0.79998168889431442"/>
  </sheetPr>
  <dimension ref="B2:U58"/>
  <sheetViews>
    <sheetView showGridLines="0"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/>
    </sheetView>
  </sheetViews>
  <sheetFormatPr defaultColWidth="7.1796875" defaultRowHeight="11.15" customHeight="1" x14ac:dyDescent="0.35"/>
  <cols>
    <col min="1" max="1" width="7.1796875" style="37"/>
    <col min="2" max="2" width="37" style="61" customWidth="1"/>
    <col min="3" max="9" width="7.1796875" style="634"/>
    <col min="10" max="21" width="7.1796875" style="61"/>
    <col min="22" max="16384" width="7.1796875" style="37"/>
  </cols>
  <sheetData>
    <row r="2" spans="2:21" ht="11.15" customHeight="1" x14ac:dyDescent="0.35"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</row>
    <row r="3" spans="2:21" ht="11.15" customHeight="1" x14ac:dyDescent="0.35"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</row>
    <row r="4" spans="2:21" ht="11.15" customHeight="1" x14ac:dyDescent="0.35"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</row>
    <row r="5" spans="2:21" ht="11.15" customHeight="1" x14ac:dyDescent="0.35">
      <c r="B5" s="163"/>
      <c r="C5" s="590" t="s">
        <v>65</v>
      </c>
      <c r="D5" s="590" t="s">
        <v>66</v>
      </c>
      <c r="E5" s="590" t="s">
        <v>67</v>
      </c>
      <c r="F5" s="590" t="s">
        <v>68</v>
      </c>
      <c r="G5" s="590" t="s">
        <v>69</v>
      </c>
      <c r="H5" s="590" t="s">
        <v>70</v>
      </c>
      <c r="I5" s="590" t="s">
        <v>71</v>
      </c>
      <c r="J5" s="590" t="s">
        <v>72</v>
      </c>
      <c r="K5" s="590" t="s">
        <v>73</v>
      </c>
      <c r="L5" s="590" t="s">
        <v>74</v>
      </c>
      <c r="M5" s="590" t="s">
        <v>75</v>
      </c>
      <c r="N5" s="590" t="s">
        <v>76</v>
      </c>
      <c r="O5" s="590" t="s">
        <v>77</v>
      </c>
      <c r="P5" s="590" t="s">
        <v>78</v>
      </c>
      <c r="Q5" s="590" t="s">
        <v>79</v>
      </c>
      <c r="R5" s="590" t="s">
        <v>80</v>
      </c>
      <c r="S5" s="590" t="s">
        <v>81</v>
      </c>
      <c r="T5" s="590" t="s">
        <v>82</v>
      </c>
      <c r="U5" s="590" t="s">
        <v>83</v>
      </c>
    </row>
    <row r="6" spans="2:21" ht="11.15" customHeight="1" x14ac:dyDescent="0.35">
      <c r="B6" s="631" t="s">
        <v>1</v>
      </c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</row>
    <row r="7" spans="2:21" ht="11.15" customHeight="1" x14ac:dyDescent="0.35">
      <c r="B7" s="45" t="s">
        <v>1146</v>
      </c>
      <c r="C7" s="173">
        <v>115</v>
      </c>
      <c r="D7" s="173">
        <v>114</v>
      </c>
      <c r="E7" s="173">
        <v>125</v>
      </c>
      <c r="F7" s="173">
        <v>123</v>
      </c>
      <c r="G7" s="173">
        <v>117</v>
      </c>
      <c r="H7" s="173">
        <v>118</v>
      </c>
      <c r="I7" s="173">
        <v>119</v>
      </c>
      <c r="J7" s="173">
        <v>128</v>
      </c>
      <c r="K7" s="173">
        <v>122</v>
      </c>
      <c r="L7" s="173">
        <v>121</v>
      </c>
      <c r="M7" s="173">
        <v>119</v>
      </c>
      <c r="N7" s="173">
        <v>152.08821210000002</v>
      </c>
      <c r="O7" s="173">
        <v>134.68118720000004</v>
      </c>
      <c r="P7" s="173">
        <v>152.93286319000001</v>
      </c>
      <c r="Q7" s="173">
        <v>134.90533648999997</v>
      </c>
      <c r="R7" s="173">
        <v>147.20778170000003</v>
      </c>
      <c r="S7" s="173">
        <v>151.75990287000002</v>
      </c>
      <c r="T7" s="173">
        <v>169.23448573999997</v>
      </c>
      <c r="U7" s="173">
        <f>'[2]Custo Distribuição'!$E$27</f>
        <v>164.60691398</v>
      </c>
    </row>
    <row r="8" spans="2:21" ht="11.15" customHeight="1" x14ac:dyDescent="0.35">
      <c r="B8" s="45" t="s">
        <v>1147</v>
      </c>
      <c r="C8" s="173">
        <v>200</v>
      </c>
      <c r="D8" s="173">
        <v>248</v>
      </c>
      <c r="E8" s="173">
        <v>232</v>
      </c>
      <c r="F8" s="173">
        <v>285</v>
      </c>
      <c r="G8" s="173">
        <v>228</v>
      </c>
      <c r="H8" s="173">
        <v>204</v>
      </c>
      <c r="I8" s="173">
        <v>281</v>
      </c>
      <c r="J8" s="173">
        <v>397</v>
      </c>
      <c r="K8" s="173">
        <v>334</v>
      </c>
      <c r="L8" s="173">
        <v>302</v>
      </c>
      <c r="M8" s="173">
        <v>356</v>
      </c>
      <c r="N8" s="173">
        <v>334.18978444055642</v>
      </c>
      <c r="O8" s="173">
        <v>270.75587900000005</v>
      </c>
      <c r="P8" s="173">
        <v>236.32612950000001</v>
      </c>
      <c r="Q8" s="177">
        <v>309</v>
      </c>
      <c r="R8" s="173">
        <v>506.14419854486249</v>
      </c>
      <c r="S8" s="173">
        <v>285.70003076</v>
      </c>
      <c r="T8" s="173">
        <v>306.75671946000006</v>
      </c>
      <c r="U8" s="173">
        <f>'[2]EBITDA Distribuição'!$E$17</f>
        <v>368.06375334070782</v>
      </c>
    </row>
    <row r="9" spans="2:21" ht="11.15" customHeight="1" x14ac:dyDescent="0.35">
      <c r="B9" s="45" t="s">
        <v>1148</v>
      </c>
      <c r="C9" s="173">
        <v>-8</v>
      </c>
      <c r="D9" s="173">
        <v>-21</v>
      </c>
      <c r="E9" s="173">
        <v>1</v>
      </c>
      <c r="F9" s="173">
        <v>3</v>
      </c>
      <c r="G9" s="173">
        <v>-16</v>
      </c>
      <c r="H9" s="173">
        <v>4</v>
      </c>
      <c r="I9" s="173">
        <v>-10</v>
      </c>
      <c r="J9" s="173">
        <v>-20</v>
      </c>
      <c r="K9" s="173">
        <v>-22</v>
      </c>
      <c r="L9" s="173">
        <v>-11</v>
      </c>
      <c r="M9" s="173">
        <v>-20</v>
      </c>
      <c r="N9" s="173">
        <v>-23.8985804</v>
      </c>
      <c r="O9" s="173">
        <v>-16.501282710000005</v>
      </c>
      <c r="P9" s="173">
        <v>-26.683753270000025</v>
      </c>
      <c r="Q9" s="173">
        <v>9.2984909500000299</v>
      </c>
      <c r="R9" s="173">
        <v>7.7192684199999793</v>
      </c>
      <c r="S9" s="173">
        <v>-41.294240439999989</v>
      </c>
      <c r="T9" s="173">
        <v>-45.159548740000012</v>
      </c>
      <c r="U9" s="173">
        <f>'[3]Resultado Financeiro'!$E$22</f>
        <v>-18.755156129999996</v>
      </c>
    </row>
    <row r="10" spans="2:21" ht="11.15" customHeight="1" x14ac:dyDescent="0.35">
      <c r="B10" s="45" t="s">
        <v>1149</v>
      </c>
      <c r="C10" s="173">
        <v>76</v>
      </c>
      <c r="D10" s="173">
        <v>92</v>
      </c>
      <c r="E10" s="173">
        <v>103</v>
      </c>
      <c r="F10" s="173">
        <v>130</v>
      </c>
      <c r="G10" s="173">
        <v>79</v>
      </c>
      <c r="H10" s="173">
        <v>82</v>
      </c>
      <c r="I10" s="173">
        <v>108</v>
      </c>
      <c r="J10" s="173">
        <v>146</v>
      </c>
      <c r="K10" s="173">
        <v>123</v>
      </c>
      <c r="L10" s="173">
        <v>117</v>
      </c>
      <c r="M10" s="173">
        <v>131</v>
      </c>
      <c r="N10" s="173">
        <v>129</v>
      </c>
      <c r="O10" s="173">
        <v>125.48382014000001</v>
      </c>
      <c r="P10" s="173">
        <v>215.45420168999999</v>
      </c>
      <c r="Q10" s="173">
        <v>193.75796285831001</v>
      </c>
      <c r="R10" s="173">
        <v>373.88941369664923</v>
      </c>
      <c r="S10" s="173">
        <v>165.05823268869497</v>
      </c>
      <c r="T10" s="173">
        <v>177.19344072447998</v>
      </c>
      <c r="U10" s="173">
        <f>'[3]Lucro Distribuição'!$E$11</f>
        <v>243.48749530674846</v>
      </c>
    </row>
    <row r="11" spans="2:21" ht="11.15" customHeight="1" x14ac:dyDescent="0.35">
      <c r="B11" s="22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</row>
    <row r="12" spans="2:21" ht="11.15" customHeight="1" x14ac:dyDescent="0.35">
      <c r="B12" s="631" t="s">
        <v>2</v>
      </c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</row>
    <row r="13" spans="2:21" ht="11.15" customHeight="1" x14ac:dyDescent="0.35">
      <c r="B13" s="45" t="s">
        <v>1146</v>
      </c>
      <c r="C13" s="173">
        <v>122</v>
      </c>
      <c r="D13" s="173">
        <v>119</v>
      </c>
      <c r="E13" s="173">
        <v>130</v>
      </c>
      <c r="F13" s="173">
        <v>137</v>
      </c>
      <c r="G13" s="173">
        <v>118</v>
      </c>
      <c r="H13" s="173">
        <v>119</v>
      </c>
      <c r="I13" s="173">
        <v>126</v>
      </c>
      <c r="J13" s="173">
        <v>134</v>
      </c>
      <c r="K13" s="173">
        <v>145</v>
      </c>
      <c r="L13" s="173">
        <v>153</v>
      </c>
      <c r="M13" s="173">
        <v>155</v>
      </c>
      <c r="N13" s="173">
        <v>179.98808645</v>
      </c>
      <c r="O13" s="173">
        <v>155.88792090000004</v>
      </c>
      <c r="P13" s="173">
        <v>179.26961717999998</v>
      </c>
      <c r="Q13" s="173">
        <v>175.91454458000004</v>
      </c>
      <c r="R13" s="173">
        <v>194.20963617999999</v>
      </c>
      <c r="S13" s="173">
        <v>176.16075853000001</v>
      </c>
      <c r="T13" s="173">
        <v>170.68025748660017</v>
      </c>
      <c r="U13" s="173">
        <f>'[2]Custo Distribuição'!$F$27</f>
        <v>169.17747648000002</v>
      </c>
    </row>
    <row r="14" spans="2:21" ht="11.15" customHeight="1" x14ac:dyDescent="0.35">
      <c r="B14" s="45" t="s">
        <v>1147</v>
      </c>
      <c r="C14" s="173">
        <v>199</v>
      </c>
      <c r="D14" s="173">
        <v>267</v>
      </c>
      <c r="E14" s="173">
        <v>293</v>
      </c>
      <c r="F14" s="173">
        <v>322</v>
      </c>
      <c r="G14" s="173">
        <v>311</v>
      </c>
      <c r="H14" s="173">
        <v>119</v>
      </c>
      <c r="I14" s="173">
        <v>370</v>
      </c>
      <c r="J14" s="173">
        <v>462</v>
      </c>
      <c r="K14" s="173">
        <v>402</v>
      </c>
      <c r="L14" s="173">
        <v>415</v>
      </c>
      <c r="M14" s="173">
        <v>663</v>
      </c>
      <c r="N14" s="173">
        <v>655.35464995188488</v>
      </c>
      <c r="O14" s="173">
        <v>598.04399999999998</v>
      </c>
      <c r="P14" s="173">
        <v>608.72054637000008</v>
      </c>
      <c r="Q14" s="177">
        <v>700</v>
      </c>
      <c r="R14" s="173">
        <v>874.40853732398546</v>
      </c>
      <c r="S14" s="173">
        <v>676.37121115000014</v>
      </c>
      <c r="T14" s="173">
        <v>752.01214857339983</v>
      </c>
      <c r="U14" s="177">
        <v>805</v>
      </c>
    </row>
    <row r="15" spans="2:21" ht="11.15" customHeight="1" x14ac:dyDescent="0.35">
      <c r="B15" s="45" t="s">
        <v>1148</v>
      </c>
      <c r="C15" s="173">
        <v>-80</v>
      </c>
      <c r="D15" s="173">
        <v>-48</v>
      </c>
      <c r="E15" s="173">
        <v>-41</v>
      </c>
      <c r="F15" s="173">
        <v>-51</v>
      </c>
      <c r="G15" s="173">
        <v>-56</v>
      </c>
      <c r="H15" s="173">
        <v>-27</v>
      </c>
      <c r="I15" s="173">
        <v>-66</v>
      </c>
      <c r="J15" s="173">
        <v>-55</v>
      </c>
      <c r="K15" s="173">
        <v>-104</v>
      </c>
      <c r="L15" s="173">
        <v>-46</v>
      </c>
      <c r="M15" s="173">
        <v>-54</v>
      </c>
      <c r="N15" s="173">
        <v>-84.706230421791616</v>
      </c>
      <c r="O15" s="173">
        <v>-90.043243049999973</v>
      </c>
      <c r="P15" s="173">
        <v>-107.55135353</v>
      </c>
      <c r="Q15" s="173">
        <v>6.5849397599999691</v>
      </c>
      <c r="R15" s="173">
        <v>6.566128790000036</v>
      </c>
      <c r="S15" s="173">
        <v>-103.29426476</v>
      </c>
      <c r="T15" s="173">
        <v>-109.76312460999998</v>
      </c>
      <c r="U15" s="173">
        <f>'[3]Resultado Financeiro'!$F$22</f>
        <v>-64.985119810000029</v>
      </c>
    </row>
    <row r="16" spans="2:21" ht="11.15" customHeight="1" x14ac:dyDescent="0.35">
      <c r="B16" s="45" t="s">
        <v>1149</v>
      </c>
      <c r="C16" s="173">
        <v>42</v>
      </c>
      <c r="D16" s="173">
        <v>113</v>
      </c>
      <c r="E16" s="173">
        <v>122</v>
      </c>
      <c r="F16" s="173">
        <v>109</v>
      </c>
      <c r="G16" s="173">
        <v>76</v>
      </c>
      <c r="H16" s="173">
        <v>83</v>
      </c>
      <c r="I16" s="173">
        <v>115</v>
      </c>
      <c r="J16" s="173">
        <v>203</v>
      </c>
      <c r="K16" s="173">
        <v>140</v>
      </c>
      <c r="L16" s="173">
        <v>193</v>
      </c>
      <c r="M16" s="173">
        <v>361</v>
      </c>
      <c r="N16" s="173">
        <v>286</v>
      </c>
      <c r="O16" s="173">
        <v>314.80200000000002</v>
      </c>
      <c r="P16" s="173">
        <v>387.91066871999999</v>
      </c>
      <c r="Q16" s="173">
        <v>399.44632396536883</v>
      </c>
      <c r="R16" s="173">
        <v>565.57914804237032</v>
      </c>
      <c r="S16" s="173">
        <v>411.68513255679994</v>
      </c>
      <c r="T16" s="173">
        <v>484.64729756200057</v>
      </c>
      <c r="U16" s="173">
        <f>'[3]Lucro Distribuição'!$F$11</f>
        <v>676.16059881333763</v>
      </c>
    </row>
    <row r="17" spans="2:21" ht="11.15" customHeight="1" x14ac:dyDescent="0.35">
      <c r="B17" s="22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</row>
    <row r="18" spans="2:21" ht="11.15" customHeight="1" x14ac:dyDescent="0.35">
      <c r="B18" s="631" t="s">
        <v>3</v>
      </c>
      <c r="C18" s="632"/>
      <c r="D18" s="632"/>
      <c r="E18" s="632"/>
      <c r="F18" s="632"/>
      <c r="G18" s="632"/>
      <c r="H18" s="632"/>
      <c r="I18" s="632"/>
      <c r="J18" s="632"/>
      <c r="K18" s="632"/>
      <c r="L18" s="632"/>
      <c r="M18" s="632"/>
      <c r="N18" s="632"/>
      <c r="O18" s="632"/>
      <c r="P18" s="632"/>
      <c r="Q18" s="632"/>
      <c r="R18" s="632"/>
      <c r="S18" s="632"/>
      <c r="T18" s="632"/>
      <c r="U18" s="632"/>
    </row>
    <row r="19" spans="2:21" ht="11.15" customHeight="1" x14ac:dyDescent="0.35">
      <c r="B19" s="45" t="s">
        <v>1146</v>
      </c>
      <c r="C19" s="173">
        <v>66</v>
      </c>
      <c r="D19" s="173">
        <v>69</v>
      </c>
      <c r="E19" s="173">
        <v>81</v>
      </c>
      <c r="F19" s="173">
        <v>69</v>
      </c>
      <c r="G19" s="173">
        <v>62</v>
      </c>
      <c r="H19" s="173">
        <v>58</v>
      </c>
      <c r="I19" s="173">
        <v>58</v>
      </c>
      <c r="J19" s="173">
        <v>64</v>
      </c>
      <c r="K19" s="173">
        <v>70</v>
      </c>
      <c r="L19" s="173">
        <v>71</v>
      </c>
      <c r="M19" s="173">
        <v>72</v>
      </c>
      <c r="N19" s="173">
        <v>85.83938516000002</v>
      </c>
      <c r="O19" s="173">
        <v>82.871397289999976</v>
      </c>
      <c r="P19" s="173">
        <v>86.884994589999991</v>
      </c>
      <c r="Q19" s="173">
        <v>81.759679459999987</v>
      </c>
      <c r="R19" s="173">
        <v>85.03792963506524</v>
      </c>
      <c r="S19" s="173">
        <v>85.372841379999983</v>
      </c>
      <c r="T19" s="173">
        <v>93.774107389999955</v>
      </c>
      <c r="U19" s="173">
        <f>'[2]Custo Distribuição'!$G$27</f>
        <v>86.66526236</v>
      </c>
    </row>
    <row r="20" spans="2:21" ht="11.15" customHeight="1" x14ac:dyDescent="0.35">
      <c r="B20" s="45" t="s">
        <v>1147</v>
      </c>
      <c r="C20" s="173">
        <v>34</v>
      </c>
      <c r="D20" s="173">
        <v>30</v>
      </c>
      <c r="E20" s="173">
        <v>74</v>
      </c>
      <c r="F20" s="173">
        <v>68</v>
      </c>
      <c r="G20" s="173">
        <v>54</v>
      </c>
      <c r="H20" s="173">
        <v>41</v>
      </c>
      <c r="I20" s="173">
        <v>80</v>
      </c>
      <c r="J20" s="173">
        <v>185</v>
      </c>
      <c r="K20" s="173">
        <v>131</v>
      </c>
      <c r="L20" s="173">
        <v>156</v>
      </c>
      <c r="M20" s="173">
        <v>160</v>
      </c>
      <c r="N20" s="173">
        <v>273.08236808556228</v>
      </c>
      <c r="O20" s="173">
        <v>131.53500000000003</v>
      </c>
      <c r="P20" s="173">
        <v>164.10570949000001</v>
      </c>
      <c r="Q20" s="177">
        <v>153</v>
      </c>
      <c r="R20" s="173">
        <v>172.20845783493473</v>
      </c>
      <c r="S20" s="173">
        <v>158.55304339</v>
      </c>
      <c r="T20" s="173">
        <v>195.57480963</v>
      </c>
      <c r="U20" s="173">
        <f>'[2]EBITDA Distribuição'!$G$17</f>
        <v>185.46361720000016</v>
      </c>
    </row>
    <row r="21" spans="2:21" ht="11.15" customHeight="1" x14ac:dyDescent="0.35">
      <c r="B21" s="45" t="s">
        <v>1148</v>
      </c>
      <c r="C21" s="173">
        <v>-35</v>
      </c>
      <c r="D21" s="173">
        <v>-20</v>
      </c>
      <c r="E21" s="173">
        <v>11</v>
      </c>
      <c r="F21" s="173">
        <v>16</v>
      </c>
      <c r="G21" s="173">
        <v>-23</v>
      </c>
      <c r="H21" s="173">
        <v>-27</v>
      </c>
      <c r="I21" s="173">
        <v>-17</v>
      </c>
      <c r="J21" s="173">
        <v>-15</v>
      </c>
      <c r="K21" s="173">
        <v>-17</v>
      </c>
      <c r="L21" s="173">
        <v>-16</v>
      </c>
      <c r="M21" s="173">
        <v>118</v>
      </c>
      <c r="N21" s="173">
        <v>-48.235317680000009</v>
      </c>
      <c r="O21" s="173">
        <v>-43.752990459999999</v>
      </c>
      <c r="P21" s="173">
        <v>-55.654582539999957</v>
      </c>
      <c r="Q21" s="173">
        <v>-32.234174360000011</v>
      </c>
      <c r="R21" s="173">
        <v>-39.619110610000014</v>
      </c>
      <c r="S21" s="173">
        <v>-94.133378600000015</v>
      </c>
      <c r="T21" s="173">
        <v>-87.607925379999998</v>
      </c>
      <c r="U21" s="173">
        <f>'[3]Resultado Financeiro'!$G$22</f>
        <v>-71.793520510000008</v>
      </c>
    </row>
    <row r="22" spans="2:21" ht="11.15" customHeight="1" x14ac:dyDescent="0.35">
      <c r="B22" s="45" t="s">
        <v>1149</v>
      </c>
      <c r="C22" s="173">
        <v>-19</v>
      </c>
      <c r="D22" s="173">
        <v>-20</v>
      </c>
      <c r="E22" s="173">
        <v>50</v>
      </c>
      <c r="F22" s="173">
        <v>13</v>
      </c>
      <c r="G22" s="173">
        <v>7</v>
      </c>
      <c r="H22" s="173">
        <v>-11</v>
      </c>
      <c r="I22" s="173">
        <v>40</v>
      </c>
      <c r="J22" s="173">
        <v>213</v>
      </c>
      <c r="K22" s="173">
        <v>65</v>
      </c>
      <c r="L22" s="173">
        <v>108</v>
      </c>
      <c r="M22" s="173">
        <v>162</v>
      </c>
      <c r="N22" s="173">
        <v>135</v>
      </c>
      <c r="O22" s="173">
        <v>62.727517166200009</v>
      </c>
      <c r="P22" s="173">
        <v>36.535580143999987</v>
      </c>
      <c r="Q22" s="173">
        <v>71.775000000000006</v>
      </c>
      <c r="R22" s="173">
        <v>86.255684823220491</v>
      </c>
      <c r="S22" s="173">
        <v>25.256920000000001</v>
      </c>
      <c r="T22" s="173">
        <v>43.10017400000001</v>
      </c>
      <c r="U22" s="173">
        <f>'[3]Lucro Distribuição'!$G$11</f>
        <v>58.941731500000152</v>
      </c>
    </row>
    <row r="23" spans="2:21" ht="11.15" customHeight="1" x14ac:dyDescent="0.35">
      <c r="B23" s="22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</row>
    <row r="24" spans="2:21" ht="11.15" customHeight="1" x14ac:dyDescent="0.35">
      <c r="B24" s="631" t="s">
        <v>4</v>
      </c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</row>
    <row r="25" spans="2:21" ht="11.15" customHeight="1" x14ac:dyDescent="0.35">
      <c r="B25" s="45" t="s">
        <v>1146</v>
      </c>
      <c r="C25" s="173">
        <v>0</v>
      </c>
      <c r="D25" s="173">
        <v>76</v>
      </c>
      <c r="E25" s="173">
        <v>62</v>
      </c>
      <c r="F25" s="173">
        <v>50</v>
      </c>
      <c r="G25" s="173">
        <v>53</v>
      </c>
      <c r="H25" s="173">
        <v>48</v>
      </c>
      <c r="I25" s="173">
        <v>54</v>
      </c>
      <c r="J25" s="173">
        <v>61</v>
      </c>
      <c r="K25" s="173">
        <v>57</v>
      </c>
      <c r="L25" s="173">
        <v>57</v>
      </c>
      <c r="M25" s="173">
        <v>57</v>
      </c>
      <c r="N25" s="173">
        <v>74.676378380000003</v>
      </c>
      <c r="O25" s="173">
        <v>64.336769320000002</v>
      </c>
      <c r="P25" s="173">
        <v>62.478592800000015</v>
      </c>
      <c r="Q25" s="173">
        <v>64.164567949999977</v>
      </c>
      <c r="R25" s="173">
        <v>77.727170690000037</v>
      </c>
      <c r="S25" s="173">
        <v>68.822960409999979</v>
      </c>
      <c r="T25" s="173">
        <v>65.181820320000014</v>
      </c>
      <c r="U25" s="173">
        <f>'[2]Custo Distribuição'!$H$27</f>
        <v>69.257868919999979</v>
      </c>
    </row>
    <row r="26" spans="2:21" ht="11.15" customHeight="1" x14ac:dyDescent="0.35">
      <c r="B26" s="45" t="s">
        <v>1147</v>
      </c>
      <c r="C26" s="173">
        <v>0</v>
      </c>
      <c r="D26" s="173">
        <v>59</v>
      </c>
      <c r="E26" s="173">
        <v>52</v>
      </c>
      <c r="F26" s="173">
        <v>88</v>
      </c>
      <c r="G26" s="173">
        <v>55</v>
      </c>
      <c r="H26" s="173">
        <v>56</v>
      </c>
      <c r="I26" s="173">
        <v>84</v>
      </c>
      <c r="J26" s="173">
        <v>144</v>
      </c>
      <c r="K26" s="173">
        <v>108</v>
      </c>
      <c r="L26" s="173">
        <v>97</v>
      </c>
      <c r="M26" s="173">
        <v>122</v>
      </c>
      <c r="N26" s="173">
        <v>149.39206409999997</v>
      </c>
      <c r="O26" s="173">
        <v>109.55399999999999</v>
      </c>
      <c r="P26" s="173">
        <v>139.27718044</v>
      </c>
      <c r="Q26" s="173">
        <v>117.62299999999999</v>
      </c>
      <c r="R26" s="173">
        <v>181.20045200000001</v>
      </c>
      <c r="S26" s="173">
        <v>162.15512439999998</v>
      </c>
      <c r="T26" s="173">
        <v>169.82942357000002</v>
      </c>
      <c r="U26" s="173">
        <f>'[2]EBITDA Distribuição'!$H$17</f>
        <v>166.27925786000009</v>
      </c>
    </row>
    <row r="27" spans="2:21" ht="11.15" customHeight="1" x14ac:dyDescent="0.35">
      <c r="B27" s="45" t="s">
        <v>1148</v>
      </c>
      <c r="C27" s="173">
        <v>0</v>
      </c>
      <c r="D27" s="173">
        <v>-4</v>
      </c>
      <c r="E27" s="173">
        <v>-12</v>
      </c>
      <c r="F27" s="173">
        <v>-28</v>
      </c>
      <c r="G27" s="173">
        <v>-18</v>
      </c>
      <c r="H27" s="173">
        <v>-9</v>
      </c>
      <c r="I27" s="173">
        <v>-2</v>
      </c>
      <c r="J27" s="173">
        <v>21</v>
      </c>
      <c r="K27" s="173">
        <v>-14</v>
      </c>
      <c r="L27" s="173">
        <v>16</v>
      </c>
      <c r="M27" s="173">
        <v>18</v>
      </c>
      <c r="N27" s="173">
        <v>13.762366140000001</v>
      </c>
      <c r="O27" s="173">
        <v>2.1482528299999979</v>
      </c>
      <c r="P27" s="173">
        <v>5.6714242000000077</v>
      </c>
      <c r="Q27" s="173">
        <v>5.2616585499999884</v>
      </c>
      <c r="R27" s="173">
        <v>-18.924251760000001</v>
      </c>
      <c r="S27" s="173">
        <v>-45.066733170000013</v>
      </c>
      <c r="T27" s="173">
        <v>-37.203229549999996</v>
      </c>
      <c r="U27" s="173">
        <f>'[3]Resultado Financeiro'!$H$22</f>
        <v>-30.756495170000001</v>
      </c>
    </row>
    <row r="28" spans="2:21" ht="11.15" customHeight="1" x14ac:dyDescent="0.35">
      <c r="B28" s="45" t="s">
        <v>1149</v>
      </c>
      <c r="C28" s="173">
        <v>0</v>
      </c>
      <c r="D28" s="173">
        <v>7</v>
      </c>
      <c r="E28" s="173">
        <v>20</v>
      </c>
      <c r="F28" s="173">
        <v>233</v>
      </c>
      <c r="G28" s="173">
        <v>14</v>
      </c>
      <c r="H28" s="173">
        <v>32</v>
      </c>
      <c r="I28" s="173">
        <v>75</v>
      </c>
      <c r="J28" s="173">
        <v>148</v>
      </c>
      <c r="K28" s="173">
        <v>67</v>
      </c>
      <c r="L28" s="173">
        <v>86</v>
      </c>
      <c r="M28" s="173">
        <v>118</v>
      </c>
      <c r="N28" s="173">
        <v>115</v>
      </c>
      <c r="O28" s="173">
        <v>73.570999999999998</v>
      </c>
      <c r="P28" s="173">
        <v>97.248999999999995</v>
      </c>
      <c r="Q28" s="173">
        <v>75.787999999999997</v>
      </c>
      <c r="R28" s="173">
        <v>139.443161508</v>
      </c>
      <c r="S28" s="173">
        <v>83.122414049919996</v>
      </c>
      <c r="T28" s="173">
        <v>94.385892489919996</v>
      </c>
      <c r="U28" s="173">
        <f>'[3]Lucro Distribuição'!$H$11</f>
        <v>84.830465000000075</v>
      </c>
    </row>
    <row r="29" spans="2:21" ht="11.15" customHeight="1" x14ac:dyDescent="0.35">
      <c r="B29" s="51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</row>
    <row r="30" spans="2:21" ht="11.15" customHeight="1" x14ac:dyDescent="0.35">
      <c r="B30" s="631" t="s">
        <v>5</v>
      </c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2"/>
      <c r="P30" s="632"/>
      <c r="Q30" s="632"/>
      <c r="R30" s="632"/>
      <c r="S30" s="632"/>
      <c r="T30" s="632"/>
      <c r="U30" s="632"/>
    </row>
    <row r="31" spans="2:21" ht="11.15" customHeight="1" x14ac:dyDescent="0.35">
      <c r="B31" s="45" t="s">
        <v>1146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158</v>
      </c>
      <c r="N31" s="173">
        <v>154.14938911373054</v>
      </c>
      <c r="O31" s="173">
        <v>123.75847544000001</v>
      </c>
      <c r="P31" s="173">
        <v>158.06888241000001</v>
      </c>
      <c r="Q31" s="173">
        <v>136.53592540000005</v>
      </c>
      <c r="R31" s="173">
        <v>146.52961728000002</v>
      </c>
      <c r="S31" s="173">
        <v>135.14212488999996</v>
      </c>
      <c r="T31" s="173">
        <v>146.41705758999998</v>
      </c>
      <c r="U31" s="173">
        <f>'[2]Custo Distribuição'!$I$27</f>
        <v>145.26245301000003</v>
      </c>
    </row>
    <row r="32" spans="2:21" ht="11.15" customHeight="1" x14ac:dyDescent="0.35">
      <c r="B32" s="45" t="s">
        <v>1147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-104</v>
      </c>
      <c r="N32" s="173">
        <v>57.106857461347332</v>
      </c>
      <c r="O32" s="173">
        <v>170.89200000000002</v>
      </c>
      <c r="P32" s="173">
        <v>-69.580731049999997</v>
      </c>
      <c r="Q32" s="177">
        <v>77</v>
      </c>
      <c r="R32" s="173">
        <v>114.65863787456186</v>
      </c>
      <c r="S32" s="173">
        <v>221.94840378410734</v>
      </c>
      <c r="T32" s="173">
        <v>59.150440889999985</v>
      </c>
      <c r="U32" s="173">
        <f>'[2]EBITDA Distribuição'!$I$17</f>
        <v>110.07382515000008</v>
      </c>
    </row>
    <row r="33" spans="2:21" ht="11.15" customHeight="1" x14ac:dyDescent="0.35">
      <c r="B33" s="45" t="s">
        <v>1148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-174</v>
      </c>
      <c r="N33" s="173">
        <v>-41.019105089999925</v>
      </c>
      <c r="O33" s="173">
        <v>-93.067466000000024</v>
      </c>
      <c r="P33" s="173">
        <v>-59.957709250000022</v>
      </c>
      <c r="Q33" s="173">
        <v>-68.132193590000043</v>
      </c>
      <c r="R33" s="173">
        <v>-146.43924496469594</v>
      </c>
      <c r="S33" s="173">
        <v>-182.06474529000002</v>
      </c>
      <c r="T33" s="173">
        <v>-177.79738279999998</v>
      </c>
      <c r="U33" s="173">
        <f>'[2]Resultado Financeiro'!$I$22</f>
        <v>-175.17937571000004</v>
      </c>
    </row>
    <row r="34" spans="2:21" ht="11.15" customHeight="1" x14ac:dyDescent="0.35">
      <c r="B34" s="45" t="s">
        <v>1149</v>
      </c>
      <c r="C34" s="173">
        <v>0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-304</v>
      </c>
      <c r="N34" s="173">
        <v>-24</v>
      </c>
      <c r="O34" s="173">
        <v>37.02044094</v>
      </c>
      <c r="P34" s="173">
        <v>-101.035</v>
      </c>
      <c r="Q34" s="173">
        <v>-29.343401862795545</v>
      </c>
      <c r="R34" s="173">
        <v>-81.167227600134083</v>
      </c>
      <c r="S34" s="173">
        <v>24.142045224568896</v>
      </c>
      <c r="T34" s="173">
        <v>-159.44800000000001</v>
      </c>
      <c r="U34" s="173">
        <f>'[2]Lucro Distribuição'!$I$11</f>
        <v>-98.287772769999904</v>
      </c>
    </row>
    <row r="35" spans="2:21" ht="11.15" customHeight="1" x14ac:dyDescent="0.35">
      <c r="B35" s="51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</row>
    <row r="36" spans="2:21" ht="11.15" customHeight="1" x14ac:dyDescent="0.35">
      <c r="B36" s="631" t="s">
        <v>6</v>
      </c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</row>
    <row r="37" spans="2:21" ht="11.15" customHeight="1" x14ac:dyDescent="0.35">
      <c r="B37" s="45" t="s">
        <v>1146</v>
      </c>
      <c r="C37" s="173">
        <v>0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0</v>
      </c>
      <c r="N37" s="173">
        <v>32.660326940000012</v>
      </c>
      <c r="O37" s="173">
        <v>28.171214580000015</v>
      </c>
      <c r="P37" s="173">
        <v>25.196733999999992</v>
      </c>
      <c r="Q37" s="173">
        <v>38.874070239999973</v>
      </c>
      <c r="R37" s="173">
        <v>31.661954000000016</v>
      </c>
      <c r="S37" s="173">
        <v>36.953767389999996</v>
      </c>
      <c r="T37" s="173">
        <v>31.615554899999999</v>
      </c>
      <c r="U37" s="173">
        <f>'[2]Custo Distribuição'!$J$27</f>
        <v>32.433372029999994</v>
      </c>
    </row>
    <row r="38" spans="2:21" ht="11.15" customHeight="1" x14ac:dyDescent="0.35">
      <c r="B38" s="45" t="s">
        <v>1147</v>
      </c>
      <c r="C38" s="173">
        <v>0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>
        <v>0</v>
      </c>
      <c r="M38" s="173">
        <v>0</v>
      </c>
      <c r="N38" s="173">
        <v>-49.082000000000001</v>
      </c>
      <c r="O38" s="173">
        <v>23.293941999999994</v>
      </c>
      <c r="P38" s="173">
        <v>51.82937849999999</v>
      </c>
      <c r="Q38" s="177">
        <v>35</v>
      </c>
      <c r="R38" s="173">
        <v>66.737385671938583</v>
      </c>
      <c r="S38" s="173">
        <v>39.036002250000003</v>
      </c>
      <c r="T38" s="173">
        <v>69.936743230000005</v>
      </c>
      <c r="U38" s="173">
        <f>'[2]EBITDA Distribuição'!$J$17</f>
        <v>78.294027050000011</v>
      </c>
    </row>
    <row r="39" spans="2:21" ht="11.15" customHeight="1" x14ac:dyDescent="0.35">
      <c r="B39" s="45" t="s">
        <v>1148</v>
      </c>
      <c r="C39" s="173">
        <v>0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0.8378345299999943</v>
      </c>
      <c r="O39" s="173">
        <v>-25.657153120000061</v>
      </c>
      <c r="P39" s="173">
        <v>6.6185012899999744</v>
      </c>
      <c r="Q39" s="173">
        <v>-39.74286977999995</v>
      </c>
      <c r="R39" s="173">
        <v>-45.229018329999995</v>
      </c>
      <c r="S39" s="173">
        <v>-44.38509882000001</v>
      </c>
      <c r="T39" s="173">
        <v>-45.019457699999982</v>
      </c>
      <c r="U39" s="173">
        <f>'[2]Resultado Financeiro'!$J$22</f>
        <v>-65.834861389999986</v>
      </c>
    </row>
    <row r="40" spans="2:21" ht="11.15" customHeight="1" x14ac:dyDescent="0.35">
      <c r="B40" s="45" t="s">
        <v>1149</v>
      </c>
      <c r="C40" s="173">
        <v>0</v>
      </c>
      <c r="D40" s="173">
        <v>0</v>
      </c>
      <c r="E40" s="173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0</v>
      </c>
      <c r="M40" s="173">
        <v>0</v>
      </c>
      <c r="N40" s="173">
        <v>0</v>
      </c>
      <c r="O40" s="173">
        <v>-4.8897790000000327</v>
      </c>
      <c r="P40" s="173">
        <v>43.645498359999998</v>
      </c>
      <c r="Q40" s="173">
        <v>-8.8476149345499948</v>
      </c>
      <c r="R40" s="173">
        <v>2.6008757530794657</v>
      </c>
      <c r="S40" s="173">
        <v>-11.637236102499999</v>
      </c>
      <c r="T40" s="173">
        <v>-10.757</v>
      </c>
      <c r="U40" s="173">
        <f>'[2]Lucro Distribuição'!$J$11</f>
        <v>7.334491000000015</v>
      </c>
    </row>
    <row r="41" spans="2:21" ht="11.15" customHeight="1" x14ac:dyDescent="0.35">
      <c r="B41" s="22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</row>
    <row r="42" spans="2:21" ht="11.15" customHeight="1" x14ac:dyDescent="0.35">
      <c r="B42" s="631" t="s">
        <v>7</v>
      </c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</row>
    <row r="43" spans="2:21" ht="11.15" customHeight="1" x14ac:dyDescent="0.35">
      <c r="B43" s="45" t="s">
        <v>1146</v>
      </c>
      <c r="C43" s="173">
        <v>0</v>
      </c>
      <c r="D43" s="173">
        <v>0</v>
      </c>
      <c r="E43" s="173">
        <v>0</v>
      </c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  <c r="L43" s="173">
        <v>0</v>
      </c>
      <c r="M43" s="173">
        <v>0</v>
      </c>
      <c r="N43" s="173">
        <v>0</v>
      </c>
      <c r="O43" s="173">
        <v>0</v>
      </c>
      <c r="P43" s="173">
        <v>0</v>
      </c>
      <c r="Q43" s="173">
        <v>0</v>
      </c>
      <c r="R43" s="173">
        <v>0</v>
      </c>
      <c r="S43" s="173">
        <v>340.6752975855876</v>
      </c>
      <c r="T43" s="173">
        <v>288.09135498000029</v>
      </c>
      <c r="U43" s="173">
        <f>'[2]Custo Distribuição'!$K$27</f>
        <v>286.74285362000012</v>
      </c>
    </row>
    <row r="44" spans="2:21" ht="11.15" customHeight="1" x14ac:dyDescent="0.35">
      <c r="B44" s="45" t="s">
        <v>1147</v>
      </c>
      <c r="C44" s="173">
        <v>0</v>
      </c>
      <c r="D44" s="173">
        <v>0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0</v>
      </c>
      <c r="P44" s="173">
        <v>0</v>
      </c>
      <c r="Q44" s="173">
        <v>0</v>
      </c>
      <c r="R44" s="173">
        <v>0</v>
      </c>
      <c r="S44" s="173">
        <v>290.67784483441233</v>
      </c>
      <c r="T44" s="173">
        <v>212.90303214767928</v>
      </c>
      <c r="U44" s="173">
        <f>'[2]EBITDA Distribuição'!$K$17</f>
        <v>316.4933306528751</v>
      </c>
    </row>
    <row r="45" spans="2:21" ht="11.15" customHeight="1" x14ac:dyDescent="0.35">
      <c r="B45" s="45" t="s">
        <v>1148</v>
      </c>
      <c r="C45" s="173">
        <v>0</v>
      </c>
      <c r="D45" s="173">
        <v>0</v>
      </c>
      <c r="E45" s="173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  <c r="Q45" s="173">
        <v>0</v>
      </c>
      <c r="R45" s="173">
        <v>0</v>
      </c>
      <c r="S45" s="173">
        <v>-368.33623520000003</v>
      </c>
      <c r="T45" s="173">
        <v>-223.34931656999998</v>
      </c>
      <c r="U45" s="173">
        <f>'[2]Resultado Financeiro'!$K$22</f>
        <v>-327.86506484000006</v>
      </c>
    </row>
    <row r="46" spans="2:21" ht="11.15" customHeight="1" x14ac:dyDescent="0.35">
      <c r="B46" s="45" t="s">
        <v>1149</v>
      </c>
      <c r="C46" s="173">
        <v>0</v>
      </c>
      <c r="D46" s="173">
        <v>0</v>
      </c>
      <c r="E46" s="173">
        <v>0</v>
      </c>
      <c r="F46" s="173">
        <v>0</v>
      </c>
      <c r="G46" s="173">
        <v>0</v>
      </c>
      <c r="H46" s="173">
        <v>0</v>
      </c>
      <c r="I46" s="173">
        <v>0</v>
      </c>
      <c r="J46" s="173">
        <v>0</v>
      </c>
      <c r="K46" s="173">
        <v>0</v>
      </c>
      <c r="L46" s="173">
        <v>0</v>
      </c>
      <c r="M46" s="173">
        <v>0</v>
      </c>
      <c r="N46" s="173">
        <v>0</v>
      </c>
      <c r="O46" s="173">
        <v>0</v>
      </c>
      <c r="P46" s="173">
        <v>0</v>
      </c>
      <c r="Q46" s="173">
        <v>0</v>
      </c>
      <c r="R46" s="173">
        <v>0</v>
      </c>
      <c r="S46" s="173">
        <v>-127.44340073518464</v>
      </c>
      <c r="T46" s="173">
        <v>-103.58675377408537</v>
      </c>
      <c r="U46" s="173">
        <f>'[2]Lucro Distribuição'!$K$11</f>
        <v>-134.06714460712496</v>
      </c>
    </row>
    <row r="47" spans="2:21" ht="11.15" customHeight="1" x14ac:dyDescent="0.35">
      <c r="B47" s="22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</row>
    <row r="48" spans="2:21" ht="11.15" customHeight="1" x14ac:dyDescent="0.35">
      <c r="B48" s="631" t="s">
        <v>1150</v>
      </c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</row>
    <row r="49" spans="2:21" ht="11.15" customHeight="1" x14ac:dyDescent="0.35">
      <c r="B49" s="45" t="s">
        <v>1146</v>
      </c>
      <c r="C49" s="173">
        <f t="shared" ref="C49:R52" si="0">SUM(C7,C13,C19,C25,C31,C37)</f>
        <v>303</v>
      </c>
      <c r="D49" s="173">
        <f t="shared" si="0"/>
        <v>378</v>
      </c>
      <c r="E49" s="173">
        <f t="shared" si="0"/>
        <v>398</v>
      </c>
      <c r="F49" s="173">
        <f t="shared" si="0"/>
        <v>379</v>
      </c>
      <c r="G49" s="173">
        <f t="shared" si="0"/>
        <v>350</v>
      </c>
      <c r="H49" s="173">
        <f t="shared" si="0"/>
        <v>343</v>
      </c>
      <c r="I49" s="173">
        <f t="shared" si="0"/>
        <v>357</v>
      </c>
      <c r="J49" s="173">
        <f t="shared" si="0"/>
        <v>387</v>
      </c>
      <c r="K49" s="173">
        <f t="shared" si="0"/>
        <v>394</v>
      </c>
      <c r="L49" s="173">
        <f t="shared" si="0"/>
        <v>402</v>
      </c>
      <c r="M49" s="173">
        <f t="shared" si="0"/>
        <v>561</v>
      </c>
      <c r="N49" s="173">
        <f t="shared" si="0"/>
        <v>679.40177814373055</v>
      </c>
      <c r="O49" s="173">
        <f t="shared" si="0"/>
        <v>589.7069647300001</v>
      </c>
      <c r="P49" s="173">
        <f t="shared" si="0"/>
        <v>664.83168417000002</v>
      </c>
      <c r="Q49" s="173">
        <f t="shared" si="0"/>
        <v>632.15412411999989</v>
      </c>
      <c r="R49" s="173">
        <f t="shared" si="0"/>
        <v>682.37408948506538</v>
      </c>
      <c r="S49" s="173">
        <f>SUM(S7,S13,S19,S25,S31,S37,S43)</f>
        <v>994.88765305558752</v>
      </c>
      <c r="T49" s="173">
        <f>SUM(T7,T13,T19,T25,T31,T37,T43)</f>
        <v>964.99463840660042</v>
      </c>
      <c r="U49" s="173">
        <f>SUM(U7,U13,U19,U25,U31,U37,U43)</f>
        <v>954.14620040000011</v>
      </c>
    </row>
    <row r="50" spans="2:21" ht="11.15" customHeight="1" x14ac:dyDescent="0.35">
      <c r="B50" s="45" t="s">
        <v>1147</v>
      </c>
      <c r="C50" s="173">
        <f t="shared" si="0"/>
        <v>433</v>
      </c>
      <c r="D50" s="173">
        <f t="shared" si="0"/>
        <v>604</v>
      </c>
      <c r="E50" s="173">
        <f t="shared" si="0"/>
        <v>651</v>
      </c>
      <c r="F50" s="173">
        <f t="shared" si="0"/>
        <v>763</v>
      </c>
      <c r="G50" s="173">
        <f t="shared" si="0"/>
        <v>648</v>
      </c>
      <c r="H50" s="173">
        <f t="shared" si="0"/>
        <v>420</v>
      </c>
      <c r="I50" s="173">
        <f t="shared" si="0"/>
        <v>815</v>
      </c>
      <c r="J50" s="173">
        <f t="shared" si="0"/>
        <v>1188</v>
      </c>
      <c r="K50" s="173">
        <f t="shared" si="0"/>
        <v>975</v>
      </c>
      <c r="L50" s="173">
        <f t="shared" si="0"/>
        <v>970</v>
      </c>
      <c r="M50" s="173">
        <f t="shared" si="0"/>
        <v>1197</v>
      </c>
      <c r="N50" s="173">
        <f t="shared" si="0"/>
        <v>1420.0437240393508</v>
      </c>
      <c r="O50" s="173">
        <f t="shared" si="0"/>
        <v>1304.0748210000002</v>
      </c>
      <c r="P50" s="173">
        <f t="shared" si="0"/>
        <v>1130.6782132500002</v>
      </c>
      <c r="Q50" s="177">
        <f t="shared" si="0"/>
        <v>1391.623</v>
      </c>
      <c r="R50" s="173">
        <f t="shared" si="0"/>
        <v>1915.3576692502834</v>
      </c>
      <c r="S50" s="173">
        <f t="shared" ref="S50:U52" si="1">SUM(S8,S14,S20,S26,S32,S38,S44)</f>
        <v>1834.4416605685196</v>
      </c>
      <c r="T50" s="173">
        <f t="shared" si="1"/>
        <v>1766.1633175010793</v>
      </c>
      <c r="U50" s="177">
        <f t="shared" si="1"/>
        <v>2029.6678112535835</v>
      </c>
    </row>
    <row r="51" spans="2:21" ht="11.15" customHeight="1" x14ac:dyDescent="0.35">
      <c r="B51" s="45" t="s">
        <v>1148</v>
      </c>
      <c r="C51" s="173">
        <f t="shared" si="0"/>
        <v>-123</v>
      </c>
      <c r="D51" s="173">
        <f t="shared" si="0"/>
        <v>-93</v>
      </c>
      <c r="E51" s="173">
        <f t="shared" si="0"/>
        <v>-41</v>
      </c>
      <c r="F51" s="173">
        <f t="shared" si="0"/>
        <v>-60</v>
      </c>
      <c r="G51" s="173">
        <f t="shared" si="0"/>
        <v>-113</v>
      </c>
      <c r="H51" s="173">
        <f t="shared" si="0"/>
        <v>-59</v>
      </c>
      <c r="I51" s="173">
        <f t="shared" si="0"/>
        <v>-95</v>
      </c>
      <c r="J51" s="173">
        <f t="shared" si="0"/>
        <v>-69</v>
      </c>
      <c r="K51" s="173">
        <f t="shared" si="0"/>
        <v>-157</v>
      </c>
      <c r="L51" s="173">
        <f t="shared" si="0"/>
        <v>-57</v>
      </c>
      <c r="M51" s="173">
        <f t="shared" si="0"/>
        <v>-112</v>
      </c>
      <c r="N51" s="173">
        <f t="shared" si="0"/>
        <v>-183.25903292179157</v>
      </c>
      <c r="O51" s="173">
        <f t="shared" si="0"/>
        <v>-266.87388251000004</v>
      </c>
      <c r="P51" s="173">
        <f t="shared" si="0"/>
        <v>-237.55747310000001</v>
      </c>
      <c r="Q51" s="173">
        <f t="shared" si="0"/>
        <v>-118.96414847000001</v>
      </c>
      <c r="R51" s="173">
        <f t="shared" si="0"/>
        <v>-235.92622845469594</v>
      </c>
      <c r="S51" s="173">
        <f>SUM(S9,S15,S21,S27,S33,S39,S45)</f>
        <v>-878.57469628000013</v>
      </c>
      <c r="T51" s="173">
        <f>SUM(T9,T15,T21,T27,T33,T39,T45)</f>
        <v>-725.89998534999995</v>
      </c>
      <c r="U51" s="173">
        <f>SUM(U9,U15,U21,U27,U33,U39,U45)</f>
        <v>-755.16959356000018</v>
      </c>
    </row>
    <row r="52" spans="2:21" ht="11.15" customHeight="1" x14ac:dyDescent="0.35">
      <c r="B52" s="45" t="s">
        <v>1149</v>
      </c>
      <c r="C52" s="173">
        <f t="shared" si="0"/>
        <v>99</v>
      </c>
      <c r="D52" s="173">
        <f t="shared" si="0"/>
        <v>192</v>
      </c>
      <c r="E52" s="173">
        <f t="shared" si="0"/>
        <v>295</v>
      </c>
      <c r="F52" s="173">
        <f t="shared" si="0"/>
        <v>485</v>
      </c>
      <c r="G52" s="173">
        <f t="shared" si="0"/>
        <v>176</v>
      </c>
      <c r="H52" s="173">
        <f t="shared" si="0"/>
        <v>186</v>
      </c>
      <c r="I52" s="173">
        <f t="shared" si="0"/>
        <v>338</v>
      </c>
      <c r="J52" s="173">
        <f t="shared" si="0"/>
        <v>710</v>
      </c>
      <c r="K52" s="173">
        <f t="shared" si="0"/>
        <v>395</v>
      </c>
      <c r="L52" s="173">
        <f t="shared" si="0"/>
        <v>504</v>
      </c>
      <c r="M52" s="173">
        <f t="shared" si="0"/>
        <v>468</v>
      </c>
      <c r="N52" s="173">
        <f t="shared" si="0"/>
        <v>641</v>
      </c>
      <c r="O52" s="173">
        <f t="shared" si="0"/>
        <v>608.71499924620002</v>
      </c>
      <c r="P52" s="173">
        <f t="shared" si="0"/>
        <v>679.75994891400001</v>
      </c>
      <c r="Q52" s="173">
        <f t="shared" si="0"/>
        <v>702.5762700263333</v>
      </c>
      <c r="R52" s="173">
        <f t="shared" si="0"/>
        <v>1086.6010562231854</v>
      </c>
      <c r="S52" s="173">
        <f t="shared" si="1"/>
        <v>570.18410768229933</v>
      </c>
      <c r="T52" s="173">
        <f t="shared" si="1"/>
        <v>525.53505100231541</v>
      </c>
      <c r="U52" s="173">
        <f t="shared" si="1"/>
        <v>838.39986424296137</v>
      </c>
    </row>
    <row r="54" spans="2:21" ht="11.15" customHeight="1" x14ac:dyDescent="0.35">
      <c r="B54" s="631" t="s">
        <v>1151</v>
      </c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</row>
    <row r="55" spans="2:21" ht="11.15" customHeight="1" x14ac:dyDescent="0.35">
      <c r="B55" s="45" t="s">
        <v>1152</v>
      </c>
      <c r="C55" s="173"/>
      <c r="D55" s="173"/>
      <c r="E55" s="173"/>
      <c r="F55" s="173"/>
      <c r="G55" s="173"/>
      <c r="H55" s="173"/>
      <c r="I55" s="173"/>
      <c r="J55" s="173">
        <v>423.281887432975</v>
      </c>
      <c r="K55" s="173">
        <v>436.35238162000002</v>
      </c>
      <c r="L55" s="173">
        <v>434.75121757329913</v>
      </c>
      <c r="M55" s="173">
        <v>508.63528183727806</v>
      </c>
      <c r="N55" s="173">
        <v>707.50388625373057</v>
      </c>
      <c r="O55" s="173">
        <v>646.58117900000002</v>
      </c>
      <c r="P55" s="173">
        <v>773.90200000000004</v>
      </c>
      <c r="Q55" s="173">
        <v>733.73871460999999</v>
      </c>
      <c r="R55" s="173">
        <v>851.50005517506531</v>
      </c>
      <c r="S55" s="173">
        <v>1149.4965275455879</v>
      </c>
      <c r="T55" s="173">
        <v>1053.2364698666001</v>
      </c>
      <c r="U55" s="173">
        <f>'[2]Custo Consolidado'!$F$24</f>
        <v>1102.2375477000001</v>
      </c>
    </row>
    <row r="56" spans="2:21" ht="11.15" customHeight="1" x14ac:dyDescent="0.35">
      <c r="B56" s="45" t="s">
        <v>1153</v>
      </c>
      <c r="C56" s="173"/>
      <c r="D56" s="173"/>
      <c r="E56" s="173"/>
      <c r="F56" s="173"/>
      <c r="G56" s="173"/>
      <c r="H56" s="173"/>
      <c r="I56" s="173"/>
      <c r="J56" s="173">
        <v>1677.1891431594565</v>
      </c>
      <c r="K56" s="173">
        <v>1081.372808347613</v>
      </c>
      <c r="L56" s="173">
        <v>1222.6478025925321</v>
      </c>
      <c r="M56" s="173">
        <v>1442.1308522805377</v>
      </c>
      <c r="N56" s="173">
        <v>1716.2973680324926</v>
      </c>
      <c r="O56" s="173">
        <v>1685.2178210000004</v>
      </c>
      <c r="P56" s="173">
        <v>1521.6762950100001</v>
      </c>
      <c r="Q56" s="173">
        <f>'[2]EBITDA Consolidado'!$E$32</f>
        <v>1900.8091278373438</v>
      </c>
      <c r="R56" s="173">
        <v>2348.4076692502831</v>
      </c>
      <c r="S56" s="173">
        <v>2267.0302763685195</v>
      </c>
      <c r="T56" s="173">
        <v>2185.3214766375299</v>
      </c>
      <c r="U56" s="173">
        <f>'[2]EBITDA Consolidado'!$F$32</f>
        <v>2521.9054314208506</v>
      </c>
    </row>
    <row r="57" spans="2:21" ht="11.15" customHeight="1" x14ac:dyDescent="0.35">
      <c r="B57" s="45" t="s">
        <v>990</v>
      </c>
      <c r="C57" s="173"/>
      <c r="D57" s="173"/>
      <c r="E57" s="173"/>
      <c r="F57" s="173"/>
      <c r="G57" s="173"/>
      <c r="H57" s="173"/>
      <c r="I57" s="173"/>
      <c r="J57" s="173">
        <v>-117.55884285999997</v>
      </c>
      <c r="K57" s="173">
        <v>-225.63514533000006</v>
      </c>
      <c r="L57" s="173">
        <v>-310.12696189000013</v>
      </c>
      <c r="M57" s="173">
        <v>-398.45142779999992</v>
      </c>
      <c r="N57" s="173">
        <v>-424.66055568179172</v>
      </c>
      <c r="O57" s="173">
        <v>-494.2616155302502</v>
      </c>
      <c r="P57" s="173">
        <v>-727.23343012999976</v>
      </c>
      <c r="Q57" s="173">
        <v>-372.84625067000007</v>
      </c>
      <c r="R57" s="173">
        <v>-458.47032929469572</v>
      </c>
      <c r="S57" s="173">
        <v>-878.5746962799999</v>
      </c>
      <c r="T57" s="173">
        <v>-814.45927995999978</v>
      </c>
      <c r="U57" s="173">
        <f>'[3]Restulado Fin. Cons.'!$F$21</f>
        <v>-941.69880489000059</v>
      </c>
    </row>
    <row r="58" spans="2:21" ht="11.15" customHeight="1" x14ac:dyDescent="0.35">
      <c r="B58" s="45" t="s">
        <v>1154</v>
      </c>
      <c r="C58" s="173"/>
      <c r="D58" s="173"/>
      <c r="E58" s="173"/>
      <c r="F58" s="173"/>
      <c r="G58" s="173"/>
      <c r="H58" s="173"/>
      <c r="I58" s="173"/>
      <c r="J58" s="173">
        <v>927.54700126344608</v>
      </c>
      <c r="K58" s="173">
        <v>400.81451118858672</v>
      </c>
      <c r="L58" s="173">
        <v>445.55458216827896</v>
      </c>
      <c r="M58" s="173">
        <v>494.43017519208911</v>
      </c>
      <c r="N58" s="173">
        <v>573.48176655182363</v>
      </c>
      <c r="O58" s="173">
        <v>505.39427947927572</v>
      </c>
      <c r="P58" s="173">
        <v>151.92005600971939</v>
      </c>
      <c r="Q58" s="173">
        <v>552.73570260278257</v>
      </c>
      <c r="R58" s="173">
        <v>679.3701255339563</v>
      </c>
      <c r="S58" s="173">
        <v>287.4734249279104</v>
      </c>
      <c r="T58" s="173">
        <v>226.70720712096931</v>
      </c>
      <c r="U58" s="173">
        <f>'[3]Lucro Consolidado'!$F$22</f>
        <v>850.63140458296198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A5A92-360B-4DB8-AA12-920E4BD000FF}">
  <sheetPr>
    <tabColor rgb="FF002060"/>
  </sheetPr>
  <dimension ref="B4:AA8"/>
  <sheetViews>
    <sheetView showGridLines="0" zoomScale="70" zoomScaleNormal="70" workbookViewId="0"/>
  </sheetViews>
  <sheetFormatPr defaultRowHeight="14.5" x14ac:dyDescent="0.35"/>
  <cols>
    <col min="2" max="2" width="1.36328125" customWidth="1"/>
    <col min="8" max="8" width="2" customWidth="1"/>
    <col min="13" max="13" width="2" customWidth="1"/>
    <col min="18" max="18" width="2" customWidth="1"/>
    <col min="23" max="23" width="2" customWidth="1"/>
  </cols>
  <sheetData>
    <row r="4" spans="2:27" s="1" customFormat="1" ht="32.5" customHeight="1" x14ac:dyDescent="0.35">
      <c r="B4" s="2" t="s">
        <v>1104</v>
      </c>
    </row>
    <row r="8" spans="2:27" ht="30" customHeight="1" x14ac:dyDescent="0.35">
      <c r="D8" s="35" t="s">
        <v>144</v>
      </c>
      <c r="E8" s="36"/>
      <c r="F8" s="36"/>
      <c r="G8" s="36"/>
      <c r="I8" s="35" t="s">
        <v>90</v>
      </c>
      <c r="J8" s="36"/>
      <c r="K8" s="36"/>
      <c r="L8" s="36"/>
      <c r="N8" s="35" t="s">
        <v>992</v>
      </c>
      <c r="O8" s="36"/>
      <c r="P8" s="36"/>
      <c r="Q8" s="36"/>
      <c r="S8" s="35" t="s">
        <v>100</v>
      </c>
      <c r="T8" s="36"/>
      <c r="U8" s="36"/>
      <c r="V8" s="36"/>
      <c r="X8" s="35" t="s">
        <v>993</v>
      </c>
      <c r="Y8" s="36"/>
      <c r="Z8" s="36"/>
      <c r="AA8" s="36"/>
    </row>
  </sheetData>
  <pageMargins left="0.511811024" right="0.511811024" top="0.78740157499999996" bottom="0.78740157499999996" header="0.31496062000000002" footer="0.3149606200000000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E2CB-6983-476F-9D3C-303D3F9C841B}">
  <sheetPr>
    <tabColor theme="9" tint="0.79998168889431442"/>
  </sheetPr>
  <dimension ref="A4:Q88"/>
  <sheetViews>
    <sheetView showGridLines="0" zoomScale="80" zoomScaleNormal="80" workbookViewId="0">
      <pane xSplit="1" ySplit="7" topLeftCell="B8" activePane="bottomRight" state="frozen"/>
      <selection activeCell="J5" sqref="J5"/>
      <selection pane="topRight" activeCell="J5" sqref="J5"/>
      <selection pane="bottomLeft" activeCell="J5" sqref="J5"/>
      <selection pane="bottomRight" activeCell="L22" sqref="L22"/>
    </sheetView>
  </sheetViews>
  <sheetFormatPr defaultColWidth="9.1796875" defaultRowHeight="14.5" outlineLevelCol="1" x14ac:dyDescent="0.35"/>
  <cols>
    <col min="1" max="1" width="47.54296875" style="37" bestFit="1" customWidth="1"/>
    <col min="2" max="2" width="2.7265625" style="37" customWidth="1"/>
    <col min="3" max="4" width="10.54296875" style="37" hidden="1" customWidth="1" outlineLevel="1"/>
    <col min="5" max="10" width="11.26953125" style="37" hidden="1" customWidth="1" outlineLevel="1"/>
    <col min="11" max="11" width="11.26953125" style="37" bestFit="1" customWidth="1" collapsed="1"/>
    <col min="12" max="17" width="11.26953125" style="37" bestFit="1" customWidth="1"/>
    <col min="18" max="16384" width="9.1796875" style="37"/>
  </cols>
  <sheetData>
    <row r="4" spans="1:17" x14ac:dyDescent="0.35">
      <c r="C4" s="114"/>
      <c r="D4" s="114"/>
      <c r="E4" s="114"/>
      <c r="F4" s="114"/>
      <c r="G4" s="114"/>
      <c r="H4" s="114"/>
      <c r="J4"/>
      <c r="K4"/>
      <c r="L4"/>
      <c r="M4"/>
      <c r="N4"/>
      <c r="O4"/>
      <c r="P4"/>
      <c r="Q4"/>
    </row>
    <row r="5" spans="1:17" x14ac:dyDescent="0.35">
      <c r="C5" s="114"/>
      <c r="D5" s="114"/>
      <c r="E5" s="114"/>
      <c r="F5" s="114"/>
      <c r="G5" s="114"/>
      <c r="H5" s="114"/>
      <c r="J5"/>
      <c r="K5"/>
      <c r="L5"/>
      <c r="M5"/>
      <c r="N5"/>
      <c r="O5"/>
      <c r="P5"/>
      <c r="Q5"/>
    </row>
    <row r="6" spans="1:17" x14ac:dyDescent="0.35">
      <c r="A6" s="41" t="s">
        <v>1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17" ht="15" thickBot="1" x14ac:dyDescent="0.4">
      <c r="A7" s="5" t="s">
        <v>315</v>
      </c>
      <c r="B7" s="204"/>
      <c r="C7" s="573" t="s">
        <v>69</v>
      </c>
      <c r="D7" s="573" t="s">
        <v>70</v>
      </c>
      <c r="E7" s="573" t="s">
        <v>71</v>
      </c>
      <c r="F7" s="573" t="s">
        <v>72</v>
      </c>
      <c r="G7" s="573" t="s">
        <v>73</v>
      </c>
      <c r="H7" s="573" t="s">
        <v>74</v>
      </c>
      <c r="I7" s="573" t="s">
        <v>75</v>
      </c>
      <c r="J7" s="573" t="s">
        <v>76</v>
      </c>
      <c r="K7" s="573" t="s">
        <v>77</v>
      </c>
      <c r="L7" s="573" t="s">
        <v>78</v>
      </c>
      <c r="M7" s="573" t="s">
        <v>79</v>
      </c>
      <c r="N7" s="573" t="s">
        <v>80</v>
      </c>
      <c r="O7" s="573" t="s">
        <v>81</v>
      </c>
      <c r="P7" s="573" t="s">
        <v>82</v>
      </c>
      <c r="Q7" s="573" t="s">
        <v>83</v>
      </c>
    </row>
    <row r="8" spans="1:17" ht="15" thickBot="1" x14ac:dyDescent="0.4">
      <c r="A8" s="205" t="s">
        <v>316</v>
      </c>
      <c r="B8" s="397"/>
      <c r="C8" s="207">
        <v>2693800</v>
      </c>
      <c r="D8" s="207">
        <f t="shared" ref="D8:P8" si="0">SUM(D9:D23)</f>
        <v>2762309</v>
      </c>
      <c r="E8" s="207">
        <f t="shared" si="0"/>
        <v>3377922</v>
      </c>
      <c r="F8" s="207">
        <f t="shared" si="0"/>
        <v>3277130</v>
      </c>
      <c r="G8" s="207">
        <f t="shared" si="0"/>
        <v>2760175</v>
      </c>
      <c r="H8" s="207">
        <f t="shared" si="0"/>
        <v>2812800</v>
      </c>
      <c r="I8" s="207">
        <f t="shared" si="0"/>
        <v>2939768</v>
      </c>
      <c r="J8" s="207">
        <f t="shared" si="0"/>
        <v>2701698</v>
      </c>
      <c r="K8" s="207">
        <f t="shared" si="0"/>
        <v>2452995</v>
      </c>
      <c r="L8" s="207">
        <f t="shared" si="0"/>
        <v>2707220</v>
      </c>
      <c r="M8" s="207">
        <f t="shared" si="0"/>
        <v>2412783</v>
      </c>
      <c r="N8" s="207">
        <f t="shared" si="0"/>
        <v>2636138</v>
      </c>
      <c r="O8" s="207">
        <f t="shared" si="0"/>
        <v>2361064</v>
      </c>
      <c r="P8" s="207">
        <f t="shared" si="0"/>
        <v>2607427</v>
      </c>
      <c r="Q8" s="207">
        <f>SUM(Q9:Q23)</f>
        <v>2608153</v>
      </c>
    </row>
    <row r="9" spans="1:17" x14ac:dyDescent="0.35">
      <c r="A9" s="209" t="s">
        <v>317</v>
      </c>
      <c r="B9" s="209"/>
      <c r="C9" s="225">
        <v>645437</v>
      </c>
      <c r="D9" s="225">
        <v>153949</v>
      </c>
      <c r="E9" s="225">
        <v>595193</v>
      </c>
      <c r="F9" s="225">
        <v>295458</v>
      </c>
      <c r="G9" s="225">
        <v>259150</v>
      </c>
      <c r="H9" s="225">
        <v>542267</v>
      </c>
      <c r="I9" s="225">
        <v>399659</v>
      </c>
      <c r="J9" s="225">
        <v>79999</v>
      </c>
      <c r="K9" s="225">
        <v>94214</v>
      </c>
      <c r="L9" s="225">
        <v>202717</v>
      </c>
      <c r="M9" s="225">
        <v>160112</v>
      </c>
      <c r="N9" s="225">
        <v>103361</v>
      </c>
      <c r="O9" s="225">
        <v>20127</v>
      </c>
      <c r="P9" s="225">
        <v>28789</v>
      </c>
      <c r="Q9" s="225">
        <v>351297</v>
      </c>
    </row>
    <row r="10" spans="1:17" x14ac:dyDescent="0.35">
      <c r="A10" s="209" t="s">
        <v>318</v>
      </c>
      <c r="B10" s="209"/>
      <c r="C10" s="225">
        <v>659321</v>
      </c>
      <c r="D10" s="225">
        <v>1139417</v>
      </c>
      <c r="E10" s="225">
        <v>1227114</v>
      </c>
      <c r="F10" s="225">
        <v>1328205</v>
      </c>
      <c r="G10" s="225">
        <v>922455</v>
      </c>
      <c r="H10" s="225">
        <v>646832</v>
      </c>
      <c r="I10" s="225">
        <v>638239</v>
      </c>
      <c r="J10" s="225">
        <v>671705</v>
      </c>
      <c r="K10" s="225">
        <v>726744</v>
      </c>
      <c r="L10" s="225">
        <v>1062360</v>
      </c>
      <c r="M10" s="225">
        <v>616633</v>
      </c>
      <c r="N10" s="225">
        <v>948101</v>
      </c>
      <c r="O10" s="225">
        <v>853449</v>
      </c>
      <c r="P10" s="225">
        <v>977551</v>
      </c>
      <c r="Q10" s="225">
        <v>515753</v>
      </c>
    </row>
    <row r="11" spans="1:17" x14ac:dyDescent="0.35">
      <c r="A11" s="209" t="s">
        <v>319</v>
      </c>
      <c r="B11" s="209"/>
      <c r="C11" s="225">
        <v>1344164</v>
      </c>
      <c r="D11" s="225">
        <v>900745</v>
      </c>
      <c r="E11" s="225">
        <v>941191</v>
      </c>
      <c r="F11" s="225">
        <v>1007636</v>
      </c>
      <c r="G11" s="225">
        <v>942434</v>
      </c>
      <c r="H11" s="225">
        <f>939998</f>
        <v>939998</v>
      </c>
      <c r="I11" s="225">
        <v>1040855</v>
      </c>
      <c r="J11" s="225">
        <v>1098871</v>
      </c>
      <c r="K11" s="225">
        <v>1045762</v>
      </c>
      <c r="L11" s="225">
        <v>986014</v>
      </c>
      <c r="M11" s="225">
        <v>1049252</v>
      </c>
      <c r="N11" s="225">
        <v>1063888</v>
      </c>
      <c r="O11" s="225">
        <v>1062080</v>
      </c>
      <c r="P11" s="225">
        <v>1124059.0000000002</v>
      </c>
      <c r="Q11" s="225">
        <v>1250130</v>
      </c>
    </row>
    <row r="12" spans="1:17" x14ac:dyDescent="0.35">
      <c r="A12" s="209" t="s">
        <v>550</v>
      </c>
      <c r="B12" s="209"/>
      <c r="C12" s="225">
        <v>37141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>
        <v>0</v>
      </c>
      <c r="Q12" s="225"/>
    </row>
    <row r="13" spans="1:17" x14ac:dyDescent="0.35">
      <c r="A13" s="209" t="s">
        <v>320</v>
      </c>
      <c r="B13" s="209"/>
      <c r="C13" s="225">
        <v>734</v>
      </c>
      <c r="D13" s="225">
        <v>878</v>
      </c>
      <c r="E13" s="225">
        <v>1337</v>
      </c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>
        <v>0</v>
      </c>
      <c r="Q13" s="225"/>
    </row>
    <row r="14" spans="1:17" x14ac:dyDescent="0.35">
      <c r="A14" s="209" t="s">
        <v>551</v>
      </c>
      <c r="B14" s="209"/>
      <c r="C14" s="225">
        <v>91988</v>
      </c>
      <c r="D14" s="225">
        <v>96996</v>
      </c>
      <c r="E14" s="225">
        <v>108145</v>
      </c>
      <c r="F14" s="225">
        <v>107339</v>
      </c>
      <c r="G14" s="225">
        <v>103989</v>
      </c>
      <c r="H14" s="225">
        <v>118302</v>
      </c>
      <c r="I14" s="225">
        <v>108669</v>
      </c>
      <c r="J14" s="225">
        <v>143282</v>
      </c>
      <c r="K14" s="225">
        <v>97671</v>
      </c>
      <c r="L14" s="225">
        <v>99325</v>
      </c>
      <c r="M14" s="225">
        <v>110467</v>
      </c>
      <c r="N14" s="225">
        <v>150824</v>
      </c>
      <c r="O14" s="225">
        <v>118320</v>
      </c>
      <c r="P14" s="225">
        <v>123977</v>
      </c>
      <c r="Q14" s="225">
        <v>112037</v>
      </c>
    </row>
    <row r="15" spans="1:17" x14ac:dyDescent="0.35">
      <c r="A15" s="209" t="s">
        <v>552</v>
      </c>
      <c r="B15" s="209"/>
      <c r="C15" s="225">
        <f>D15*1000</f>
        <v>0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>
        <v>0</v>
      </c>
      <c r="Q15" s="225"/>
    </row>
    <row r="16" spans="1:17" x14ac:dyDescent="0.35">
      <c r="A16" s="209" t="s">
        <v>321</v>
      </c>
      <c r="B16" s="209"/>
      <c r="C16" s="225">
        <f>D16*1000</f>
        <v>0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>
        <v>0</v>
      </c>
      <c r="O16" s="225"/>
      <c r="P16" s="225">
        <v>0</v>
      </c>
      <c r="Q16" s="225"/>
    </row>
    <row r="17" spans="1:17" x14ac:dyDescent="0.35">
      <c r="A17" s="209" t="s">
        <v>336</v>
      </c>
      <c r="B17" s="209"/>
      <c r="C17" s="225">
        <v>2943</v>
      </c>
      <c r="D17" s="225">
        <v>2934</v>
      </c>
      <c r="E17" s="225">
        <v>5013</v>
      </c>
      <c r="F17" s="225">
        <v>3503</v>
      </c>
      <c r="G17" s="225">
        <v>3517</v>
      </c>
      <c r="H17" s="225">
        <v>3517</v>
      </c>
      <c r="I17" s="225">
        <v>3515</v>
      </c>
      <c r="J17" s="225">
        <v>3530</v>
      </c>
      <c r="K17" s="225">
        <v>3487</v>
      </c>
      <c r="L17" s="225">
        <v>4410</v>
      </c>
      <c r="M17" s="225">
        <v>5495</v>
      </c>
      <c r="N17" s="225">
        <v>4511</v>
      </c>
      <c r="O17" s="225">
        <v>4511</v>
      </c>
      <c r="P17" s="225">
        <v>4530</v>
      </c>
      <c r="Q17" s="225">
        <v>4253</v>
      </c>
    </row>
    <row r="18" spans="1:17" x14ac:dyDescent="0.35">
      <c r="A18" s="209" t="s">
        <v>390</v>
      </c>
      <c r="B18" s="209"/>
      <c r="C18" s="225">
        <f>D18*1000</f>
        <v>0</v>
      </c>
      <c r="D18" s="225"/>
      <c r="E18" s="225"/>
      <c r="F18" s="225"/>
      <c r="G18" s="225"/>
      <c r="H18" s="225"/>
      <c r="I18" s="225">
        <v>116826</v>
      </c>
      <c r="J18" s="225">
        <v>135965</v>
      </c>
      <c r="K18" s="225">
        <v>29003</v>
      </c>
      <c r="L18" s="225">
        <v>9400</v>
      </c>
      <c r="M18" s="225">
        <v>151519</v>
      </c>
      <c r="N18" s="225"/>
      <c r="O18" s="225"/>
      <c r="P18" s="225">
        <v>0</v>
      </c>
      <c r="Q18" s="225"/>
    </row>
    <row r="19" spans="1:17" x14ac:dyDescent="0.35">
      <c r="A19" s="209" t="s">
        <v>325</v>
      </c>
      <c r="B19" s="209"/>
      <c r="C19" s="225">
        <f>D19*1000</f>
        <v>0</v>
      </c>
      <c r="D19" s="225"/>
      <c r="E19" s="225"/>
      <c r="F19" s="225"/>
      <c r="G19" s="225">
        <v>3</v>
      </c>
      <c r="H19" s="225"/>
      <c r="I19" s="225"/>
      <c r="J19" s="225"/>
      <c r="K19" s="225"/>
      <c r="L19" s="225"/>
      <c r="M19" s="225"/>
      <c r="N19" s="225"/>
      <c r="O19" s="225"/>
      <c r="P19" s="225">
        <v>0</v>
      </c>
      <c r="Q19" s="225"/>
    </row>
    <row r="20" spans="1:17" x14ac:dyDescent="0.35">
      <c r="A20" s="209" t="s">
        <v>326</v>
      </c>
      <c r="B20" s="209"/>
      <c r="C20" s="225">
        <v>11311</v>
      </c>
      <c r="D20" s="225">
        <v>14329</v>
      </c>
      <c r="E20" s="225">
        <v>15626</v>
      </c>
      <c r="F20" s="225">
        <v>10484</v>
      </c>
      <c r="G20" s="225">
        <v>17763</v>
      </c>
      <c r="H20" s="225">
        <v>24337</v>
      </c>
      <c r="I20" s="225">
        <v>28380</v>
      </c>
      <c r="J20" s="225">
        <v>34483</v>
      </c>
      <c r="K20" s="225">
        <v>36672</v>
      </c>
      <c r="L20" s="225">
        <v>40184</v>
      </c>
      <c r="M20" s="225">
        <v>45114</v>
      </c>
      <c r="N20" s="225">
        <v>40492</v>
      </c>
      <c r="O20" s="225">
        <v>33656</v>
      </c>
      <c r="P20" s="225">
        <v>34764</v>
      </c>
      <c r="Q20" s="225">
        <v>39931</v>
      </c>
    </row>
    <row r="21" spans="1:17" x14ac:dyDescent="0.35">
      <c r="A21" s="209" t="s">
        <v>327</v>
      </c>
      <c r="B21" s="209"/>
      <c r="C21" s="225">
        <v>307555</v>
      </c>
      <c r="D21" s="225">
        <v>325522</v>
      </c>
      <c r="E21" s="225">
        <v>343280</v>
      </c>
      <c r="F21" s="225">
        <v>361904</v>
      </c>
      <c r="G21" s="225">
        <v>339423</v>
      </c>
      <c r="H21" s="225">
        <v>340500</v>
      </c>
      <c r="I21" s="225">
        <v>329034</v>
      </c>
      <c r="J21" s="225">
        <v>223330</v>
      </c>
      <c r="K21" s="225">
        <v>161806</v>
      </c>
      <c r="L21" s="225">
        <v>85840</v>
      </c>
      <c r="M21" s="225">
        <v>45575</v>
      </c>
      <c r="N21" s="225">
        <v>96576</v>
      </c>
      <c r="O21" s="225">
        <v>76263</v>
      </c>
      <c r="P21" s="225">
        <v>74551</v>
      </c>
      <c r="Q21" s="225">
        <v>66857</v>
      </c>
    </row>
    <row r="22" spans="1:17" x14ac:dyDescent="0.35">
      <c r="A22" s="209" t="s">
        <v>328</v>
      </c>
      <c r="B22" s="209"/>
      <c r="C22" s="225">
        <v>48543</v>
      </c>
      <c r="D22" s="225">
        <v>50914</v>
      </c>
      <c r="E22" s="225">
        <v>52117</v>
      </c>
      <c r="F22" s="225">
        <v>53464</v>
      </c>
      <c r="G22" s="225">
        <v>55065</v>
      </c>
      <c r="H22" s="225">
        <v>57227</v>
      </c>
      <c r="I22" s="225">
        <v>61151</v>
      </c>
      <c r="J22" s="225">
        <v>64924</v>
      </c>
      <c r="K22" s="225">
        <v>66366</v>
      </c>
      <c r="L22" s="225">
        <v>74282</v>
      </c>
      <c r="M22" s="225">
        <v>82061</v>
      </c>
      <c r="N22" s="225">
        <v>67354</v>
      </c>
      <c r="O22" s="225">
        <v>69692</v>
      </c>
      <c r="P22" s="225">
        <v>99207</v>
      </c>
      <c r="Q22" s="225">
        <v>140103</v>
      </c>
    </row>
    <row r="23" spans="1:17" ht="15" thickBot="1" x14ac:dyDescent="0.4">
      <c r="A23" s="212" t="s">
        <v>392</v>
      </c>
      <c r="B23" s="209"/>
      <c r="C23" s="225">
        <v>53092</v>
      </c>
      <c r="D23" s="225">
        <v>76625</v>
      </c>
      <c r="E23" s="225">
        <v>88906</v>
      </c>
      <c r="F23" s="225">
        <v>109137</v>
      </c>
      <c r="G23" s="225">
        <v>116376</v>
      </c>
      <c r="H23" s="225">
        <v>139820</v>
      </c>
      <c r="I23" s="225">
        <v>213440</v>
      </c>
      <c r="J23" s="225">
        <v>245609</v>
      </c>
      <c r="K23" s="225">
        <v>191270</v>
      </c>
      <c r="L23" s="225">
        <v>142688</v>
      </c>
      <c r="M23" s="225">
        <v>146555</v>
      </c>
      <c r="N23" s="225">
        <v>161031</v>
      </c>
      <c r="O23" s="225">
        <v>122966</v>
      </c>
      <c r="P23" s="225">
        <v>139999</v>
      </c>
      <c r="Q23" s="225">
        <v>127792</v>
      </c>
    </row>
    <row r="24" spans="1:17" ht="15" thickBot="1" x14ac:dyDescent="0.4">
      <c r="A24" s="213" t="s">
        <v>333</v>
      </c>
      <c r="B24" s="397"/>
      <c r="C24" s="214">
        <f t="shared" ref="C24:L24" si="1">SUM(C25:C41)</f>
        <v>4516905</v>
      </c>
      <c r="D24" s="214">
        <f t="shared" si="1"/>
        <v>4489000</v>
      </c>
      <c r="E24" s="214">
        <f t="shared" si="1"/>
        <v>4439686</v>
      </c>
      <c r="F24" s="214">
        <f t="shared" si="1"/>
        <v>4617166</v>
      </c>
      <c r="G24" s="214">
        <f t="shared" si="1"/>
        <v>4608331</v>
      </c>
      <c r="H24" s="214">
        <f t="shared" si="1"/>
        <v>4573693</v>
      </c>
      <c r="I24" s="214">
        <f t="shared" si="1"/>
        <v>4695883</v>
      </c>
      <c r="J24" s="214">
        <f t="shared" si="1"/>
        <v>5117625</v>
      </c>
      <c r="K24" s="214">
        <f t="shared" si="1"/>
        <v>5202949</v>
      </c>
      <c r="L24" s="214">
        <f t="shared" si="1"/>
        <v>5369792</v>
      </c>
      <c r="M24" s="214">
        <f>SUM(M25:M41)</f>
        <v>5510953</v>
      </c>
      <c r="N24" s="214">
        <f>SUM(N25:N41)</f>
        <v>5776721</v>
      </c>
      <c r="O24" s="214">
        <f>SUM(O25:O41)</f>
        <v>5953552</v>
      </c>
      <c r="P24" s="214">
        <f>SUM(P25:P41)</f>
        <v>6114967</v>
      </c>
      <c r="Q24" s="214">
        <f>SUM(Q25:Q41)</f>
        <v>6412625</v>
      </c>
    </row>
    <row r="25" spans="1:17" x14ac:dyDescent="0.35">
      <c r="A25" s="209" t="s">
        <v>318</v>
      </c>
      <c r="B25" s="397"/>
      <c r="C25" s="225">
        <v>57186</v>
      </c>
      <c r="D25" s="225">
        <v>57508</v>
      </c>
      <c r="E25" s="225">
        <v>57651</v>
      </c>
      <c r="F25" s="225">
        <v>57854</v>
      </c>
      <c r="G25" s="225">
        <v>58010</v>
      </c>
      <c r="H25" s="225">
        <v>51205</v>
      </c>
      <c r="I25" s="225">
        <v>51755</v>
      </c>
      <c r="J25" s="225">
        <v>52184</v>
      </c>
      <c r="K25" s="225">
        <v>53275</v>
      </c>
      <c r="L25" s="225">
        <v>31467</v>
      </c>
      <c r="M25" s="225">
        <v>314</v>
      </c>
      <c r="N25" s="225">
        <v>1036</v>
      </c>
      <c r="O25" s="225">
        <v>1053</v>
      </c>
      <c r="P25" s="225">
        <v>1089</v>
      </c>
      <c r="Q25" s="225">
        <v>1122</v>
      </c>
    </row>
    <row r="26" spans="1:17" x14ac:dyDescent="0.35">
      <c r="A26" s="209" t="s">
        <v>319</v>
      </c>
      <c r="B26" s="209"/>
      <c r="C26" s="225">
        <v>108206</v>
      </c>
      <c r="D26" s="225">
        <v>92289</v>
      </c>
      <c r="E26" s="225">
        <v>93721</v>
      </c>
      <c r="F26" s="225">
        <v>48889</v>
      </c>
      <c r="G26" s="225">
        <v>49683</v>
      </c>
      <c r="H26" s="225">
        <v>107843</v>
      </c>
      <c r="I26" s="225">
        <v>103866</v>
      </c>
      <c r="J26" s="225">
        <v>97717</v>
      </c>
      <c r="K26" s="225">
        <v>79090</v>
      </c>
      <c r="L26" s="225">
        <v>80311</v>
      </c>
      <c r="M26" s="225">
        <v>71619</v>
      </c>
      <c r="N26" s="225">
        <v>74793</v>
      </c>
      <c r="O26" s="225">
        <v>66906</v>
      </c>
      <c r="P26" s="225">
        <v>62379</v>
      </c>
      <c r="Q26" s="225">
        <v>65881</v>
      </c>
    </row>
    <row r="27" spans="1:17" x14ac:dyDescent="0.35">
      <c r="A27" s="209" t="s">
        <v>390</v>
      </c>
      <c r="B27" s="209"/>
      <c r="C27" s="225">
        <v>5172</v>
      </c>
      <c r="D27" s="225"/>
      <c r="E27" s="225"/>
      <c r="F27" s="225"/>
      <c r="G27" s="225">
        <v>28011</v>
      </c>
      <c r="H27" s="225">
        <v>21636</v>
      </c>
      <c r="I27" s="225">
        <v>54950</v>
      </c>
      <c r="J27" s="225">
        <v>105514</v>
      </c>
      <c r="K27" s="225">
        <v>63058</v>
      </c>
      <c r="L27" s="225">
        <v>6546</v>
      </c>
      <c r="M27" s="225">
        <v>0</v>
      </c>
      <c r="N27" s="225">
        <v>0</v>
      </c>
      <c r="O27" s="225"/>
      <c r="P27" s="225">
        <v>0</v>
      </c>
      <c r="Q27" s="225"/>
    </row>
    <row r="28" spans="1:17" x14ac:dyDescent="0.35">
      <c r="A28" s="209" t="s">
        <v>321</v>
      </c>
      <c r="B28" s="209"/>
      <c r="C28" s="225">
        <f>D28*1000</f>
        <v>0</v>
      </c>
      <c r="D28" s="225"/>
      <c r="E28" s="225"/>
      <c r="F28" s="225">
        <v>108587</v>
      </c>
      <c r="G28" s="225"/>
      <c r="H28" s="225"/>
      <c r="I28" s="225"/>
      <c r="J28" s="225"/>
      <c r="K28" s="225"/>
      <c r="L28" s="225"/>
      <c r="M28" s="225"/>
      <c r="N28" s="225"/>
      <c r="O28" s="225"/>
      <c r="P28" s="225">
        <v>0</v>
      </c>
      <c r="Q28" s="225"/>
    </row>
    <row r="29" spans="1:17" x14ac:dyDescent="0.35">
      <c r="A29" s="209" t="s">
        <v>551</v>
      </c>
      <c r="B29" s="209"/>
      <c r="C29" s="225">
        <v>2086</v>
      </c>
      <c r="D29" s="225">
        <v>2086</v>
      </c>
      <c r="E29" s="225">
        <v>2086</v>
      </c>
      <c r="F29" s="225">
        <v>104290</v>
      </c>
      <c r="G29" s="225">
        <v>25077</v>
      </c>
      <c r="H29" s="225">
        <v>25077</v>
      </c>
      <c r="I29" s="225">
        <v>25077</v>
      </c>
      <c r="J29" s="225">
        <v>7070</v>
      </c>
      <c r="K29" s="225">
        <v>7070</v>
      </c>
      <c r="L29" s="225">
        <v>7070</v>
      </c>
      <c r="M29" s="225">
        <v>7070</v>
      </c>
      <c r="N29" s="225">
        <v>5012</v>
      </c>
      <c r="O29" s="225">
        <v>5012</v>
      </c>
      <c r="P29" s="225">
        <v>5012</v>
      </c>
      <c r="Q29" s="225">
        <v>5012</v>
      </c>
    </row>
    <row r="30" spans="1:17" x14ac:dyDescent="0.35">
      <c r="A30" s="209" t="s">
        <v>336</v>
      </c>
      <c r="B30" s="209"/>
      <c r="C30" s="225">
        <v>96554</v>
      </c>
      <c r="D30" s="225">
        <v>97361</v>
      </c>
      <c r="E30" s="225">
        <v>98765</v>
      </c>
      <c r="F30" s="225">
        <v>25077</v>
      </c>
      <c r="G30" s="225">
        <v>107062</v>
      </c>
      <c r="H30" s="237">
        <v>108797</v>
      </c>
      <c r="I30" s="237">
        <v>112043</v>
      </c>
      <c r="J30" s="225">
        <v>115051</v>
      </c>
      <c r="K30" s="237">
        <v>118715</v>
      </c>
      <c r="L30" s="237">
        <v>119789</v>
      </c>
      <c r="M30" s="225">
        <v>121530</v>
      </c>
      <c r="N30" s="225">
        <v>125641</v>
      </c>
      <c r="O30" s="225">
        <v>127679</v>
      </c>
      <c r="P30" s="225">
        <v>130570</v>
      </c>
      <c r="Q30" s="225">
        <v>134757</v>
      </c>
    </row>
    <row r="31" spans="1:17" x14ac:dyDescent="0.35">
      <c r="A31" s="209" t="s">
        <v>338</v>
      </c>
      <c r="B31" s="209"/>
      <c r="C31" s="225"/>
      <c r="D31" s="225"/>
      <c r="E31" s="225"/>
      <c r="F31" s="225"/>
      <c r="G31" s="225"/>
      <c r="H31" s="237"/>
      <c r="I31" s="237"/>
      <c r="J31" s="225">
        <v>3012</v>
      </c>
      <c r="K31" s="237">
        <v>3012</v>
      </c>
      <c r="L31" s="237">
        <v>3012</v>
      </c>
      <c r="M31" s="225">
        <v>3012</v>
      </c>
      <c r="N31" s="225">
        <v>3670</v>
      </c>
      <c r="O31" s="225">
        <v>3618</v>
      </c>
      <c r="P31" s="225">
        <v>3565</v>
      </c>
      <c r="Q31" s="225">
        <v>3512</v>
      </c>
    </row>
    <row r="32" spans="1:17" x14ac:dyDescent="0.35">
      <c r="A32" s="209" t="s">
        <v>325</v>
      </c>
      <c r="B32" s="209"/>
      <c r="C32" s="225">
        <f>D32*1000</f>
        <v>0</v>
      </c>
      <c r="D32" s="225"/>
      <c r="E32" s="225"/>
      <c r="F32" s="225"/>
      <c r="G32" s="225">
        <v>2021</v>
      </c>
      <c r="H32" s="225"/>
      <c r="I32" s="225"/>
      <c r="J32" s="225"/>
      <c r="K32" s="225"/>
      <c r="L32" s="225"/>
      <c r="M32" s="225"/>
      <c r="N32" s="225"/>
      <c r="O32" s="225"/>
      <c r="P32" s="225">
        <v>0</v>
      </c>
      <c r="Q32" s="225"/>
    </row>
    <row r="33" spans="1:17" x14ac:dyDescent="0.35">
      <c r="A33" s="209" t="s">
        <v>327</v>
      </c>
      <c r="B33" s="209"/>
      <c r="C33" s="225">
        <v>534590</v>
      </c>
      <c r="D33" s="225">
        <v>494525</v>
      </c>
      <c r="E33" s="225">
        <v>387100</v>
      </c>
      <c r="F33" s="225">
        <v>282872</v>
      </c>
      <c r="G33" s="225">
        <v>218467</v>
      </c>
      <c r="H33" s="225">
        <v>144960</v>
      </c>
      <c r="I33" s="225">
        <v>59057</v>
      </c>
      <c r="J33" s="225">
        <v>60470</v>
      </c>
      <c r="K33" s="225">
        <v>61200</v>
      </c>
      <c r="L33" s="225">
        <v>80264</v>
      </c>
      <c r="M33" s="225">
        <v>92130</v>
      </c>
      <c r="N33" s="225">
        <v>86229</v>
      </c>
      <c r="O33" s="225">
        <v>94611</v>
      </c>
      <c r="P33" s="225">
        <v>100042</v>
      </c>
      <c r="Q33" s="225">
        <v>116046</v>
      </c>
    </row>
    <row r="34" spans="1:17" x14ac:dyDescent="0.35">
      <c r="A34" s="209" t="s">
        <v>328</v>
      </c>
      <c r="B34" s="209"/>
      <c r="C34" s="225">
        <f>D34*1000</f>
        <v>0</v>
      </c>
      <c r="D34" s="225"/>
      <c r="E34" s="225"/>
      <c r="F34" s="225"/>
      <c r="G34" s="225"/>
      <c r="H34" s="225"/>
      <c r="I34" s="225"/>
      <c r="J34" s="225">
        <v>32510</v>
      </c>
      <c r="K34" s="225">
        <v>32510</v>
      </c>
      <c r="L34" s="225">
        <v>32510</v>
      </c>
      <c r="M34" s="225">
        <v>32510</v>
      </c>
      <c r="N34" s="225">
        <v>32510</v>
      </c>
      <c r="O34" s="225">
        <v>32510</v>
      </c>
      <c r="P34" s="225">
        <v>32509.999999999996</v>
      </c>
      <c r="Q34" s="225">
        <v>32510</v>
      </c>
    </row>
    <row r="35" spans="1:17" x14ac:dyDescent="0.35">
      <c r="A35" s="209" t="s">
        <v>392</v>
      </c>
      <c r="B35" s="209"/>
      <c r="C35" s="225">
        <v>26902</v>
      </c>
      <c r="D35" s="225">
        <v>22773</v>
      </c>
      <c r="E35" s="225">
        <v>22742</v>
      </c>
      <c r="F35" s="225">
        <v>23545</v>
      </c>
      <c r="G35" s="225">
        <v>23555</v>
      </c>
      <c r="H35" s="225">
        <v>23544</v>
      </c>
      <c r="I35" s="225">
        <v>23528</v>
      </c>
      <c r="J35" s="225">
        <v>22536</v>
      </c>
      <c r="K35" s="225">
        <v>21622</v>
      </c>
      <c r="L35" s="225">
        <v>21955</v>
      </c>
      <c r="M35" s="225">
        <v>21943</v>
      </c>
      <c r="N35" s="225">
        <v>22065</v>
      </c>
      <c r="O35" s="225">
        <v>21959</v>
      </c>
      <c r="P35" s="225">
        <v>21924</v>
      </c>
      <c r="Q35" s="225">
        <v>21922</v>
      </c>
    </row>
    <row r="36" spans="1:17" x14ac:dyDescent="0.35">
      <c r="A36" s="209" t="s">
        <v>339</v>
      </c>
      <c r="B36" s="209"/>
      <c r="C36" s="398">
        <v>1693285</v>
      </c>
      <c r="D36" s="398">
        <v>1704452</v>
      </c>
      <c r="E36" s="398">
        <v>1796713</v>
      </c>
      <c r="F36" s="398">
        <v>1960726</v>
      </c>
      <c r="G36" s="398">
        <v>2320895</v>
      </c>
      <c r="H36" s="398">
        <v>2304544</v>
      </c>
      <c r="I36" s="398">
        <v>2415968</v>
      </c>
      <c r="J36" s="225">
        <v>2762771</v>
      </c>
      <c r="K36" s="398">
        <v>2915709</v>
      </c>
      <c r="L36" s="398">
        <v>3040513</v>
      </c>
      <c r="M36" s="398">
        <v>3068809</v>
      </c>
      <c r="N36" s="398">
        <v>3332039</v>
      </c>
      <c r="O36" s="398">
        <v>3437045</v>
      </c>
      <c r="P36" s="225">
        <v>3551720</v>
      </c>
      <c r="Q36" s="225">
        <v>3687611</v>
      </c>
    </row>
    <row r="37" spans="1:17" x14ac:dyDescent="0.35">
      <c r="A37" s="209" t="s">
        <v>341</v>
      </c>
      <c r="B37" s="209"/>
      <c r="C37" s="225">
        <f>D37*1000</f>
        <v>0</v>
      </c>
      <c r="D37" s="225"/>
      <c r="E37" s="225"/>
      <c r="F37" s="225"/>
      <c r="G37" s="225"/>
      <c r="H37" s="225"/>
      <c r="I37" s="225"/>
      <c r="J37" s="225">
        <v>623</v>
      </c>
      <c r="K37" s="225">
        <v>4038</v>
      </c>
      <c r="L37" s="225">
        <v>4396</v>
      </c>
      <c r="M37" s="225">
        <v>4848</v>
      </c>
      <c r="N37" s="225">
        <v>4839</v>
      </c>
      <c r="O37" s="225">
        <v>4831</v>
      </c>
      <c r="P37" s="225">
        <v>4822</v>
      </c>
      <c r="Q37" s="225">
        <v>4813</v>
      </c>
    </row>
    <row r="38" spans="1:17" x14ac:dyDescent="0.35">
      <c r="A38" s="209" t="s">
        <v>342</v>
      </c>
      <c r="B38" s="209"/>
      <c r="C38" s="225">
        <f>D38*1000</f>
        <v>0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>
        <v>0</v>
      </c>
      <c r="Q38" s="225"/>
    </row>
    <row r="39" spans="1:17" x14ac:dyDescent="0.35">
      <c r="A39" s="209" t="s">
        <v>344</v>
      </c>
      <c r="B39" s="209"/>
      <c r="C39" s="225">
        <v>1500947</v>
      </c>
      <c r="D39" s="225">
        <v>1472959</v>
      </c>
      <c r="E39" s="225">
        <v>1477410</v>
      </c>
      <c r="F39" s="225">
        <v>1527700</v>
      </c>
      <c r="G39" s="225">
        <v>1559666</v>
      </c>
      <c r="H39" s="225">
        <v>1568552</v>
      </c>
      <c r="I39" s="225">
        <v>1534450</v>
      </c>
      <c r="J39" s="225">
        <v>1520602</v>
      </c>
      <c r="K39" s="225">
        <v>1529669</v>
      </c>
      <c r="L39" s="225">
        <v>1521712</v>
      </c>
      <c r="M39" s="225">
        <v>1495676</v>
      </c>
      <c r="N39" s="225">
        <v>1482194</v>
      </c>
      <c r="O39" s="225">
        <v>1511927</v>
      </c>
      <c r="P39" s="225">
        <v>1504355</v>
      </c>
      <c r="Q39" s="225">
        <v>1487225</v>
      </c>
    </row>
    <row r="40" spans="1:17" x14ac:dyDescent="0.35">
      <c r="A40" s="209" t="s">
        <v>553</v>
      </c>
      <c r="B40" s="209"/>
      <c r="C40" s="225">
        <v>488893</v>
      </c>
      <c r="D40" s="225">
        <v>542735</v>
      </c>
      <c r="E40" s="225">
        <v>501711</v>
      </c>
      <c r="F40" s="225">
        <v>476246</v>
      </c>
      <c r="G40" s="225">
        <v>213975</v>
      </c>
      <c r="H40" s="225">
        <v>216950</v>
      </c>
      <c r="I40" s="225">
        <v>314284</v>
      </c>
      <c r="J40" s="225">
        <v>336004</v>
      </c>
      <c r="K40" s="225">
        <v>312662</v>
      </c>
      <c r="L40" s="225">
        <v>419361</v>
      </c>
      <c r="M40" s="225">
        <v>590716</v>
      </c>
      <c r="N40" s="225">
        <v>605601</v>
      </c>
      <c r="O40" s="225">
        <v>645503</v>
      </c>
      <c r="P40" s="225">
        <v>696276</v>
      </c>
      <c r="Q40" s="225">
        <v>851717</v>
      </c>
    </row>
    <row r="41" spans="1:17" ht="15" thickBot="1" x14ac:dyDescent="0.4">
      <c r="A41" s="209" t="s">
        <v>345</v>
      </c>
      <c r="B41" s="209"/>
      <c r="C41" s="225">
        <v>3084</v>
      </c>
      <c r="D41" s="225">
        <v>2312</v>
      </c>
      <c r="E41" s="225">
        <v>1787</v>
      </c>
      <c r="F41" s="225">
        <v>1380</v>
      </c>
      <c r="G41" s="225">
        <v>1909</v>
      </c>
      <c r="H41" s="225">
        <v>585</v>
      </c>
      <c r="I41" s="225">
        <v>905</v>
      </c>
      <c r="J41" s="225">
        <v>1561</v>
      </c>
      <c r="K41" s="225">
        <v>1319</v>
      </c>
      <c r="L41" s="225">
        <v>886</v>
      </c>
      <c r="M41" s="225">
        <v>776</v>
      </c>
      <c r="N41" s="225">
        <v>1092</v>
      </c>
      <c r="O41" s="225">
        <v>898</v>
      </c>
      <c r="P41" s="225">
        <v>703</v>
      </c>
      <c r="Q41" s="225">
        <v>497</v>
      </c>
    </row>
    <row r="42" spans="1:17" ht="15" thickBot="1" x14ac:dyDescent="0.4">
      <c r="A42" s="213" t="s">
        <v>346</v>
      </c>
      <c r="B42" s="397"/>
      <c r="C42" s="214">
        <f t="shared" ref="C42:L42" si="2">C8+C24</f>
        <v>7210705</v>
      </c>
      <c r="D42" s="214">
        <f t="shared" si="2"/>
        <v>7251309</v>
      </c>
      <c r="E42" s="214">
        <f t="shared" si="2"/>
        <v>7817608</v>
      </c>
      <c r="F42" s="214">
        <f t="shared" si="2"/>
        <v>7894296</v>
      </c>
      <c r="G42" s="214">
        <f t="shared" si="2"/>
        <v>7368506</v>
      </c>
      <c r="H42" s="214">
        <f t="shared" si="2"/>
        <v>7386493</v>
      </c>
      <c r="I42" s="214">
        <f t="shared" si="2"/>
        <v>7635651</v>
      </c>
      <c r="J42" s="214">
        <f t="shared" si="2"/>
        <v>7819323</v>
      </c>
      <c r="K42" s="214">
        <f t="shared" si="2"/>
        <v>7655944</v>
      </c>
      <c r="L42" s="214">
        <f t="shared" si="2"/>
        <v>8077012</v>
      </c>
      <c r="M42" s="214">
        <f>M8+M24</f>
        <v>7923736</v>
      </c>
      <c r="N42" s="214">
        <f>N8+N24</f>
        <v>8412859</v>
      </c>
      <c r="O42" s="214">
        <f>O8+O24</f>
        <v>8314616</v>
      </c>
      <c r="P42" s="214">
        <f>P8+P24</f>
        <v>8722394</v>
      </c>
      <c r="Q42" s="214">
        <f>Q8+Q24</f>
        <v>9020778</v>
      </c>
    </row>
    <row r="43" spans="1:17" x14ac:dyDescent="0.35">
      <c r="A43" s="209"/>
      <c r="B43" s="209"/>
    </row>
    <row r="44" spans="1:17" ht="15" thickBot="1" x14ac:dyDescent="0.4">
      <c r="A44" s="5" t="s">
        <v>347</v>
      </c>
      <c r="B44" s="204"/>
      <c r="C44" s="573" t="str">
        <f t="shared" ref="C44:M44" si="3">C7</f>
        <v>1T20</v>
      </c>
      <c r="D44" s="573" t="str">
        <f t="shared" si="3"/>
        <v>2T20</v>
      </c>
      <c r="E44" s="573" t="str">
        <f t="shared" si="3"/>
        <v>3T20</v>
      </c>
      <c r="F44" s="573" t="str">
        <f t="shared" si="3"/>
        <v>4T20</v>
      </c>
      <c r="G44" s="573" t="str">
        <f t="shared" si="3"/>
        <v>1T21</v>
      </c>
      <c r="H44" s="573" t="str">
        <f t="shared" si="3"/>
        <v>2T21</v>
      </c>
      <c r="I44" s="573" t="str">
        <f t="shared" si="3"/>
        <v>3T21</v>
      </c>
      <c r="J44" s="573" t="str">
        <f t="shared" si="3"/>
        <v>4T21</v>
      </c>
      <c r="K44" s="573" t="str">
        <f t="shared" si="3"/>
        <v>1T22</v>
      </c>
      <c r="L44" s="573" t="str">
        <f t="shared" si="3"/>
        <v>2T22</v>
      </c>
      <c r="M44" s="573" t="str">
        <f t="shared" si="3"/>
        <v>3T22</v>
      </c>
      <c r="N44" s="573" t="str">
        <f>N7</f>
        <v>4T22</v>
      </c>
      <c r="O44" s="573" t="str">
        <f>O7</f>
        <v>1T23</v>
      </c>
      <c r="P44" s="573" t="s">
        <v>82</v>
      </c>
      <c r="Q44" s="573" t="str">
        <f>Q7</f>
        <v>3T23</v>
      </c>
    </row>
    <row r="45" spans="1:17" ht="15" thickBot="1" x14ac:dyDescent="0.4">
      <c r="A45" s="205" t="s">
        <v>316</v>
      </c>
      <c r="B45" s="397"/>
      <c r="C45" s="207">
        <f>SUM(C46:C62)</f>
        <v>1606180</v>
      </c>
      <c r="D45" s="207">
        <f>SUM(D46:D62)</f>
        <v>1781724</v>
      </c>
      <c r="E45" s="207">
        <f>SUM(E46:E62)</f>
        <v>1992275</v>
      </c>
      <c r="F45" s="207">
        <f>SUM(F46:F62)</f>
        <v>2232872</v>
      </c>
      <c r="G45" s="207">
        <f t="shared" ref="G45:P45" si="4">SUM(G46:G62)</f>
        <v>1251597</v>
      </c>
      <c r="H45" s="207">
        <f t="shared" si="4"/>
        <v>1236488</v>
      </c>
      <c r="I45" s="207">
        <f t="shared" si="4"/>
        <v>2030531</v>
      </c>
      <c r="J45" s="207">
        <f t="shared" si="4"/>
        <v>2079877</v>
      </c>
      <c r="K45" s="207">
        <f t="shared" si="4"/>
        <v>1772913</v>
      </c>
      <c r="L45" s="207">
        <f t="shared" si="4"/>
        <v>1561691</v>
      </c>
      <c r="M45" s="207">
        <f t="shared" si="4"/>
        <v>1756074</v>
      </c>
      <c r="N45" s="207">
        <f t="shared" si="4"/>
        <v>1885048</v>
      </c>
      <c r="O45" s="207">
        <f t="shared" si="4"/>
        <v>1874893</v>
      </c>
      <c r="P45" s="207">
        <f t="shared" si="4"/>
        <v>1995544</v>
      </c>
      <c r="Q45" s="207">
        <f>SUM(Q46:Q62)</f>
        <v>2268438</v>
      </c>
    </row>
    <row r="46" spans="1:17" x14ac:dyDescent="0.35">
      <c r="A46" s="218" t="s">
        <v>348</v>
      </c>
      <c r="B46" s="218"/>
      <c r="C46" s="225">
        <v>350514</v>
      </c>
      <c r="D46" s="225">
        <v>331778</v>
      </c>
      <c r="E46" s="225">
        <v>368468</v>
      </c>
      <c r="F46" s="225">
        <v>578534</v>
      </c>
      <c r="G46" s="225">
        <v>411738</v>
      </c>
      <c r="H46" s="225">
        <v>390308</v>
      </c>
      <c r="I46" s="225">
        <v>632123</v>
      </c>
      <c r="J46" s="225">
        <v>610836</v>
      </c>
      <c r="K46" s="225">
        <v>418238</v>
      </c>
      <c r="L46" s="225">
        <v>515332</v>
      </c>
      <c r="M46" s="225">
        <v>516907</v>
      </c>
      <c r="N46" s="225">
        <v>509919</v>
      </c>
      <c r="O46" s="225">
        <v>441076</v>
      </c>
      <c r="P46" s="225">
        <v>493764</v>
      </c>
      <c r="Q46" s="225">
        <v>535625</v>
      </c>
    </row>
    <row r="47" spans="1:17" x14ac:dyDescent="0.35">
      <c r="A47" s="218" t="s">
        <v>350</v>
      </c>
      <c r="B47" s="218"/>
      <c r="C47" s="225">
        <v>15333</v>
      </c>
      <c r="D47" s="225">
        <v>18601</v>
      </c>
      <c r="E47" s="225">
        <v>21306</v>
      </c>
      <c r="F47" s="225">
        <v>16347</v>
      </c>
      <c r="G47" s="225">
        <v>17115</v>
      </c>
      <c r="H47" s="225">
        <v>19907</v>
      </c>
      <c r="I47" s="225">
        <v>21396</v>
      </c>
      <c r="J47" s="225">
        <v>19136</v>
      </c>
      <c r="K47" s="225">
        <v>20846</v>
      </c>
      <c r="L47" s="225">
        <v>24285</v>
      </c>
      <c r="M47" s="225">
        <v>27637</v>
      </c>
      <c r="N47" s="225">
        <v>22719</v>
      </c>
      <c r="O47" s="225">
        <v>30708</v>
      </c>
      <c r="P47" s="225">
        <v>29860</v>
      </c>
      <c r="Q47" s="225">
        <v>31360</v>
      </c>
    </row>
    <row r="48" spans="1:17" x14ac:dyDescent="0.35">
      <c r="A48" s="209" t="s">
        <v>367</v>
      </c>
      <c r="B48" s="209"/>
      <c r="C48" s="225">
        <v>774326</v>
      </c>
      <c r="D48" s="225">
        <v>773685</v>
      </c>
      <c r="E48" s="225">
        <v>785996</v>
      </c>
      <c r="F48" s="225">
        <v>776546</v>
      </c>
      <c r="G48" s="225">
        <v>91899</v>
      </c>
      <c r="H48" s="225">
        <v>100348</v>
      </c>
      <c r="I48" s="225">
        <v>106725</v>
      </c>
      <c r="J48" s="225">
        <v>112167</v>
      </c>
      <c r="K48" s="225">
        <v>112827</v>
      </c>
      <c r="L48" s="225">
        <v>117426</v>
      </c>
      <c r="M48" s="225">
        <v>113354</v>
      </c>
      <c r="N48" s="225">
        <v>109680</v>
      </c>
      <c r="O48" s="225">
        <v>288601</v>
      </c>
      <c r="P48" s="225">
        <v>298360</v>
      </c>
      <c r="Q48" s="225">
        <v>334507</v>
      </c>
    </row>
    <row r="49" spans="1:17" x14ac:dyDescent="0.35">
      <c r="A49" s="209" t="s">
        <v>191</v>
      </c>
      <c r="B49" s="209"/>
      <c r="C49" s="225">
        <v>102332</v>
      </c>
      <c r="D49" s="225">
        <v>14611</v>
      </c>
      <c r="E49" s="225">
        <v>14781</v>
      </c>
      <c r="F49" s="225">
        <v>184784</v>
      </c>
      <c r="G49" s="225">
        <v>191233</v>
      </c>
      <c r="H49" s="225">
        <v>203782</v>
      </c>
      <c r="I49" s="225">
        <v>709962</v>
      </c>
      <c r="J49" s="225">
        <v>511204</v>
      </c>
      <c r="K49" s="225">
        <v>504958</v>
      </c>
      <c r="L49" s="225">
        <v>525655</v>
      </c>
      <c r="M49" s="225">
        <v>20617</v>
      </c>
      <c r="N49" s="225">
        <v>161969</v>
      </c>
      <c r="O49" s="225">
        <v>179126</v>
      </c>
      <c r="P49" s="225">
        <v>172804</v>
      </c>
      <c r="Q49" s="225">
        <v>186912</v>
      </c>
    </row>
    <row r="50" spans="1:17" x14ac:dyDescent="0.35">
      <c r="A50" s="209" t="s">
        <v>554</v>
      </c>
      <c r="B50" s="209"/>
      <c r="C50" s="225">
        <v>10685</v>
      </c>
      <c r="D50" s="225">
        <v>64361</v>
      </c>
      <c r="E50" s="225">
        <v>182292</v>
      </c>
      <c r="F50" s="225">
        <v>253490</v>
      </c>
      <c r="G50" s="225">
        <v>123769</v>
      </c>
      <c r="H50" s="225">
        <v>132775</v>
      </c>
      <c r="I50" s="225"/>
      <c r="J50" s="225"/>
      <c r="K50" s="225"/>
      <c r="L50" s="225"/>
      <c r="M50" s="225"/>
      <c r="N50" s="225">
        <v>25005</v>
      </c>
      <c r="O50" s="225">
        <v>117048</v>
      </c>
      <c r="P50" s="225">
        <v>263655</v>
      </c>
      <c r="Q50" s="225">
        <v>159604</v>
      </c>
    </row>
    <row r="51" spans="1:17" x14ac:dyDescent="0.35">
      <c r="A51" s="209" t="s">
        <v>353</v>
      </c>
      <c r="B51" s="209"/>
      <c r="C51" s="225">
        <v>83757</v>
      </c>
      <c r="D51" s="225">
        <v>108742</v>
      </c>
      <c r="E51" s="225">
        <v>122633</v>
      </c>
      <c r="F51" s="225">
        <v>109053</v>
      </c>
      <c r="G51" s="225">
        <v>89308</v>
      </c>
      <c r="H51" s="225">
        <v>95519</v>
      </c>
      <c r="I51" s="225">
        <v>142003</v>
      </c>
      <c r="J51" s="225">
        <v>123121</v>
      </c>
      <c r="K51" s="225">
        <v>112290</v>
      </c>
      <c r="L51" s="225">
        <v>106645</v>
      </c>
      <c r="M51" s="225">
        <v>109827</v>
      </c>
      <c r="N51" s="225">
        <v>106221</v>
      </c>
      <c r="O51" s="225">
        <v>100856</v>
      </c>
      <c r="P51" s="225">
        <v>113884</v>
      </c>
      <c r="Q51" s="225">
        <v>131475</v>
      </c>
    </row>
    <row r="52" spans="1:17" x14ac:dyDescent="0.35">
      <c r="A52" s="209" t="s">
        <v>354</v>
      </c>
      <c r="B52" s="209"/>
      <c r="C52" s="225">
        <v>23250</v>
      </c>
      <c r="D52" s="225">
        <v>29557</v>
      </c>
      <c r="E52" s="225">
        <v>35249</v>
      </c>
      <c r="F52" s="225">
        <v>66144</v>
      </c>
      <c r="G52" s="225">
        <v>55021</v>
      </c>
      <c r="H52" s="225">
        <v>92590</v>
      </c>
      <c r="I52" s="225">
        <v>82049</v>
      </c>
      <c r="J52" s="225">
        <v>86017</v>
      </c>
      <c r="K52" s="225">
        <v>88704</v>
      </c>
      <c r="L52" s="225">
        <v>41936</v>
      </c>
      <c r="M52" s="225">
        <v>51795</v>
      </c>
      <c r="N52" s="225">
        <v>75693</v>
      </c>
      <c r="O52" s="225">
        <v>7081</v>
      </c>
      <c r="P52" s="225">
        <v>50651</v>
      </c>
      <c r="Q52" s="225">
        <v>81494</v>
      </c>
    </row>
    <row r="53" spans="1:17" x14ac:dyDescent="0.35">
      <c r="A53" s="209" t="s">
        <v>355</v>
      </c>
      <c r="B53" s="209"/>
      <c r="C53" s="225">
        <v>28493</v>
      </c>
      <c r="D53" s="225">
        <v>1090</v>
      </c>
      <c r="E53" s="225">
        <v>1091</v>
      </c>
      <c r="F53" s="225">
        <v>73635</v>
      </c>
      <c r="G53" s="225">
        <v>73635</v>
      </c>
      <c r="H53" s="225">
        <v>1234</v>
      </c>
      <c r="I53" s="225">
        <v>1310</v>
      </c>
      <c r="J53" s="225">
        <v>191072</v>
      </c>
      <c r="K53" s="225">
        <v>191072</v>
      </c>
      <c r="L53" s="225">
        <v>1430</v>
      </c>
      <c r="M53" s="225">
        <v>1430</v>
      </c>
      <c r="N53" s="225">
        <v>116055</v>
      </c>
      <c r="O53" s="225">
        <v>116054</v>
      </c>
      <c r="P53" s="225">
        <v>116054</v>
      </c>
      <c r="Q53" s="225">
        <v>459925</v>
      </c>
    </row>
    <row r="54" spans="1:17" x14ac:dyDescent="0.35">
      <c r="A54" s="209" t="s">
        <v>358</v>
      </c>
      <c r="B54" s="209"/>
      <c r="C54" s="225">
        <f>D54*1000</f>
        <v>0</v>
      </c>
      <c r="D54" s="225"/>
      <c r="E54" s="225"/>
      <c r="F54" s="225"/>
      <c r="G54" s="225"/>
      <c r="H54" s="225"/>
      <c r="I54" s="225"/>
      <c r="J54" s="225">
        <v>85698</v>
      </c>
      <c r="K54" s="225">
        <v>89740</v>
      </c>
      <c r="L54" s="225">
        <v>73479</v>
      </c>
      <c r="M54" s="225">
        <v>70732</v>
      </c>
      <c r="N54" s="225">
        <v>93975</v>
      </c>
      <c r="O54" s="225">
        <v>94961</v>
      </c>
      <c r="P54" s="225">
        <v>0</v>
      </c>
      <c r="Q54" s="225">
        <v>90870</v>
      </c>
    </row>
    <row r="55" spans="1:17" x14ac:dyDescent="0.35">
      <c r="A55" s="209" t="s">
        <v>357</v>
      </c>
      <c r="B55" s="209"/>
      <c r="C55" s="225">
        <v>12891</v>
      </c>
      <c r="D55" s="225">
        <v>13743</v>
      </c>
      <c r="E55" s="225">
        <v>18429</v>
      </c>
      <c r="F55" s="225">
        <v>17288</v>
      </c>
      <c r="G55" s="225">
        <v>18059</v>
      </c>
      <c r="H55" s="225">
        <v>20211</v>
      </c>
      <c r="I55" s="225">
        <v>11198</v>
      </c>
      <c r="J55" s="225">
        <v>13394</v>
      </c>
      <c r="K55" s="225">
        <v>8336</v>
      </c>
      <c r="L55" s="225">
        <v>11098</v>
      </c>
      <c r="M55" s="225">
        <v>13535</v>
      </c>
      <c r="N55" s="225">
        <v>16837</v>
      </c>
      <c r="O55" s="225">
        <v>16346</v>
      </c>
      <c r="P55" s="225">
        <v>22179</v>
      </c>
      <c r="Q55" s="225">
        <v>16888</v>
      </c>
    </row>
    <row r="56" spans="1:17" x14ac:dyDescent="0.35">
      <c r="A56" s="209" t="s">
        <v>555</v>
      </c>
      <c r="B56" s="209"/>
      <c r="C56" s="225">
        <v>57133</v>
      </c>
      <c r="D56" s="225">
        <v>56186</v>
      </c>
      <c r="E56" s="225">
        <v>53834</v>
      </c>
      <c r="F56" s="225">
        <v>55695</v>
      </c>
      <c r="G56" s="225">
        <v>66370</v>
      </c>
      <c r="H56" s="225">
        <v>59195</v>
      </c>
      <c r="I56" s="225">
        <v>51237</v>
      </c>
      <c r="J56" s="225"/>
      <c r="K56" s="225"/>
      <c r="L56" s="225"/>
      <c r="M56" s="225"/>
      <c r="N56" s="225"/>
      <c r="O56" s="225"/>
      <c r="P56" s="225">
        <v>93502</v>
      </c>
      <c r="Q56" s="225"/>
    </row>
    <row r="57" spans="1:17" x14ac:dyDescent="0.35">
      <c r="A57" s="209" t="s">
        <v>359</v>
      </c>
      <c r="B57" s="209"/>
      <c r="C57" s="225">
        <v>36388</v>
      </c>
      <c r="D57" s="225">
        <v>22785</v>
      </c>
      <c r="E57" s="225">
        <v>23915</v>
      </c>
      <c r="F57" s="225">
        <v>32267</v>
      </c>
      <c r="G57" s="225">
        <v>39484</v>
      </c>
      <c r="H57" s="225">
        <v>21874</v>
      </c>
      <c r="I57" s="225">
        <v>30008</v>
      </c>
      <c r="J57" s="225">
        <v>37799</v>
      </c>
      <c r="K57" s="225">
        <v>35548</v>
      </c>
      <c r="L57" s="225">
        <v>18748</v>
      </c>
      <c r="M57" s="225">
        <v>27793</v>
      </c>
      <c r="N57" s="225">
        <v>37628</v>
      </c>
      <c r="O57" s="225">
        <v>14975</v>
      </c>
      <c r="P57" s="225">
        <v>19350</v>
      </c>
      <c r="Q57" s="225">
        <v>30946</v>
      </c>
    </row>
    <row r="58" spans="1:17" x14ac:dyDescent="0.35">
      <c r="A58" s="209" t="s">
        <v>325</v>
      </c>
      <c r="B58" s="209"/>
      <c r="C58" s="225">
        <f>D58*1000</f>
        <v>0</v>
      </c>
      <c r="D58" s="225"/>
      <c r="E58" s="225"/>
      <c r="F58" s="225"/>
      <c r="G58" s="225"/>
      <c r="H58" s="225">
        <v>214</v>
      </c>
      <c r="I58" s="225">
        <v>16</v>
      </c>
      <c r="J58" s="225">
        <v>45</v>
      </c>
      <c r="K58" s="225">
        <v>100</v>
      </c>
      <c r="L58" s="225">
        <v>271</v>
      </c>
      <c r="M58" s="225">
        <v>66</v>
      </c>
      <c r="N58" s="225">
        <v>283</v>
      </c>
      <c r="O58" s="225">
        <v>24317</v>
      </c>
      <c r="P58" s="225">
        <v>38113</v>
      </c>
      <c r="Q58" s="225">
        <v>22675</v>
      </c>
    </row>
    <row r="59" spans="1:17" x14ac:dyDescent="0.35">
      <c r="A59" s="209" t="s">
        <v>556</v>
      </c>
      <c r="B59" s="209"/>
      <c r="C59" s="225">
        <v>26747</v>
      </c>
      <c r="D59" s="225">
        <v>19809</v>
      </c>
      <c r="E59" s="225">
        <v>9969</v>
      </c>
      <c r="F59" s="225">
        <v>22974</v>
      </c>
      <c r="G59" s="225">
        <v>22946</v>
      </c>
      <c r="H59" s="225">
        <v>22791</v>
      </c>
      <c r="I59" s="225">
        <v>23462</v>
      </c>
      <c r="J59" s="225">
        <v>30910</v>
      </c>
      <c r="K59" s="225">
        <v>22406</v>
      </c>
      <c r="L59" s="225">
        <v>22018</v>
      </c>
      <c r="M59" s="225">
        <v>21084</v>
      </c>
      <c r="N59" s="225">
        <v>18758</v>
      </c>
      <c r="O59" s="225">
        <v>18637</v>
      </c>
      <c r="P59" s="225">
        <v>18360</v>
      </c>
      <c r="Q59" s="225">
        <v>17813</v>
      </c>
    </row>
    <row r="60" spans="1:17" x14ac:dyDescent="0.35">
      <c r="A60" s="209" t="s">
        <v>363</v>
      </c>
      <c r="B60" s="209"/>
      <c r="C60" s="225">
        <v>56233</v>
      </c>
      <c r="D60" s="225">
        <v>292821</v>
      </c>
      <c r="E60" s="225">
        <v>310684</v>
      </c>
      <c r="F60" s="225"/>
      <c r="G60" s="225"/>
      <c r="H60" s="225"/>
      <c r="I60" s="225">
        <v>115527</v>
      </c>
      <c r="J60" s="225">
        <v>81925</v>
      </c>
      <c r="K60" s="225">
        <v>52074</v>
      </c>
      <c r="L60" s="225">
        <v>20761</v>
      </c>
      <c r="M60" s="225">
        <v>686222</v>
      </c>
      <c r="N60" s="225">
        <v>488834</v>
      </c>
      <c r="O60" s="225">
        <v>307388</v>
      </c>
      <c r="P60" s="225">
        <v>113101</v>
      </c>
      <c r="Q60" s="225">
        <v>0</v>
      </c>
    </row>
    <row r="61" spans="1:17" x14ac:dyDescent="0.35">
      <c r="A61" s="209" t="s">
        <v>366</v>
      </c>
      <c r="B61" s="209"/>
      <c r="C61" s="225">
        <v>26430</v>
      </c>
      <c r="D61" s="225">
        <v>32893</v>
      </c>
      <c r="E61" s="225">
        <v>42867</v>
      </c>
      <c r="F61" s="225">
        <v>45173</v>
      </c>
      <c r="G61" s="225">
        <v>49509</v>
      </c>
      <c r="H61" s="225">
        <v>75442</v>
      </c>
      <c r="I61" s="225">
        <v>103025</v>
      </c>
      <c r="J61" s="225">
        <v>175717</v>
      </c>
      <c r="K61" s="225">
        <v>115022</v>
      </c>
      <c r="L61" s="225">
        <v>82013</v>
      </c>
      <c r="M61" s="225">
        <v>94524</v>
      </c>
      <c r="N61" s="225">
        <v>100816</v>
      </c>
      <c r="O61" s="225">
        <v>117156</v>
      </c>
      <c r="P61" s="225">
        <v>151448</v>
      </c>
      <c r="Q61" s="225">
        <v>168005</v>
      </c>
    </row>
    <row r="62" spans="1:17" ht="15" thickBot="1" x14ac:dyDescent="0.4">
      <c r="A62" s="209" t="s">
        <v>364</v>
      </c>
      <c r="B62" s="209"/>
      <c r="C62" s="225">
        <v>1668</v>
      </c>
      <c r="D62" s="225">
        <v>1062</v>
      </c>
      <c r="E62" s="225">
        <v>761</v>
      </c>
      <c r="F62" s="225">
        <v>942</v>
      </c>
      <c r="G62" s="225">
        <v>1511</v>
      </c>
      <c r="H62" s="225">
        <v>298</v>
      </c>
      <c r="I62" s="225">
        <v>490</v>
      </c>
      <c r="J62" s="225">
        <v>836</v>
      </c>
      <c r="K62" s="225">
        <v>752</v>
      </c>
      <c r="L62" s="225">
        <v>594</v>
      </c>
      <c r="M62" s="225">
        <v>551</v>
      </c>
      <c r="N62" s="225">
        <v>656</v>
      </c>
      <c r="O62" s="225">
        <v>563</v>
      </c>
      <c r="P62" s="225">
        <v>459</v>
      </c>
      <c r="Q62" s="225">
        <v>339</v>
      </c>
    </row>
    <row r="63" spans="1:17" ht="15" thickBot="1" x14ac:dyDescent="0.4">
      <c r="A63" s="213" t="s">
        <v>333</v>
      </c>
      <c r="B63" s="397"/>
      <c r="C63" s="214">
        <f t="shared" ref="C63:L63" si="5">SUM(C64:C77)</f>
        <v>2671306</v>
      </c>
      <c r="D63" s="214">
        <f t="shared" si="5"/>
        <v>2432635</v>
      </c>
      <c r="E63" s="214">
        <f t="shared" si="5"/>
        <v>2595328</v>
      </c>
      <c r="F63" s="214">
        <f t="shared" si="5"/>
        <v>2664181</v>
      </c>
      <c r="G63" s="214">
        <f t="shared" si="5"/>
        <v>2945167</v>
      </c>
      <c r="H63" s="214">
        <f t="shared" si="5"/>
        <v>2908429</v>
      </c>
      <c r="I63" s="214">
        <f t="shared" si="5"/>
        <v>2485236</v>
      </c>
      <c r="J63" s="214">
        <f t="shared" si="5"/>
        <v>2675600</v>
      </c>
      <c r="K63" s="214">
        <f t="shared" si="5"/>
        <v>2692444</v>
      </c>
      <c r="L63" s="214">
        <f t="shared" si="5"/>
        <v>3442521</v>
      </c>
      <c r="M63" s="214">
        <f>SUM(M64:M77)</f>
        <v>3005694</v>
      </c>
      <c r="N63" s="214">
        <f>SUM(N64:N77)</f>
        <v>3077560</v>
      </c>
      <c r="O63" s="214">
        <f>SUM(O64:O77)</f>
        <v>2827872</v>
      </c>
      <c r="P63" s="214">
        <f>SUM(P64:P77)</f>
        <v>2942896</v>
      </c>
      <c r="Q63" s="214">
        <f>SUM(Q64:Q77)</f>
        <v>3094710</v>
      </c>
    </row>
    <row r="64" spans="1:17" x14ac:dyDescent="0.35">
      <c r="A64" s="209" t="s">
        <v>338</v>
      </c>
      <c r="B64" s="397"/>
      <c r="C64" s="235"/>
      <c r="D64" s="235"/>
      <c r="E64" s="235"/>
      <c r="F64" s="235"/>
      <c r="G64" s="235"/>
      <c r="H64" s="235"/>
      <c r="I64" s="235"/>
      <c r="J64" s="235">
        <v>5763</v>
      </c>
      <c r="K64" s="235">
        <v>5763</v>
      </c>
      <c r="L64" s="235">
        <v>5763</v>
      </c>
      <c r="M64" s="235">
        <v>5763</v>
      </c>
      <c r="N64" s="235"/>
      <c r="O64" s="235">
        <v>9010</v>
      </c>
      <c r="P64" s="235">
        <v>9112</v>
      </c>
      <c r="Q64" s="236">
        <v>9215</v>
      </c>
    </row>
    <row r="65" spans="1:17" x14ac:dyDescent="0.35">
      <c r="A65" s="209" t="s">
        <v>348</v>
      </c>
      <c r="B65" s="397"/>
      <c r="C65" s="235">
        <v>6740</v>
      </c>
      <c r="D65" s="235">
        <v>6731</v>
      </c>
      <c r="E65" s="235">
        <v>6731</v>
      </c>
      <c r="F65" s="235">
        <v>6695</v>
      </c>
      <c r="G65" s="235">
        <v>19736</v>
      </c>
      <c r="H65" s="235">
        <v>19280</v>
      </c>
      <c r="I65" s="235">
        <v>18746</v>
      </c>
      <c r="J65" s="235">
        <v>10849</v>
      </c>
      <c r="K65" s="235">
        <v>10693</v>
      </c>
      <c r="L65" s="235">
        <v>10537</v>
      </c>
      <c r="M65" s="235">
        <v>10381</v>
      </c>
      <c r="N65" s="235">
        <v>10223</v>
      </c>
      <c r="O65" s="235">
        <v>10067</v>
      </c>
      <c r="P65" s="235">
        <v>21398</v>
      </c>
      <c r="Q65" s="236">
        <v>20823</v>
      </c>
    </row>
    <row r="66" spans="1:17" x14ac:dyDescent="0.35">
      <c r="A66" s="209" t="s">
        <v>367</v>
      </c>
      <c r="B66" s="209"/>
      <c r="C66" s="225">
        <v>781662</v>
      </c>
      <c r="D66" s="225">
        <v>734263</v>
      </c>
      <c r="E66" s="225">
        <v>874164</v>
      </c>
      <c r="F66" s="225">
        <v>856508</v>
      </c>
      <c r="G66" s="225">
        <v>1117347</v>
      </c>
      <c r="H66" s="225">
        <v>1050158</v>
      </c>
      <c r="I66" s="225">
        <v>1243496</v>
      </c>
      <c r="J66" s="235">
        <v>1398815</v>
      </c>
      <c r="K66" s="225">
        <v>1340566</v>
      </c>
      <c r="L66" s="225">
        <v>1601209</v>
      </c>
      <c r="M66" s="235">
        <v>1588471</v>
      </c>
      <c r="N66" s="235">
        <v>1879903</v>
      </c>
      <c r="O66" s="235">
        <v>1697120</v>
      </c>
      <c r="P66" s="235">
        <v>1856252</v>
      </c>
      <c r="Q66" s="236">
        <v>1848510</v>
      </c>
    </row>
    <row r="67" spans="1:17" x14ac:dyDescent="0.35">
      <c r="A67" s="209" t="s">
        <v>191</v>
      </c>
      <c r="B67" s="209"/>
      <c r="C67" s="225">
        <v>800272</v>
      </c>
      <c r="D67" s="225">
        <v>797842</v>
      </c>
      <c r="E67" s="225">
        <v>801834</v>
      </c>
      <c r="F67" s="225">
        <v>630704</v>
      </c>
      <c r="G67" s="225">
        <v>634436</v>
      </c>
      <c r="H67" s="225">
        <v>637637</v>
      </c>
      <c r="I67" s="225"/>
      <c r="J67" s="235">
        <v>146729</v>
      </c>
      <c r="K67" s="225">
        <v>150541</v>
      </c>
      <c r="L67" s="225">
        <v>454746</v>
      </c>
      <c r="M67" s="235">
        <v>453901</v>
      </c>
      <c r="N67" s="235">
        <v>298957</v>
      </c>
      <c r="O67" s="235">
        <v>299016</v>
      </c>
      <c r="P67" s="235">
        <v>299075</v>
      </c>
      <c r="Q67" s="236">
        <v>299134</v>
      </c>
    </row>
    <row r="68" spans="1:17" x14ac:dyDescent="0.35">
      <c r="A68" s="209" t="s">
        <v>353</v>
      </c>
      <c r="B68" s="209"/>
      <c r="C68" s="225">
        <v>3183</v>
      </c>
      <c r="D68" s="225">
        <v>3200</v>
      </c>
      <c r="E68" s="225">
        <v>3220</v>
      </c>
      <c r="F68" s="225">
        <v>3268</v>
      </c>
      <c r="G68" s="225">
        <v>3312</v>
      </c>
      <c r="H68" s="225">
        <v>3601</v>
      </c>
      <c r="I68" s="225">
        <v>3656</v>
      </c>
      <c r="J68" s="235">
        <v>3712</v>
      </c>
      <c r="K68" s="225">
        <v>3762</v>
      </c>
      <c r="L68" s="225">
        <v>3806</v>
      </c>
      <c r="M68" s="235">
        <v>3869</v>
      </c>
      <c r="N68" s="235">
        <v>3912</v>
      </c>
      <c r="O68" s="235">
        <v>3968</v>
      </c>
      <c r="P68" s="235">
        <v>4025.0000000000005</v>
      </c>
      <c r="Q68" s="236">
        <v>4087</v>
      </c>
    </row>
    <row r="69" spans="1:17" x14ac:dyDescent="0.35">
      <c r="A69" s="209" t="s">
        <v>337</v>
      </c>
      <c r="B69" s="209"/>
      <c r="C69" s="225">
        <v>373787</v>
      </c>
      <c r="D69" s="225">
        <v>366165</v>
      </c>
      <c r="E69" s="225">
        <v>366902</v>
      </c>
      <c r="F69" s="225">
        <v>376374</v>
      </c>
      <c r="G69" s="225">
        <v>397254</v>
      </c>
      <c r="H69" s="225">
        <v>372802</v>
      </c>
      <c r="I69" s="225">
        <v>399106</v>
      </c>
      <c r="J69" s="235">
        <v>476104</v>
      </c>
      <c r="K69" s="225">
        <v>480363</v>
      </c>
      <c r="L69" s="225">
        <v>480538</v>
      </c>
      <c r="M69" s="235">
        <v>486153</v>
      </c>
      <c r="N69" s="235">
        <v>516165</v>
      </c>
      <c r="O69" s="235">
        <v>529547</v>
      </c>
      <c r="P69" s="235">
        <v>515424</v>
      </c>
      <c r="Q69" s="236">
        <v>516529</v>
      </c>
    </row>
    <row r="70" spans="1:17" x14ac:dyDescent="0.35">
      <c r="A70" s="209" t="s">
        <v>358</v>
      </c>
      <c r="B70" s="209"/>
      <c r="C70" s="225"/>
      <c r="D70" s="225"/>
      <c r="E70" s="225"/>
      <c r="F70" s="225"/>
      <c r="G70" s="225"/>
      <c r="H70" s="225"/>
      <c r="I70" s="225"/>
      <c r="J70" s="235">
        <v>17248</v>
      </c>
      <c r="K70" s="225">
        <v>13523</v>
      </c>
      <c r="L70" s="225">
        <v>24421</v>
      </c>
      <c r="M70" s="235">
        <v>28521</v>
      </c>
      <c r="N70" s="235">
        <v>10890</v>
      </c>
      <c r="O70" s="235">
        <v>14448</v>
      </c>
      <c r="P70" s="235">
        <v>18113</v>
      </c>
      <c r="Q70" s="236">
        <v>28175</v>
      </c>
    </row>
    <row r="71" spans="1:17" x14ac:dyDescent="0.35">
      <c r="A71" s="209" t="s">
        <v>556</v>
      </c>
      <c r="B71" s="209"/>
      <c r="C71" s="225">
        <v>94733</v>
      </c>
      <c r="D71" s="225">
        <v>101336</v>
      </c>
      <c r="E71" s="225">
        <v>110619</v>
      </c>
      <c r="F71" s="225">
        <v>100600</v>
      </c>
      <c r="G71" s="225">
        <v>103733</v>
      </c>
      <c r="H71" s="225">
        <v>104530</v>
      </c>
      <c r="I71" s="225">
        <v>107131</v>
      </c>
      <c r="J71" s="235">
        <v>98499</v>
      </c>
      <c r="K71" s="225">
        <v>108334</v>
      </c>
      <c r="L71" s="225">
        <v>107777</v>
      </c>
      <c r="M71" s="235">
        <v>107075</v>
      </c>
      <c r="N71" s="235">
        <v>104159</v>
      </c>
      <c r="O71" s="235">
        <v>105498</v>
      </c>
      <c r="P71" s="235">
        <v>105246</v>
      </c>
      <c r="Q71" s="236">
        <v>104899</v>
      </c>
    </row>
    <row r="72" spans="1:17" x14ac:dyDescent="0.35">
      <c r="A72" s="209" t="s">
        <v>390</v>
      </c>
      <c r="B72" s="209"/>
      <c r="C72" s="225"/>
      <c r="D72" s="225">
        <v>41129</v>
      </c>
      <c r="E72" s="225">
        <v>60294</v>
      </c>
      <c r="F72" s="225"/>
      <c r="G72" s="225"/>
      <c r="H72" s="225"/>
      <c r="I72" s="225"/>
      <c r="J72" s="235">
        <v>0</v>
      </c>
      <c r="K72" s="225"/>
      <c r="L72" s="225"/>
      <c r="M72" s="235">
        <v>271114</v>
      </c>
      <c r="N72" s="235">
        <v>176841</v>
      </c>
      <c r="O72" s="235">
        <v>115724</v>
      </c>
      <c r="P72" s="235">
        <v>52652</v>
      </c>
      <c r="Q72" s="236">
        <v>212162</v>
      </c>
    </row>
    <row r="73" spans="1:17" x14ac:dyDescent="0.35">
      <c r="A73" s="209" t="s">
        <v>325</v>
      </c>
      <c r="B73" s="209"/>
      <c r="C73" s="225"/>
      <c r="D73" s="225"/>
      <c r="E73" s="225"/>
      <c r="F73" s="225"/>
      <c r="G73" s="225"/>
      <c r="H73" s="225"/>
      <c r="I73" s="225"/>
      <c r="J73" s="235">
        <v>8166</v>
      </c>
      <c r="K73" s="225">
        <v>65789</v>
      </c>
      <c r="L73" s="225">
        <v>51550</v>
      </c>
      <c r="M73" s="235">
        <v>38294</v>
      </c>
      <c r="N73" s="235">
        <v>51779</v>
      </c>
      <c r="O73" s="235">
        <v>24243</v>
      </c>
      <c r="P73" s="235">
        <v>37716</v>
      </c>
      <c r="Q73" s="236">
        <v>22603</v>
      </c>
    </row>
    <row r="74" spans="1:17" x14ac:dyDescent="0.35">
      <c r="A74" s="209" t="s">
        <v>555</v>
      </c>
      <c r="B74" s="209"/>
      <c r="C74" s="225">
        <v>41271</v>
      </c>
      <c r="D74" s="225">
        <v>45475</v>
      </c>
      <c r="E74" s="225">
        <v>50764</v>
      </c>
      <c r="F74" s="225">
        <v>56784</v>
      </c>
      <c r="G74" s="225">
        <v>48164</v>
      </c>
      <c r="H74" s="225"/>
      <c r="I74" s="225"/>
      <c r="J74" s="235"/>
      <c r="K74" s="225"/>
      <c r="L74" s="225"/>
      <c r="M74" s="235"/>
      <c r="N74" s="235"/>
      <c r="O74" s="235"/>
      <c r="P74" s="235">
        <v>0</v>
      </c>
      <c r="Q74" s="236"/>
    </row>
    <row r="75" spans="1:17" x14ac:dyDescent="0.35">
      <c r="A75" s="209" t="s">
        <v>363</v>
      </c>
      <c r="B75" s="209"/>
      <c r="C75" s="225">
        <v>555015</v>
      </c>
      <c r="D75" s="225">
        <v>322112</v>
      </c>
      <c r="E75" s="225">
        <v>306650</v>
      </c>
      <c r="F75" s="225">
        <v>619293</v>
      </c>
      <c r="G75" s="225">
        <v>620923</v>
      </c>
      <c r="H75" s="225">
        <v>623140</v>
      </c>
      <c r="I75" s="225">
        <v>497899</v>
      </c>
      <c r="J75" s="235">
        <v>501158</v>
      </c>
      <c r="K75" s="225">
        <v>504182</v>
      </c>
      <c r="L75" s="225">
        <v>691692</v>
      </c>
      <c r="M75" s="235">
        <v>0</v>
      </c>
      <c r="N75" s="235">
        <v>0</v>
      </c>
      <c r="O75" s="235"/>
      <c r="P75" s="235">
        <v>0</v>
      </c>
      <c r="Q75" s="236"/>
    </row>
    <row r="76" spans="1:17" x14ac:dyDescent="0.35">
      <c r="A76" s="209" t="s">
        <v>364</v>
      </c>
      <c r="B76" s="209"/>
      <c r="C76" s="225">
        <v>650</v>
      </c>
      <c r="D76" s="225">
        <v>549</v>
      </c>
      <c r="E76" s="225">
        <v>475</v>
      </c>
      <c r="F76" s="225">
        <v>434</v>
      </c>
      <c r="G76" s="225">
        <v>239</v>
      </c>
      <c r="H76" s="225">
        <v>716</v>
      </c>
      <c r="I76" s="225">
        <v>472</v>
      </c>
      <c r="J76" s="235">
        <v>789</v>
      </c>
      <c r="K76" s="225">
        <v>631</v>
      </c>
      <c r="L76" s="225">
        <v>328</v>
      </c>
      <c r="M76" s="235">
        <v>257</v>
      </c>
      <c r="N76" s="235">
        <v>470</v>
      </c>
      <c r="O76" s="235">
        <v>367</v>
      </c>
      <c r="P76" s="235">
        <v>273</v>
      </c>
      <c r="Q76" s="236">
        <v>164</v>
      </c>
    </row>
    <row r="77" spans="1:17" ht="15" thickBot="1" x14ac:dyDescent="0.4">
      <c r="A77" s="209" t="s">
        <v>366</v>
      </c>
      <c r="B77" s="209"/>
      <c r="C77" s="225">
        <v>13993</v>
      </c>
      <c r="D77" s="225">
        <v>13833</v>
      </c>
      <c r="E77" s="225">
        <v>13675</v>
      </c>
      <c r="F77" s="225">
        <v>13521</v>
      </c>
      <c r="G77" s="225">
        <v>23</v>
      </c>
      <c r="H77" s="237">
        <v>96565</v>
      </c>
      <c r="I77" s="237">
        <v>214730</v>
      </c>
      <c r="J77" s="235">
        <v>7768</v>
      </c>
      <c r="K77" s="237">
        <v>8297</v>
      </c>
      <c r="L77" s="237">
        <v>10154</v>
      </c>
      <c r="M77" s="235">
        <v>11895</v>
      </c>
      <c r="N77" s="235">
        <v>24261</v>
      </c>
      <c r="O77" s="235">
        <v>18864</v>
      </c>
      <c r="P77" s="235">
        <v>23610</v>
      </c>
      <c r="Q77" s="236">
        <v>28409</v>
      </c>
    </row>
    <row r="78" spans="1:17" ht="15" thickBot="1" x14ac:dyDescent="0.4">
      <c r="A78" s="222" t="s">
        <v>370</v>
      </c>
      <c r="B78" s="397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</row>
    <row r="79" spans="1:17" ht="15" thickBot="1" x14ac:dyDescent="0.4">
      <c r="A79" s="213" t="s">
        <v>371</v>
      </c>
      <c r="B79" s="397"/>
      <c r="C79" s="214">
        <f t="shared" ref="C79:Q79" si="6">SUM(C80:C85)</f>
        <v>2933219</v>
      </c>
      <c r="D79" s="214">
        <f t="shared" si="6"/>
        <v>3036950</v>
      </c>
      <c r="E79" s="214">
        <f t="shared" si="6"/>
        <v>3230005</v>
      </c>
      <c r="F79" s="214">
        <f t="shared" si="6"/>
        <v>2997243</v>
      </c>
      <c r="G79" s="214">
        <f t="shared" si="6"/>
        <v>3171742</v>
      </c>
      <c r="H79" s="214">
        <f t="shared" si="6"/>
        <v>3241576</v>
      </c>
      <c r="I79" s="214">
        <f t="shared" si="6"/>
        <v>3119884</v>
      </c>
      <c r="J79" s="214">
        <f t="shared" si="6"/>
        <v>3063846</v>
      </c>
      <c r="K79" s="214">
        <f t="shared" si="6"/>
        <v>3190587</v>
      </c>
      <c r="L79" s="214">
        <f t="shared" si="6"/>
        <v>3072800</v>
      </c>
      <c r="M79" s="214">
        <f t="shared" si="6"/>
        <v>3161968</v>
      </c>
      <c r="N79" s="214">
        <f t="shared" si="6"/>
        <v>3450251</v>
      </c>
      <c r="O79" s="214">
        <f t="shared" si="6"/>
        <v>3611851</v>
      </c>
      <c r="P79" s="214">
        <f t="shared" si="6"/>
        <v>3783954</v>
      </c>
      <c r="Q79" s="214">
        <f t="shared" si="6"/>
        <v>3657630</v>
      </c>
    </row>
    <row r="80" spans="1:17" x14ac:dyDescent="0.35">
      <c r="A80" s="209" t="s">
        <v>402</v>
      </c>
      <c r="B80" s="209"/>
      <c r="C80" s="225">
        <v>1312534</v>
      </c>
      <c r="D80" s="225">
        <v>1321534</v>
      </c>
      <c r="E80" s="225">
        <v>1321534</v>
      </c>
      <c r="F80" s="225">
        <v>1479713</v>
      </c>
      <c r="G80" s="225">
        <v>1479713</v>
      </c>
      <c r="H80" s="225">
        <v>1651592</v>
      </c>
      <c r="I80" s="225">
        <v>1651592</v>
      </c>
      <c r="J80" s="225">
        <v>1651592</v>
      </c>
      <c r="K80" s="225">
        <v>1651592</v>
      </c>
      <c r="L80" s="225">
        <v>1651592</v>
      </c>
      <c r="M80" s="225">
        <v>1651592</v>
      </c>
      <c r="N80" s="225">
        <v>1651592</v>
      </c>
      <c r="O80" s="225">
        <v>1651592</v>
      </c>
      <c r="P80" s="225">
        <v>1651592</v>
      </c>
      <c r="Q80" s="225">
        <v>1651592</v>
      </c>
    </row>
    <row r="81" spans="1:17" x14ac:dyDescent="0.35">
      <c r="A81" s="209" t="s">
        <v>557</v>
      </c>
      <c r="B81" s="209"/>
      <c r="C81" s="225">
        <f>D81*1000</f>
        <v>0</v>
      </c>
      <c r="D81" s="225"/>
      <c r="E81" s="225"/>
      <c r="F81" s="225">
        <v>27160</v>
      </c>
      <c r="G81" s="225">
        <v>31927</v>
      </c>
      <c r="H81" s="225">
        <v>32923</v>
      </c>
      <c r="I81" s="225">
        <v>36060</v>
      </c>
      <c r="J81" s="225">
        <v>39099</v>
      </c>
      <c r="K81" s="225">
        <v>41072</v>
      </c>
      <c r="L81" s="225">
        <v>43450</v>
      </c>
      <c r="M81" s="225">
        <v>45930</v>
      </c>
      <c r="N81" s="225">
        <v>48268</v>
      </c>
      <c r="O81" s="225">
        <v>49770</v>
      </c>
      <c r="P81" s="225">
        <v>51465</v>
      </c>
      <c r="Q81" s="225">
        <v>53676</v>
      </c>
    </row>
    <row r="82" spans="1:17" x14ac:dyDescent="0.35">
      <c r="A82" s="209" t="s">
        <v>558</v>
      </c>
      <c r="B82" s="209"/>
      <c r="C82" s="225">
        <v>1481059</v>
      </c>
      <c r="D82" s="225">
        <v>1446315</v>
      </c>
      <c r="E82" s="225">
        <v>1446315</v>
      </c>
      <c r="F82" s="225">
        <v>1489080</v>
      </c>
      <c r="G82" s="225">
        <v>1489080</v>
      </c>
      <c r="H82" s="225">
        <v>1174569</v>
      </c>
      <c r="I82" s="225">
        <v>1135657</v>
      </c>
      <c r="J82" s="225">
        <v>1384827</v>
      </c>
      <c r="K82" s="225">
        <v>1384827</v>
      </c>
      <c r="L82" s="225">
        <v>1241250</v>
      </c>
      <c r="M82" s="225">
        <v>1241250</v>
      </c>
      <c r="N82" s="225">
        <v>1774771</v>
      </c>
      <c r="O82" s="225">
        <v>1774772</v>
      </c>
      <c r="P82" s="225">
        <v>1807714</v>
      </c>
      <c r="Q82" s="225">
        <v>1463842</v>
      </c>
    </row>
    <row r="83" spans="1:17" x14ac:dyDescent="0.35">
      <c r="A83" s="209" t="s">
        <v>373</v>
      </c>
      <c r="B83" s="209"/>
      <c r="C83" s="225">
        <v>651</v>
      </c>
      <c r="D83" s="225">
        <v>651</v>
      </c>
      <c r="E83" s="225">
        <v>651</v>
      </c>
      <c r="F83" s="225">
        <v>1290</v>
      </c>
      <c r="G83" s="225">
        <v>-22623</v>
      </c>
      <c r="H83" s="225">
        <v>-7919</v>
      </c>
      <c r="I83" s="225">
        <v>-309030</v>
      </c>
      <c r="J83" s="225">
        <v>-11672</v>
      </c>
      <c r="K83" s="225">
        <v>-20002</v>
      </c>
      <c r="L83" s="225">
        <v>-26679</v>
      </c>
      <c r="M83" s="225">
        <v>-32939</v>
      </c>
      <c r="N83" s="225">
        <v>-24380</v>
      </c>
      <c r="O83" s="225">
        <v>-25950</v>
      </c>
      <c r="P83" s="225">
        <v>-24855</v>
      </c>
      <c r="Q83" s="225">
        <v>-12152</v>
      </c>
    </row>
    <row r="84" spans="1:17" x14ac:dyDescent="0.35">
      <c r="A84" s="209" t="s">
        <v>403</v>
      </c>
      <c r="B84" s="209"/>
      <c r="C84" s="225">
        <v>138975</v>
      </c>
      <c r="D84" s="225">
        <v>268450</v>
      </c>
      <c r="E84" s="225">
        <v>461505</v>
      </c>
      <c r="F84" s="225"/>
      <c r="G84" s="225">
        <v>193645</v>
      </c>
      <c r="H84" s="225">
        <v>390411</v>
      </c>
      <c r="I84" s="225">
        <v>605605</v>
      </c>
      <c r="J84" s="225">
        <v>0</v>
      </c>
      <c r="K84" s="225">
        <v>133098</v>
      </c>
      <c r="L84" s="225">
        <v>163187</v>
      </c>
      <c r="M84" s="225">
        <v>256135</v>
      </c>
      <c r="N84" s="225">
        <v>0</v>
      </c>
      <c r="O84" s="225">
        <v>161667</v>
      </c>
      <c r="P84" s="225">
        <v>298038</v>
      </c>
      <c r="Q84" s="225">
        <v>0</v>
      </c>
    </row>
    <row r="85" spans="1:17" ht="15" thickBot="1" x14ac:dyDescent="0.4">
      <c r="A85" s="209" t="s">
        <v>285</v>
      </c>
      <c r="B85" s="209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>
        <v>500672</v>
      </c>
    </row>
    <row r="86" spans="1:17" ht="15" thickBot="1" x14ac:dyDescent="0.4">
      <c r="A86" s="213" t="s">
        <v>380</v>
      </c>
      <c r="B86" s="397"/>
      <c r="C86" s="214">
        <f t="shared" ref="C86:P86" si="7">C79+C63+C45</f>
        <v>7210705</v>
      </c>
      <c r="D86" s="214">
        <f>D79+D63+D45</f>
        <v>7251309</v>
      </c>
      <c r="E86" s="214">
        <f t="shared" si="7"/>
        <v>7817608</v>
      </c>
      <c r="F86" s="214">
        <f t="shared" si="7"/>
        <v>7894296</v>
      </c>
      <c r="G86" s="214">
        <f t="shared" si="7"/>
        <v>7368506</v>
      </c>
      <c r="H86" s="214">
        <f t="shared" si="7"/>
        <v>7386493</v>
      </c>
      <c r="I86" s="214">
        <f t="shared" si="7"/>
        <v>7635651</v>
      </c>
      <c r="J86" s="214">
        <f t="shared" si="7"/>
        <v>7819323</v>
      </c>
      <c r="K86" s="214">
        <f t="shared" si="7"/>
        <v>7655944</v>
      </c>
      <c r="L86" s="214">
        <f t="shared" si="7"/>
        <v>8077012</v>
      </c>
      <c r="M86" s="214">
        <f t="shared" si="7"/>
        <v>7923736</v>
      </c>
      <c r="N86" s="214">
        <f t="shared" si="7"/>
        <v>8412859</v>
      </c>
      <c r="O86" s="214">
        <f t="shared" si="7"/>
        <v>8314616</v>
      </c>
      <c r="P86" s="214">
        <f t="shared" si="7"/>
        <v>8722394</v>
      </c>
      <c r="Q86" s="214">
        <f>Q79+Q63+Q45</f>
        <v>9020778</v>
      </c>
    </row>
    <row r="87" spans="1:17" s="223" customFormat="1" ht="12" x14ac:dyDescent="0.3">
      <c r="C87" s="224">
        <f t="shared" ref="C87:N87" si="8">C86-C42</f>
        <v>0</v>
      </c>
      <c r="D87" s="224">
        <f t="shared" si="8"/>
        <v>0</v>
      </c>
      <c r="E87" s="224">
        <f t="shared" si="8"/>
        <v>0</v>
      </c>
      <c r="F87" s="224">
        <f t="shared" si="8"/>
        <v>0</v>
      </c>
      <c r="G87" s="224">
        <f t="shared" si="8"/>
        <v>0</v>
      </c>
      <c r="H87" s="224">
        <f t="shared" si="8"/>
        <v>0</v>
      </c>
      <c r="I87" s="224">
        <f t="shared" si="8"/>
        <v>0</v>
      </c>
      <c r="J87" s="224">
        <f t="shared" si="8"/>
        <v>0</v>
      </c>
      <c r="K87" s="224">
        <f t="shared" si="8"/>
        <v>0</v>
      </c>
      <c r="L87" s="224">
        <f t="shared" si="8"/>
        <v>0</v>
      </c>
      <c r="M87" s="224">
        <f t="shared" si="8"/>
        <v>0</v>
      </c>
      <c r="N87" s="224">
        <f t="shared" si="8"/>
        <v>0</v>
      </c>
      <c r="O87" s="224">
        <f>O86-O42</f>
        <v>0</v>
      </c>
      <c r="P87" s="224">
        <f>P86-P42</f>
        <v>0</v>
      </c>
      <c r="Q87" s="224">
        <f>Q86-Q42</f>
        <v>0</v>
      </c>
    </row>
    <row r="88" spans="1:17" x14ac:dyDescent="0.35"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</sheetData>
  <pageMargins left="0.511811024" right="0.511811024" top="0.78740157499999996" bottom="0.78740157499999996" header="0.31496062000000002" footer="0.3149606200000000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A8ADC-8D35-43AE-A3E3-EF4271458106}">
  <sheetPr>
    <tabColor theme="9" tint="0.79998168889431442"/>
  </sheetPr>
  <dimension ref="A4:R98"/>
  <sheetViews>
    <sheetView showGridLines="0" zoomScale="85" zoomScaleNormal="85" workbookViewId="0">
      <pane xSplit="1" ySplit="7" topLeftCell="B8" activePane="bottomRight" state="frozen"/>
      <selection activeCell="J5" sqref="J5"/>
      <selection pane="topRight" activeCell="J5" sqref="J5"/>
      <selection pane="bottomLeft" activeCell="J5" sqref="J5"/>
      <selection pane="bottomRight" activeCell="L23" sqref="L23"/>
    </sheetView>
  </sheetViews>
  <sheetFormatPr defaultColWidth="9.1796875" defaultRowHeight="14.5" outlineLevelCol="1" x14ac:dyDescent="0.35"/>
  <cols>
    <col min="1" max="1" width="47.54296875" style="37" bestFit="1" customWidth="1"/>
    <col min="2" max="2" width="3.26953125" style="37" customWidth="1"/>
    <col min="3" max="5" width="10.26953125" style="37" hidden="1" customWidth="1" outlineLevel="1"/>
    <col min="6" max="10" width="9.54296875" style="226" hidden="1" customWidth="1" outlineLevel="1"/>
    <col min="11" max="11" width="9.54296875" style="226" bestFit="1" customWidth="1" collapsed="1"/>
    <col min="12" max="16" width="9.54296875" style="226" bestFit="1" customWidth="1"/>
    <col min="17" max="17" width="9.54296875" style="401" bestFit="1" customWidth="1"/>
    <col min="18" max="16384" width="9.1796875" style="37"/>
  </cols>
  <sheetData>
    <row r="4" spans="1:18" x14ac:dyDescent="0.35">
      <c r="J4" s="399"/>
      <c r="K4" s="399"/>
      <c r="L4" s="399"/>
      <c r="M4" s="399"/>
      <c r="N4" s="399"/>
      <c r="O4" s="399"/>
      <c r="P4" s="399"/>
      <c r="Q4" s="400"/>
    </row>
    <row r="5" spans="1:18" x14ac:dyDescent="0.35">
      <c r="J5" s="399"/>
      <c r="K5" s="399"/>
      <c r="L5" s="399"/>
      <c r="M5" s="399"/>
      <c r="N5" s="399"/>
      <c r="O5" s="399"/>
      <c r="P5" s="399"/>
      <c r="Q5" s="400"/>
    </row>
    <row r="6" spans="1:18" x14ac:dyDescent="0.35">
      <c r="A6" s="41" t="s">
        <v>2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18" ht="15" thickBot="1" x14ac:dyDescent="0.4">
      <c r="A7" s="5" t="s">
        <v>315</v>
      </c>
      <c r="B7" s="204"/>
      <c r="C7" s="609" t="s">
        <v>69</v>
      </c>
      <c r="D7" s="609" t="s">
        <v>70</v>
      </c>
      <c r="E7" s="609" t="s">
        <v>71</v>
      </c>
      <c r="F7" s="609" t="s">
        <v>72</v>
      </c>
      <c r="G7" s="609" t="s">
        <v>73</v>
      </c>
      <c r="H7" s="609" t="s">
        <v>74</v>
      </c>
      <c r="I7" s="609" t="s">
        <v>75</v>
      </c>
      <c r="J7" s="609" t="s">
        <v>76</v>
      </c>
      <c r="K7" s="609" t="s">
        <v>77</v>
      </c>
      <c r="L7" s="609" t="s">
        <v>78</v>
      </c>
      <c r="M7" s="609" t="s">
        <v>79</v>
      </c>
      <c r="N7" s="609" t="s">
        <v>80</v>
      </c>
      <c r="O7" s="609" t="s">
        <v>81</v>
      </c>
      <c r="P7" s="609" t="s">
        <v>82</v>
      </c>
      <c r="Q7" s="609" t="s">
        <v>83</v>
      </c>
    </row>
    <row r="8" spans="1:18" ht="15" thickBot="1" x14ac:dyDescent="0.4">
      <c r="A8" s="205" t="s">
        <v>316</v>
      </c>
      <c r="B8" s="397"/>
      <c r="C8" s="207">
        <f t="shared" ref="C8:M8" si="0">SUM(C9:C25)</f>
        <v>3701660</v>
      </c>
      <c r="D8" s="207">
        <f t="shared" si="0"/>
        <v>4272061</v>
      </c>
      <c r="E8" s="207">
        <f t="shared" si="0"/>
        <v>5079156</v>
      </c>
      <c r="F8" s="207">
        <f t="shared" si="0"/>
        <v>4970063</v>
      </c>
      <c r="G8" s="207">
        <f t="shared" si="0"/>
        <v>5461221</v>
      </c>
      <c r="H8" s="207">
        <f t="shared" si="0"/>
        <v>5593227</v>
      </c>
      <c r="I8" s="207">
        <f t="shared" si="0"/>
        <v>5716612</v>
      </c>
      <c r="J8" s="207">
        <f t="shared" si="0"/>
        <v>4748546</v>
      </c>
      <c r="K8" s="207">
        <f t="shared" si="0"/>
        <v>4572617</v>
      </c>
      <c r="L8" s="207">
        <f t="shared" si="0"/>
        <v>5021149</v>
      </c>
      <c r="M8" s="207">
        <f t="shared" si="0"/>
        <v>4691950</v>
      </c>
      <c r="N8" s="207">
        <f t="shared" ref="N8:P8" si="1">SUM(N9:N25)</f>
        <v>4422557</v>
      </c>
      <c r="O8" s="207">
        <f t="shared" si="1"/>
        <v>4165290</v>
      </c>
      <c r="P8" s="207">
        <f t="shared" si="1"/>
        <v>4374043</v>
      </c>
      <c r="Q8" s="207">
        <f>SUM(Q9:Q25)</f>
        <v>4882121</v>
      </c>
      <c r="R8" s="114"/>
    </row>
    <row r="9" spans="1:18" x14ac:dyDescent="0.35">
      <c r="A9" s="209" t="s">
        <v>317</v>
      </c>
      <c r="B9" s="209"/>
      <c r="C9" s="226">
        <v>1188056</v>
      </c>
      <c r="D9" s="226">
        <v>221678</v>
      </c>
      <c r="E9" s="226">
        <v>1313686</v>
      </c>
      <c r="F9" s="226">
        <v>957597</v>
      </c>
      <c r="G9" s="226">
        <v>1325232</v>
      </c>
      <c r="H9" s="226">
        <v>1243540</v>
      </c>
      <c r="I9" s="226">
        <v>698414</v>
      </c>
      <c r="J9" s="226">
        <v>173988</v>
      </c>
      <c r="K9" s="226">
        <v>407157</v>
      </c>
      <c r="L9" s="226">
        <v>1053115</v>
      </c>
      <c r="M9" s="226">
        <v>403593</v>
      </c>
      <c r="N9" s="226">
        <v>220828</v>
      </c>
      <c r="O9" s="226">
        <v>187249</v>
      </c>
      <c r="P9" s="226">
        <v>161147</v>
      </c>
      <c r="Q9" s="401">
        <v>762358</v>
      </c>
    </row>
    <row r="10" spans="1:18" x14ac:dyDescent="0.35">
      <c r="A10" s="402" t="s">
        <v>559</v>
      </c>
      <c r="B10" s="209"/>
      <c r="C10" s="226">
        <v>497854</v>
      </c>
      <c r="D10" s="226">
        <v>1675909</v>
      </c>
      <c r="E10" s="226">
        <v>1279720</v>
      </c>
      <c r="F10" s="226">
        <v>1496268</v>
      </c>
      <c r="G10" s="226">
        <v>1540390</v>
      </c>
      <c r="H10" s="226">
        <v>1620922</v>
      </c>
      <c r="I10" s="226">
        <v>1903019</v>
      </c>
      <c r="J10" s="226">
        <v>1380238</v>
      </c>
      <c r="K10" s="226">
        <v>1316628</v>
      </c>
      <c r="L10" s="226">
        <v>1258888</v>
      </c>
      <c r="M10" s="226">
        <v>1530600</v>
      </c>
      <c r="N10" s="226">
        <v>1461164</v>
      </c>
      <c r="O10" s="226">
        <v>1287213</v>
      </c>
      <c r="P10" s="226">
        <v>1211582</v>
      </c>
      <c r="Q10" s="401">
        <v>852897</v>
      </c>
    </row>
    <row r="11" spans="1:18" x14ac:dyDescent="0.35">
      <c r="A11" s="209" t="s">
        <v>319</v>
      </c>
      <c r="B11" s="209"/>
      <c r="C11" s="226">
        <v>2316357</v>
      </c>
      <c r="D11" s="226">
        <v>2799636</v>
      </c>
      <c r="E11" s="226">
        <v>2870248</v>
      </c>
      <c r="F11" s="226">
        <v>2819633</v>
      </c>
      <c r="G11" s="226">
        <v>2796158</v>
      </c>
      <c r="H11" s="226">
        <v>2888731</v>
      </c>
      <c r="I11" s="226">
        <v>3129276</v>
      </c>
      <c r="J11" s="226">
        <v>1696392</v>
      </c>
      <c r="K11" s="226">
        <v>1666325</v>
      </c>
      <c r="L11" s="226">
        <v>1621328</v>
      </c>
      <c r="M11" s="226">
        <v>1762105</v>
      </c>
      <c r="N11" s="226">
        <v>1784284</v>
      </c>
      <c r="O11" s="226">
        <v>1756553</v>
      </c>
      <c r="P11" s="226">
        <v>1886549</v>
      </c>
      <c r="Q11" s="401">
        <v>2138386</v>
      </c>
    </row>
    <row r="12" spans="1:18" x14ac:dyDescent="0.35">
      <c r="A12" s="209" t="s">
        <v>550</v>
      </c>
      <c r="B12" s="209"/>
      <c r="C12" s="226">
        <v>32762</v>
      </c>
      <c r="D12" s="226">
        <v>49326</v>
      </c>
      <c r="E12" s="226">
        <v>40702</v>
      </c>
      <c r="F12" s="226">
        <v>43821</v>
      </c>
      <c r="G12" s="226">
        <v>44484</v>
      </c>
      <c r="H12" s="226">
        <v>45969</v>
      </c>
      <c r="I12" s="226">
        <v>49835</v>
      </c>
      <c r="P12" s="226">
        <v>0</v>
      </c>
    </row>
    <row r="13" spans="1:18" x14ac:dyDescent="0.35">
      <c r="A13" s="209" t="s">
        <v>560</v>
      </c>
      <c r="B13" s="209"/>
      <c r="C13" s="226">
        <v>-1166087</v>
      </c>
      <c r="D13" s="226">
        <v>-1278064</v>
      </c>
      <c r="E13" s="226">
        <v>-1302925</v>
      </c>
      <c r="F13" s="226">
        <v>-1350336</v>
      </c>
      <c r="G13" s="226">
        <v>-1387253</v>
      </c>
      <c r="H13" s="226">
        <v>-1429457</v>
      </c>
      <c r="I13" s="226">
        <v>-1472345</v>
      </c>
      <c r="P13" s="226">
        <v>0</v>
      </c>
    </row>
    <row r="14" spans="1:18" x14ac:dyDescent="0.35">
      <c r="A14" s="209" t="s">
        <v>320</v>
      </c>
      <c r="B14" s="209"/>
      <c r="C14" s="226">
        <v>1594</v>
      </c>
      <c r="D14" s="226">
        <v>1796</v>
      </c>
      <c r="E14" s="226"/>
      <c r="P14" s="226">
        <v>0</v>
      </c>
    </row>
    <row r="15" spans="1:18" x14ac:dyDescent="0.35">
      <c r="A15" s="209" t="s">
        <v>321</v>
      </c>
      <c r="B15" s="209"/>
      <c r="C15" s="226">
        <v>46949</v>
      </c>
      <c r="D15" s="226">
        <v>20403</v>
      </c>
      <c r="E15" s="226">
        <v>39208</v>
      </c>
      <c r="F15" s="226">
        <v>29855</v>
      </c>
      <c r="G15" s="226">
        <v>26777</v>
      </c>
      <c r="H15" s="226">
        <v>41873</v>
      </c>
      <c r="I15" s="226">
        <v>61541</v>
      </c>
      <c r="J15" s="226">
        <v>63197</v>
      </c>
      <c r="K15" s="226">
        <v>51714</v>
      </c>
      <c r="L15" s="226">
        <v>67519</v>
      </c>
      <c r="M15" s="226">
        <v>75992</v>
      </c>
      <c r="N15" s="226">
        <v>72882</v>
      </c>
      <c r="O15" s="226">
        <v>55130</v>
      </c>
      <c r="P15" s="226">
        <v>48338</v>
      </c>
      <c r="Q15" s="401">
        <v>59502</v>
      </c>
    </row>
    <row r="16" spans="1:18" x14ac:dyDescent="0.35">
      <c r="A16" s="209" t="s">
        <v>551</v>
      </c>
      <c r="B16" s="209"/>
      <c r="C16" s="226">
        <v>157221</v>
      </c>
      <c r="D16" s="226">
        <v>180392</v>
      </c>
      <c r="E16" s="226">
        <v>174332</v>
      </c>
      <c r="F16" s="226">
        <v>217578</v>
      </c>
      <c r="G16" s="226">
        <v>205587</v>
      </c>
      <c r="H16" s="226">
        <v>202148</v>
      </c>
      <c r="I16" s="226">
        <v>183161</v>
      </c>
      <c r="J16" s="226">
        <v>220938</v>
      </c>
      <c r="K16" s="226">
        <v>185976</v>
      </c>
      <c r="L16" s="226">
        <v>198508</v>
      </c>
      <c r="M16" s="226">
        <v>219484</v>
      </c>
      <c r="N16" s="226">
        <v>170107</v>
      </c>
      <c r="O16" s="226">
        <v>162089</v>
      </c>
      <c r="P16" s="226">
        <v>184136</v>
      </c>
      <c r="Q16" s="401">
        <v>146466</v>
      </c>
    </row>
    <row r="17" spans="1:17" x14ac:dyDescent="0.35">
      <c r="A17" s="209" t="s">
        <v>324</v>
      </c>
      <c r="B17" s="209"/>
      <c r="C17" s="226"/>
      <c r="D17" s="226"/>
      <c r="E17" s="226"/>
      <c r="I17" s="226">
        <v>197039</v>
      </c>
      <c r="P17" s="226">
        <v>0</v>
      </c>
    </row>
    <row r="18" spans="1:17" x14ac:dyDescent="0.35">
      <c r="A18" s="209" t="s">
        <v>383</v>
      </c>
      <c r="B18" s="209"/>
      <c r="C18" s="226">
        <v>44635</v>
      </c>
      <c r="D18" s="226">
        <v>7953</v>
      </c>
      <c r="E18" s="226">
        <v>49743</v>
      </c>
      <c r="G18" s="226">
        <v>28759</v>
      </c>
      <c r="J18" s="226">
        <v>65682</v>
      </c>
      <c r="K18" s="226">
        <v>15638</v>
      </c>
      <c r="L18" s="226">
        <v>43634</v>
      </c>
      <c r="M18" s="226">
        <v>0</v>
      </c>
      <c r="O18" s="226">
        <v>5423</v>
      </c>
      <c r="P18" s="226">
        <v>145507</v>
      </c>
      <c r="Q18" s="401">
        <v>123684</v>
      </c>
    </row>
    <row r="19" spans="1:17" x14ac:dyDescent="0.35">
      <c r="A19" s="209" t="s">
        <v>325</v>
      </c>
      <c r="B19" s="209"/>
      <c r="C19" s="226">
        <v>2161</v>
      </c>
      <c r="D19" s="226">
        <v>4474</v>
      </c>
      <c r="E19" s="226">
        <v>828</v>
      </c>
      <c r="F19" s="226">
        <v>100448</v>
      </c>
      <c r="G19" s="226">
        <v>183850</v>
      </c>
      <c r="H19" s="226">
        <v>141346</v>
      </c>
      <c r="I19" s="226">
        <v>52653</v>
      </c>
      <c r="J19" s="226">
        <v>164999</v>
      </c>
      <c r="K19" s="226">
        <v>58075</v>
      </c>
      <c r="L19" s="226">
        <v>119133</v>
      </c>
      <c r="M19" s="226">
        <v>93401</v>
      </c>
      <c r="N19" s="226">
        <v>88965</v>
      </c>
      <c r="O19" s="226">
        <v>73400</v>
      </c>
      <c r="P19" s="226">
        <v>0</v>
      </c>
    </row>
    <row r="20" spans="1:17" x14ac:dyDescent="0.35">
      <c r="A20" s="209" t="s">
        <v>326</v>
      </c>
      <c r="B20" s="209"/>
      <c r="C20" s="226">
        <v>10868</v>
      </c>
      <c r="D20" s="226">
        <v>11113</v>
      </c>
      <c r="E20" s="226">
        <v>18235</v>
      </c>
      <c r="F20" s="226">
        <v>17008</v>
      </c>
      <c r="G20" s="226">
        <v>21212</v>
      </c>
      <c r="H20" s="226">
        <v>36916</v>
      </c>
      <c r="J20" s="226">
        <v>94819</v>
      </c>
      <c r="K20" s="226">
        <v>97915</v>
      </c>
      <c r="L20" s="226">
        <v>92381</v>
      </c>
      <c r="M20" s="226">
        <v>77394</v>
      </c>
      <c r="N20" s="226">
        <v>71019</v>
      </c>
      <c r="O20" s="226">
        <v>71851</v>
      </c>
      <c r="P20" s="226">
        <v>43635</v>
      </c>
      <c r="Q20" s="401">
        <v>39608</v>
      </c>
    </row>
    <row r="21" spans="1:17" x14ac:dyDescent="0.35">
      <c r="A21" s="209" t="s">
        <v>327</v>
      </c>
      <c r="B21" s="209"/>
      <c r="C21" s="226">
        <v>394898</v>
      </c>
      <c r="D21" s="226">
        <v>398644</v>
      </c>
      <c r="E21" s="226">
        <v>398375</v>
      </c>
      <c r="F21" s="226">
        <v>419732</v>
      </c>
      <c r="G21" s="226">
        <v>444519</v>
      </c>
      <c r="H21" s="226">
        <v>459353</v>
      </c>
      <c r="I21" s="226">
        <v>483310</v>
      </c>
      <c r="J21" s="226">
        <v>386999</v>
      </c>
      <c r="K21" s="226">
        <v>289887</v>
      </c>
      <c r="L21" s="226">
        <v>85629</v>
      </c>
      <c r="M21" s="226">
        <v>79196</v>
      </c>
      <c r="N21" s="226">
        <v>93502</v>
      </c>
      <c r="O21" s="226">
        <v>93638</v>
      </c>
      <c r="P21" s="226">
        <v>111205</v>
      </c>
      <c r="Q21" s="401">
        <v>126159</v>
      </c>
    </row>
    <row r="22" spans="1:17" x14ac:dyDescent="0.35">
      <c r="A22" s="209" t="s">
        <v>328</v>
      </c>
      <c r="B22" s="209"/>
      <c r="C22" s="226">
        <v>60654</v>
      </c>
      <c r="D22" s="226">
        <v>66488</v>
      </c>
      <c r="E22" s="226">
        <v>57511</v>
      </c>
      <c r="F22" s="226">
        <v>75424</v>
      </c>
      <c r="G22" s="226">
        <v>79011</v>
      </c>
      <c r="H22" s="226">
        <v>87159</v>
      </c>
      <c r="I22" s="226">
        <v>99030</v>
      </c>
      <c r="J22" s="226">
        <v>100457</v>
      </c>
      <c r="K22" s="226">
        <v>116366</v>
      </c>
      <c r="L22" s="226">
        <v>131814</v>
      </c>
      <c r="M22" s="226">
        <v>123622</v>
      </c>
      <c r="N22" s="226">
        <v>131778</v>
      </c>
      <c r="O22" s="226">
        <v>152736</v>
      </c>
      <c r="P22" s="226">
        <v>227561</v>
      </c>
      <c r="Q22" s="401">
        <v>304088</v>
      </c>
    </row>
    <row r="23" spans="1:17" x14ac:dyDescent="0.35">
      <c r="A23" s="209" t="s">
        <v>561</v>
      </c>
      <c r="B23" s="209"/>
      <c r="C23" s="226"/>
      <c r="D23" s="226"/>
      <c r="E23" s="226"/>
      <c r="J23" s="226">
        <v>125237</v>
      </c>
      <c r="K23" s="226">
        <v>138855</v>
      </c>
      <c r="L23" s="226">
        <v>110781</v>
      </c>
      <c r="M23" s="226">
        <v>46278</v>
      </c>
      <c r="P23" s="226">
        <v>0</v>
      </c>
    </row>
    <row r="24" spans="1:17" x14ac:dyDescent="0.35">
      <c r="A24" s="209" t="s">
        <v>562</v>
      </c>
      <c r="B24" s="209"/>
      <c r="C24" s="226">
        <v>113738</v>
      </c>
      <c r="D24" s="226">
        <v>112313</v>
      </c>
      <c r="E24" s="226">
        <v>139493</v>
      </c>
      <c r="F24" s="226">
        <v>143035</v>
      </c>
      <c r="G24" s="226">
        <v>152495</v>
      </c>
      <c r="H24" s="226">
        <v>254727</v>
      </c>
      <c r="I24" s="226">
        <v>331679</v>
      </c>
      <c r="J24" s="226">
        <v>275600</v>
      </c>
      <c r="K24" s="226">
        <v>228081</v>
      </c>
      <c r="L24" s="226">
        <v>238419</v>
      </c>
      <c r="M24" s="226">
        <v>280285</v>
      </c>
      <c r="N24" s="226">
        <v>328028</v>
      </c>
      <c r="O24" s="226">
        <v>320008</v>
      </c>
      <c r="P24" s="226">
        <v>354383</v>
      </c>
      <c r="Q24" s="401">
        <v>328973</v>
      </c>
    </row>
    <row r="25" spans="1:17" ht="15" thickBot="1" x14ac:dyDescent="0.4">
      <c r="A25" s="212" t="s">
        <v>329</v>
      </c>
      <c r="B25" s="209"/>
      <c r="C25" s="226"/>
      <c r="D25" s="226"/>
      <c r="E25" s="226"/>
    </row>
    <row r="26" spans="1:17" ht="15" thickBot="1" x14ac:dyDescent="0.4">
      <c r="A26" s="213" t="s">
        <v>333</v>
      </c>
      <c r="B26" s="397"/>
      <c r="C26" s="214">
        <v>7530449</v>
      </c>
      <c r="D26" s="214">
        <f t="shared" ref="D26:P26" si="2">D27+D42</f>
        <v>7211783</v>
      </c>
      <c r="E26" s="214">
        <f t="shared" si="2"/>
        <v>7411782</v>
      </c>
      <c r="F26" s="214">
        <f t="shared" si="2"/>
        <v>7271204</v>
      </c>
      <c r="G26" s="214">
        <f t="shared" si="2"/>
        <v>7148242</v>
      </c>
      <c r="H26" s="214">
        <f t="shared" si="2"/>
        <v>6881710</v>
      </c>
      <c r="I26" s="214">
        <f t="shared" si="2"/>
        <v>7077729</v>
      </c>
      <c r="J26" s="214">
        <f t="shared" si="2"/>
        <v>7372198</v>
      </c>
      <c r="K26" s="214">
        <f t="shared" si="2"/>
        <v>7489015</v>
      </c>
      <c r="L26" s="214">
        <f t="shared" si="2"/>
        <v>7758701</v>
      </c>
      <c r="M26" s="214">
        <f t="shared" si="2"/>
        <v>8016455</v>
      </c>
      <c r="N26" s="214">
        <f t="shared" si="2"/>
        <v>8367982</v>
      </c>
      <c r="O26" s="214">
        <f t="shared" si="2"/>
        <v>8735757</v>
      </c>
      <c r="P26" s="214">
        <f t="shared" si="2"/>
        <v>8787225</v>
      </c>
      <c r="Q26" s="214">
        <f>Q27+Q42</f>
        <v>9457870</v>
      </c>
    </row>
    <row r="27" spans="1:17" ht="15" thickBot="1" x14ac:dyDescent="0.4">
      <c r="A27" s="213" t="s">
        <v>334</v>
      </c>
      <c r="B27" s="397"/>
      <c r="C27" s="214">
        <f t="shared" ref="C27:Q27" si="3">SUM(C28:C41)</f>
        <v>5292366</v>
      </c>
      <c r="D27" s="214">
        <f t="shared" si="3"/>
        <v>4914599</v>
      </c>
      <c r="E27" s="214">
        <f t="shared" si="3"/>
        <v>5105994</v>
      </c>
      <c r="F27" s="214">
        <f t="shared" si="3"/>
        <v>5126903</v>
      </c>
      <c r="G27" s="214">
        <f t="shared" si="3"/>
        <v>5032503</v>
      </c>
      <c r="H27" s="214">
        <f t="shared" si="3"/>
        <v>4751174</v>
      </c>
      <c r="I27" s="214">
        <f t="shared" si="3"/>
        <v>4817739</v>
      </c>
      <c r="J27" s="214">
        <f t="shared" si="3"/>
        <v>5059753</v>
      </c>
      <c r="K27" s="214">
        <f t="shared" si="3"/>
        <v>5057754</v>
      </c>
      <c r="L27" s="214">
        <f t="shared" si="3"/>
        <v>5392405</v>
      </c>
      <c r="M27" s="214">
        <f t="shared" si="3"/>
        <v>5330248</v>
      </c>
      <c r="N27" s="214">
        <f t="shared" si="3"/>
        <v>5942173</v>
      </c>
      <c r="O27" s="214">
        <f t="shared" si="3"/>
        <v>6494510</v>
      </c>
      <c r="P27" s="214">
        <f t="shared" si="3"/>
        <v>6592142</v>
      </c>
      <c r="Q27" s="214">
        <f t="shared" si="3"/>
        <v>6992259</v>
      </c>
    </row>
    <row r="28" spans="1:17" x14ac:dyDescent="0.35">
      <c r="A28" s="402" t="s">
        <v>559</v>
      </c>
      <c r="B28" s="397"/>
      <c r="C28" s="226">
        <v>24464</v>
      </c>
      <c r="D28" s="226">
        <v>24309</v>
      </c>
      <c r="E28" s="226">
        <v>24380</v>
      </c>
      <c r="F28" s="226">
        <v>24471</v>
      </c>
      <c r="G28" s="226">
        <v>24559</v>
      </c>
      <c r="H28" s="226">
        <v>24713</v>
      </c>
      <c r="I28" s="226">
        <v>24956</v>
      </c>
      <c r="J28" s="226">
        <v>25411</v>
      </c>
      <c r="K28" s="226">
        <v>25656</v>
      </c>
      <c r="L28" s="226">
        <v>26236</v>
      </c>
      <c r="M28" s="226">
        <v>13645</v>
      </c>
      <c r="N28" s="226">
        <v>13981</v>
      </c>
      <c r="O28" s="226">
        <v>14392</v>
      </c>
      <c r="P28" s="226">
        <v>17876</v>
      </c>
      <c r="Q28" s="401">
        <v>18352</v>
      </c>
    </row>
    <row r="29" spans="1:17" x14ac:dyDescent="0.35">
      <c r="A29" s="209" t="s">
        <v>319</v>
      </c>
      <c r="B29" s="209"/>
      <c r="C29" s="226">
        <v>798550</v>
      </c>
      <c r="D29" s="226">
        <v>382740</v>
      </c>
      <c r="E29" s="226">
        <v>374314</v>
      </c>
      <c r="F29" s="226">
        <v>348444</v>
      </c>
      <c r="G29" s="226">
        <v>343883</v>
      </c>
      <c r="H29" s="226">
        <v>336946</v>
      </c>
      <c r="I29" s="226">
        <v>334679</v>
      </c>
      <c r="J29" s="226">
        <v>322647</v>
      </c>
      <c r="K29" s="226">
        <v>314533</v>
      </c>
      <c r="L29" s="226">
        <v>310075</v>
      </c>
      <c r="M29" s="226">
        <v>307054</v>
      </c>
      <c r="N29" s="226">
        <v>246765</v>
      </c>
      <c r="O29" s="226">
        <v>262960</v>
      </c>
      <c r="P29" s="226">
        <v>242668</v>
      </c>
      <c r="Q29" s="401">
        <v>235193</v>
      </c>
    </row>
    <row r="30" spans="1:17" x14ac:dyDescent="0.35">
      <c r="A30" s="209" t="s">
        <v>335</v>
      </c>
      <c r="B30" s="209"/>
      <c r="C30" s="226">
        <v>85120</v>
      </c>
      <c r="D30" s="226">
        <v>85120</v>
      </c>
      <c r="E30" s="226">
        <v>85120</v>
      </c>
      <c r="G30" s="226">
        <v>121825</v>
      </c>
      <c r="I30" s="226">
        <v>67971</v>
      </c>
      <c r="J30" s="226">
        <v>85120</v>
      </c>
      <c r="K30" s="226">
        <v>74350</v>
      </c>
      <c r="L30" s="226">
        <v>69351</v>
      </c>
      <c r="M30" s="226">
        <v>85120</v>
      </c>
      <c r="O30" s="226">
        <v>20444</v>
      </c>
      <c r="P30" s="226">
        <v>20444</v>
      </c>
      <c r="Q30" s="401">
        <v>20444</v>
      </c>
    </row>
    <row r="31" spans="1:17" x14ac:dyDescent="0.35">
      <c r="A31" s="209" t="s">
        <v>383</v>
      </c>
      <c r="B31" s="209"/>
      <c r="C31" s="226"/>
      <c r="D31" s="226"/>
      <c r="E31" s="226"/>
      <c r="J31" s="226">
        <v>91184</v>
      </c>
      <c r="K31" s="226">
        <v>1372</v>
      </c>
      <c r="M31" s="226">
        <v>71706</v>
      </c>
      <c r="N31" s="226">
        <v>61921</v>
      </c>
      <c r="O31" s="226">
        <v>23276</v>
      </c>
      <c r="P31" s="226">
        <v>0</v>
      </c>
    </row>
    <row r="32" spans="1:17" x14ac:dyDescent="0.35">
      <c r="A32" s="209" t="s">
        <v>321</v>
      </c>
      <c r="B32" s="209"/>
      <c r="C32" s="226"/>
      <c r="D32" s="226"/>
      <c r="E32" s="226"/>
      <c r="F32" s="226">
        <v>85120</v>
      </c>
      <c r="H32" s="226">
        <v>91688</v>
      </c>
      <c r="N32" s="226">
        <v>85120</v>
      </c>
      <c r="P32" s="226">
        <v>0</v>
      </c>
    </row>
    <row r="33" spans="1:17" x14ac:dyDescent="0.35">
      <c r="A33" s="402" t="s">
        <v>551</v>
      </c>
      <c r="B33" s="209"/>
      <c r="C33" s="226">
        <v>4505</v>
      </c>
      <c r="D33" s="226">
        <v>4505</v>
      </c>
      <c r="E33" s="226">
        <v>4505</v>
      </c>
      <c r="F33" s="226">
        <v>572</v>
      </c>
      <c r="G33" s="226">
        <v>572</v>
      </c>
      <c r="H33" s="226">
        <v>572</v>
      </c>
      <c r="I33" s="226">
        <v>572</v>
      </c>
      <c r="J33" s="226">
        <v>5713</v>
      </c>
      <c r="K33" s="226">
        <v>5713</v>
      </c>
      <c r="L33" s="226">
        <v>5713</v>
      </c>
      <c r="M33" s="226">
        <v>6422</v>
      </c>
      <c r="N33" s="226">
        <v>13958</v>
      </c>
      <c r="O33" s="226">
        <v>13958</v>
      </c>
      <c r="P33" s="226">
        <v>13958</v>
      </c>
      <c r="Q33" s="401">
        <v>13958</v>
      </c>
    </row>
    <row r="34" spans="1:17" x14ac:dyDescent="0.35">
      <c r="A34" s="209" t="s">
        <v>336</v>
      </c>
      <c r="B34" s="209"/>
      <c r="C34" s="226">
        <v>96180</v>
      </c>
      <c r="D34" s="226">
        <v>63766</v>
      </c>
      <c r="E34" s="226">
        <v>64514</v>
      </c>
      <c r="F34" s="226">
        <v>71208</v>
      </c>
      <c r="G34" s="226">
        <v>76435</v>
      </c>
      <c r="H34" s="226">
        <v>79041</v>
      </c>
      <c r="I34" s="226">
        <v>84241</v>
      </c>
      <c r="J34" s="226">
        <v>85797</v>
      </c>
      <c r="K34" s="226">
        <v>90808</v>
      </c>
      <c r="L34" s="226">
        <v>92757</v>
      </c>
      <c r="M34" s="226">
        <v>98439</v>
      </c>
      <c r="N34" s="226">
        <v>100972</v>
      </c>
      <c r="O34" s="226">
        <v>104944</v>
      </c>
      <c r="P34" s="226">
        <v>105424</v>
      </c>
      <c r="Q34" s="401">
        <v>109575</v>
      </c>
    </row>
    <row r="35" spans="1:17" x14ac:dyDescent="0.35">
      <c r="A35" s="209" t="s">
        <v>327</v>
      </c>
      <c r="B35" s="209"/>
      <c r="C35" s="226">
        <v>681914</v>
      </c>
      <c r="D35" s="226">
        <v>687397</v>
      </c>
      <c r="E35" s="226">
        <v>600978</v>
      </c>
      <c r="F35" s="226">
        <v>444640</v>
      </c>
      <c r="G35" s="226">
        <v>349094</v>
      </c>
      <c r="H35" s="226">
        <v>264087</v>
      </c>
      <c r="I35" s="226">
        <v>163862</v>
      </c>
      <c r="J35" s="226">
        <v>88003</v>
      </c>
      <c r="K35" s="226">
        <v>98524</v>
      </c>
      <c r="L35" s="226">
        <v>112685</v>
      </c>
      <c r="M35" s="226">
        <v>150524</v>
      </c>
      <c r="N35" s="226">
        <v>164547</v>
      </c>
      <c r="O35" s="226">
        <v>186613</v>
      </c>
      <c r="P35" s="226">
        <v>213001</v>
      </c>
      <c r="Q35" s="401">
        <v>236561</v>
      </c>
    </row>
    <row r="36" spans="1:17" x14ac:dyDescent="0.35">
      <c r="A36" s="209" t="s">
        <v>328</v>
      </c>
      <c r="B36" s="209"/>
      <c r="C36" s="226">
        <v>49229</v>
      </c>
      <c r="D36" s="226">
        <v>49229</v>
      </c>
      <c r="E36" s="226">
        <v>49520</v>
      </c>
      <c r="F36" s="226">
        <v>49520</v>
      </c>
      <c r="G36" s="226">
        <v>49520</v>
      </c>
      <c r="H36" s="226">
        <v>49520</v>
      </c>
      <c r="I36" s="226">
        <v>49690</v>
      </c>
      <c r="J36" s="226">
        <v>49690</v>
      </c>
      <c r="K36" s="226">
        <v>49690</v>
      </c>
      <c r="L36" s="226">
        <v>49690</v>
      </c>
      <c r="M36" s="226">
        <v>49690</v>
      </c>
      <c r="N36" s="226">
        <v>49690</v>
      </c>
      <c r="O36" s="226">
        <v>49690</v>
      </c>
      <c r="P36" s="226">
        <v>49690</v>
      </c>
      <c r="Q36" s="401">
        <v>49690</v>
      </c>
    </row>
    <row r="37" spans="1:17" x14ac:dyDescent="0.35">
      <c r="A37" s="209" t="s">
        <v>391</v>
      </c>
      <c r="B37" s="209"/>
      <c r="C37" s="226"/>
      <c r="D37" s="226"/>
      <c r="E37" s="226"/>
      <c r="L37" s="402"/>
      <c r="P37" s="226">
        <v>0</v>
      </c>
    </row>
    <row r="38" spans="1:17" x14ac:dyDescent="0.35">
      <c r="A38" s="209" t="s">
        <v>325</v>
      </c>
      <c r="B38" s="209"/>
      <c r="C38" s="226">
        <v>310138</v>
      </c>
      <c r="D38" s="226">
        <v>367547</v>
      </c>
      <c r="E38" s="226">
        <v>413338</v>
      </c>
      <c r="F38" s="226">
        <v>213533</v>
      </c>
      <c r="G38" s="226">
        <v>235758</v>
      </c>
      <c r="H38" s="226">
        <v>100872</v>
      </c>
      <c r="I38" s="226">
        <v>97534</v>
      </c>
      <c r="J38" s="226">
        <v>107017</v>
      </c>
      <c r="K38" s="226">
        <v>53406</v>
      </c>
      <c r="M38" s="226">
        <v>0</v>
      </c>
    </row>
    <row r="39" spans="1:17" x14ac:dyDescent="0.35">
      <c r="A39" s="402" t="s">
        <v>563</v>
      </c>
      <c r="B39" s="209"/>
      <c r="C39" s="226">
        <v>5873</v>
      </c>
      <c r="D39" s="226">
        <v>5873</v>
      </c>
      <c r="E39" s="226"/>
      <c r="F39" s="226">
        <v>5873</v>
      </c>
      <c r="G39" s="226">
        <v>5840</v>
      </c>
      <c r="H39" s="226">
        <v>5840</v>
      </c>
      <c r="I39" s="226">
        <v>5840</v>
      </c>
      <c r="J39" s="226">
        <v>7187</v>
      </c>
      <c r="K39" s="226">
        <v>7187</v>
      </c>
      <c r="L39" s="226">
        <v>7187</v>
      </c>
      <c r="M39" s="226">
        <v>7187</v>
      </c>
      <c r="N39" s="226">
        <v>7911</v>
      </c>
      <c r="O39" s="226">
        <v>7911</v>
      </c>
      <c r="P39" s="226">
        <v>7911</v>
      </c>
      <c r="Q39" s="401">
        <v>8672</v>
      </c>
    </row>
    <row r="40" spans="1:17" x14ac:dyDescent="0.35">
      <c r="A40" s="209" t="s">
        <v>392</v>
      </c>
      <c r="B40" s="209"/>
      <c r="C40" s="226">
        <v>25932</v>
      </c>
      <c r="D40" s="226">
        <v>18932</v>
      </c>
      <c r="E40" s="226">
        <v>174805</v>
      </c>
      <c r="F40" s="226">
        <v>270151</v>
      </c>
      <c r="G40" s="226">
        <v>165082</v>
      </c>
      <c r="H40" s="226">
        <v>61346</v>
      </c>
      <c r="I40" s="226">
        <v>933</v>
      </c>
      <c r="J40" s="226">
        <v>2105</v>
      </c>
      <c r="K40" s="226">
        <v>2005</v>
      </c>
      <c r="L40" s="226">
        <v>1901</v>
      </c>
      <c r="M40" s="226">
        <v>1730</v>
      </c>
      <c r="N40" s="226">
        <v>1915</v>
      </c>
      <c r="O40" s="226">
        <v>1739</v>
      </c>
      <c r="P40" s="226">
        <v>2529</v>
      </c>
      <c r="Q40" s="401">
        <v>2520</v>
      </c>
    </row>
    <row r="41" spans="1:17" ht="15" thickBot="1" x14ac:dyDescent="0.4">
      <c r="A41" s="209" t="s">
        <v>339</v>
      </c>
      <c r="B41" s="209"/>
      <c r="C41" s="226">
        <v>3210461</v>
      </c>
      <c r="D41" s="226">
        <v>3225181</v>
      </c>
      <c r="E41" s="226">
        <v>3314520</v>
      </c>
      <c r="F41" s="226">
        <v>3613371</v>
      </c>
      <c r="G41" s="226">
        <v>3659935</v>
      </c>
      <c r="H41" s="226">
        <v>3736549</v>
      </c>
      <c r="I41" s="226">
        <v>3987461</v>
      </c>
      <c r="J41" s="226">
        <v>4189879</v>
      </c>
      <c r="K41" s="226">
        <v>4334510</v>
      </c>
      <c r="L41" s="226">
        <v>4716810</v>
      </c>
      <c r="M41" s="226">
        <v>4538731</v>
      </c>
      <c r="N41" s="226">
        <v>5195393</v>
      </c>
      <c r="O41" s="226">
        <v>5808583</v>
      </c>
      <c r="P41" s="226">
        <v>5918641</v>
      </c>
      <c r="Q41" s="401">
        <v>6297294</v>
      </c>
    </row>
    <row r="42" spans="1:17" ht="15" thickBot="1" x14ac:dyDescent="0.4">
      <c r="A42" s="213" t="s">
        <v>340</v>
      </c>
      <c r="B42" s="397"/>
      <c r="C42" s="214">
        <f t="shared" ref="C42:P42" si="4">SUM(C43:C46)</f>
        <v>2238083</v>
      </c>
      <c r="D42" s="214">
        <f t="shared" si="4"/>
        <v>2297184</v>
      </c>
      <c r="E42" s="214">
        <f t="shared" si="4"/>
        <v>2305788</v>
      </c>
      <c r="F42" s="214">
        <f t="shared" si="4"/>
        <v>2144301</v>
      </c>
      <c r="G42" s="214">
        <f t="shared" si="4"/>
        <v>2115739</v>
      </c>
      <c r="H42" s="214">
        <f t="shared" si="4"/>
        <v>2130536</v>
      </c>
      <c r="I42" s="214">
        <f t="shared" si="4"/>
        <v>2259990</v>
      </c>
      <c r="J42" s="214">
        <f t="shared" si="4"/>
        <v>2312445</v>
      </c>
      <c r="K42" s="214">
        <f t="shared" si="4"/>
        <v>2431261</v>
      </c>
      <c r="L42" s="214">
        <f t="shared" si="4"/>
        <v>2366296</v>
      </c>
      <c r="M42" s="214">
        <f t="shared" si="4"/>
        <v>2686207</v>
      </c>
      <c r="N42" s="214">
        <f t="shared" si="4"/>
        <v>2425809</v>
      </c>
      <c r="O42" s="214">
        <f t="shared" si="4"/>
        <v>2241247</v>
      </c>
      <c r="P42" s="214">
        <f t="shared" si="4"/>
        <v>2195083</v>
      </c>
      <c r="Q42" s="214">
        <f>SUM(Q43:Q46)</f>
        <v>2465611</v>
      </c>
    </row>
    <row r="43" spans="1:17" x14ac:dyDescent="0.35">
      <c r="A43" s="209" t="s">
        <v>341</v>
      </c>
      <c r="B43" s="209"/>
      <c r="C43" s="226">
        <v>14328</v>
      </c>
      <c r="D43" s="226">
        <v>11853</v>
      </c>
      <c r="E43" s="226">
        <v>13739</v>
      </c>
      <c r="F43" s="226">
        <v>13938</v>
      </c>
      <c r="G43" s="226">
        <v>33164</v>
      </c>
      <c r="H43" s="226">
        <v>32776</v>
      </c>
      <c r="I43" s="226">
        <v>32461</v>
      </c>
      <c r="J43" s="226">
        <v>32239</v>
      </c>
      <c r="K43" s="226">
        <v>12123</v>
      </c>
      <c r="L43" s="226">
        <v>11877</v>
      </c>
      <c r="M43" s="226">
        <v>11443</v>
      </c>
      <c r="N43" s="226">
        <v>11009</v>
      </c>
      <c r="O43" s="226">
        <v>10575</v>
      </c>
      <c r="P43" s="226">
        <v>9943</v>
      </c>
      <c r="Q43" s="401">
        <v>9475</v>
      </c>
    </row>
    <row r="44" spans="1:17" x14ac:dyDescent="0.35">
      <c r="A44" s="209" t="s">
        <v>553</v>
      </c>
      <c r="B44" s="209"/>
      <c r="C44" s="226">
        <v>148147</v>
      </c>
      <c r="D44" s="226">
        <v>287624</v>
      </c>
      <c r="E44" s="226">
        <v>300054</v>
      </c>
      <c r="F44" s="226">
        <v>134781</v>
      </c>
      <c r="G44" s="226">
        <v>1880928</v>
      </c>
      <c r="H44" s="226">
        <v>1824298</v>
      </c>
      <c r="I44" s="226">
        <v>1737462</v>
      </c>
      <c r="J44" s="226">
        <v>668193</v>
      </c>
      <c r="K44" s="226">
        <v>719545</v>
      </c>
      <c r="L44" s="226">
        <v>776754</v>
      </c>
      <c r="M44" s="226">
        <v>1660976</v>
      </c>
      <c r="N44" s="226">
        <v>849215</v>
      </c>
      <c r="O44" s="226">
        <v>364034</v>
      </c>
      <c r="P44" s="226">
        <v>406268</v>
      </c>
      <c r="Q44" s="401">
        <v>753899</v>
      </c>
    </row>
    <row r="45" spans="1:17" x14ac:dyDescent="0.35">
      <c r="A45" s="209" t="s">
        <v>344</v>
      </c>
      <c r="B45" s="209"/>
      <c r="C45" s="226">
        <v>2054923</v>
      </c>
      <c r="D45" s="226">
        <v>1975088</v>
      </c>
      <c r="E45" s="226">
        <v>1971769</v>
      </c>
      <c r="F45" s="226">
        <v>1973425</v>
      </c>
      <c r="G45" s="226">
        <v>182242</v>
      </c>
      <c r="H45" s="226">
        <v>256809</v>
      </c>
      <c r="I45" s="226">
        <v>473784</v>
      </c>
      <c r="J45" s="226">
        <v>1595322</v>
      </c>
      <c r="K45" s="226">
        <v>1683643</v>
      </c>
      <c r="L45" s="226">
        <v>1562425</v>
      </c>
      <c r="M45" s="226">
        <v>999141</v>
      </c>
      <c r="N45" s="226">
        <v>1551245</v>
      </c>
      <c r="O45" s="226">
        <v>1853063</v>
      </c>
      <c r="P45" s="226">
        <v>1766051</v>
      </c>
      <c r="Q45" s="401">
        <v>1690155</v>
      </c>
    </row>
    <row r="46" spans="1:17" ht="15" thickBot="1" x14ac:dyDescent="0.4">
      <c r="A46" s="221" t="s">
        <v>564</v>
      </c>
      <c r="B46" s="209"/>
      <c r="C46" s="226">
        <v>20685</v>
      </c>
      <c r="D46" s="226">
        <v>22619</v>
      </c>
      <c r="E46" s="226">
        <v>20226</v>
      </c>
      <c r="F46" s="226">
        <v>22157</v>
      </c>
      <c r="G46" s="226">
        <v>19405</v>
      </c>
      <c r="H46" s="226">
        <v>16653</v>
      </c>
      <c r="I46" s="226">
        <v>16283</v>
      </c>
      <c r="J46" s="226">
        <v>16691</v>
      </c>
      <c r="K46" s="226">
        <v>15950</v>
      </c>
      <c r="L46" s="226">
        <v>15240</v>
      </c>
      <c r="M46" s="226">
        <v>14647</v>
      </c>
      <c r="N46" s="226">
        <v>14340</v>
      </c>
      <c r="O46" s="226">
        <v>13575</v>
      </c>
      <c r="P46" s="226">
        <v>12821</v>
      </c>
      <c r="Q46" s="401">
        <v>12082</v>
      </c>
    </row>
    <row r="47" spans="1:17" ht="15" thickBot="1" x14ac:dyDescent="0.4">
      <c r="A47" s="213" t="s">
        <v>346</v>
      </c>
      <c r="B47" s="397"/>
      <c r="C47" s="214">
        <f t="shared" ref="C47:P47" si="5">C26+C8</f>
        <v>11232109</v>
      </c>
      <c r="D47" s="214">
        <f t="shared" si="5"/>
        <v>11483844</v>
      </c>
      <c r="E47" s="214">
        <f t="shared" si="5"/>
        <v>12490938</v>
      </c>
      <c r="F47" s="214">
        <f t="shared" si="5"/>
        <v>12241267</v>
      </c>
      <c r="G47" s="214">
        <f t="shared" si="5"/>
        <v>12609463</v>
      </c>
      <c r="H47" s="214">
        <f t="shared" si="5"/>
        <v>12474937</v>
      </c>
      <c r="I47" s="214">
        <f t="shared" si="5"/>
        <v>12794341</v>
      </c>
      <c r="J47" s="214">
        <f t="shared" si="5"/>
        <v>12120744</v>
      </c>
      <c r="K47" s="214">
        <f t="shared" si="5"/>
        <v>12061632</v>
      </c>
      <c r="L47" s="214">
        <f t="shared" si="5"/>
        <v>12779850</v>
      </c>
      <c r="M47" s="214">
        <f t="shared" si="5"/>
        <v>12708405</v>
      </c>
      <c r="N47" s="214">
        <f t="shared" si="5"/>
        <v>12790539</v>
      </c>
      <c r="O47" s="214">
        <f t="shared" si="5"/>
        <v>12901047</v>
      </c>
      <c r="P47" s="214">
        <f t="shared" si="5"/>
        <v>13161268</v>
      </c>
      <c r="Q47" s="214">
        <f>Q26+Q8</f>
        <v>14339991</v>
      </c>
    </row>
    <row r="48" spans="1:17" x14ac:dyDescent="0.35">
      <c r="A48" s="209"/>
      <c r="B48" s="209"/>
      <c r="C48" s="317"/>
      <c r="D48" s="317"/>
      <c r="E48" s="317"/>
    </row>
    <row r="49" spans="1:17" ht="15" thickBot="1" x14ac:dyDescent="0.4">
      <c r="A49" s="5" t="s">
        <v>565</v>
      </c>
      <c r="B49" s="204"/>
      <c r="C49" s="609" t="str">
        <f>C7</f>
        <v>1T20</v>
      </c>
      <c r="D49" s="573" t="s">
        <v>70</v>
      </c>
      <c r="E49" s="609" t="s">
        <v>71</v>
      </c>
      <c r="F49" s="609" t="s">
        <v>72</v>
      </c>
      <c r="G49" s="609" t="s">
        <v>73</v>
      </c>
      <c r="H49" s="609" t="s">
        <v>74</v>
      </c>
      <c r="I49" s="609" t="s">
        <v>75</v>
      </c>
      <c r="J49" s="609" t="s">
        <v>76</v>
      </c>
      <c r="K49" s="609" t="s">
        <v>77</v>
      </c>
      <c r="L49" s="609" t="s">
        <v>78</v>
      </c>
      <c r="M49" s="609" t="s">
        <v>79</v>
      </c>
      <c r="N49" s="609" t="str">
        <f>N7</f>
        <v>4T22</v>
      </c>
      <c r="O49" s="609" t="str">
        <f>O7</f>
        <v>1T23</v>
      </c>
      <c r="P49" s="609" t="str">
        <f>P7</f>
        <v>2T23</v>
      </c>
      <c r="Q49" s="609" t="str">
        <f>Q7</f>
        <v>3T23</v>
      </c>
    </row>
    <row r="50" spans="1:17" ht="15" thickBot="1" x14ac:dyDescent="0.4">
      <c r="A50" s="205" t="s">
        <v>316</v>
      </c>
      <c r="B50" s="397"/>
      <c r="C50" s="207">
        <f t="shared" ref="C50:Q50" si="6">SUM(C51:C70)</f>
        <v>1529193</v>
      </c>
      <c r="D50" s="207">
        <f t="shared" si="6"/>
        <v>1637747</v>
      </c>
      <c r="E50" s="207">
        <f t="shared" si="6"/>
        <v>2032517</v>
      </c>
      <c r="F50" s="207">
        <f t="shared" si="6"/>
        <v>2535530</v>
      </c>
      <c r="G50" s="207">
        <f t="shared" si="6"/>
        <v>2654028</v>
      </c>
      <c r="H50" s="207">
        <f t="shared" si="6"/>
        <v>2735668</v>
      </c>
      <c r="I50" s="207">
        <f t="shared" si="6"/>
        <v>3669213</v>
      </c>
      <c r="J50" s="207">
        <f t="shared" si="6"/>
        <v>3287767</v>
      </c>
      <c r="K50" s="207">
        <f t="shared" si="6"/>
        <v>2680053</v>
      </c>
      <c r="L50" s="207">
        <f t="shared" si="6"/>
        <v>2898246</v>
      </c>
      <c r="M50" s="207">
        <f t="shared" si="6"/>
        <v>3008198</v>
      </c>
      <c r="N50" s="207">
        <f t="shared" si="6"/>
        <v>3259203</v>
      </c>
      <c r="O50" s="207">
        <f t="shared" si="6"/>
        <v>3038337</v>
      </c>
      <c r="P50" s="207">
        <f t="shared" si="6"/>
        <v>2824565</v>
      </c>
      <c r="Q50" s="207">
        <f t="shared" si="6"/>
        <v>3324553</v>
      </c>
    </row>
    <row r="51" spans="1:17" x14ac:dyDescent="0.35">
      <c r="A51" s="218" t="s">
        <v>563</v>
      </c>
      <c r="B51" s="218"/>
      <c r="C51" s="226"/>
      <c r="D51" s="226"/>
      <c r="E51" s="226"/>
      <c r="L51" s="226">
        <v>756</v>
      </c>
      <c r="M51" s="226">
        <v>756</v>
      </c>
      <c r="N51" s="226">
        <v>862</v>
      </c>
      <c r="O51" s="226">
        <v>862</v>
      </c>
      <c r="P51" s="226">
        <v>1306</v>
      </c>
      <c r="Q51" s="401">
        <v>1319</v>
      </c>
    </row>
    <row r="52" spans="1:17" x14ac:dyDescent="0.35">
      <c r="A52" s="218" t="s">
        <v>348</v>
      </c>
      <c r="B52" s="218"/>
      <c r="C52" s="226">
        <v>524989</v>
      </c>
      <c r="D52" s="226">
        <v>513779</v>
      </c>
      <c r="E52" s="226">
        <v>593980</v>
      </c>
      <c r="F52" s="226">
        <v>750901</v>
      </c>
      <c r="G52" s="226">
        <v>650369</v>
      </c>
      <c r="H52" s="226">
        <v>708538</v>
      </c>
      <c r="I52" s="226">
        <v>958745</v>
      </c>
      <c r="J52" s="226">
        <v>1090256</v>
      </c>
      <c r="K52" s="226">
        <v>780193</v>
      </c>
      <c r="L52" s="226">
        <v>868670</v>
      </c>
      <c r="M52" s="226">
        <v>930702</v>
      </c>
      <c r="N52" s="226">
        <v>999203</v>
      </c>
      <c r="O52" s="226">
        <v>893611</v>
      </c>
      <c r="P52" s="226">
        <v>906470</v>
      </c>
      <c r="Q52" s="401">
        <v>1093094</v>
      </c>
    </row>
    <row r="53" spans="1:17" x14ac:dyDescent="0.35">
      <c r="A53" s="218" t="s">
        <v>350</v>
      </c>
      <c r="B53" s="218"/>
      <c r="C53" s="226">
        <v>15142</v>
      </c>
      <c r="D53" s="226">
        <v>22128</v>
      </c>
      <c r="E53" s="226">
        <v>21823</v>
      </c>
      <c r="F53" s="226">
        <v>15794</v>
      </c>
      <c r="G53" s="226">
        <v>18158</v>
      </c>
      <c r="H53" s="226">
        <v>19535</v>
      </c>
      <c r="I53" s="226">
        <v>21853</v>
      </c>
      <c r="J53" s="226">
        <v>21735</v>
      </c>
      <c r="K53" s="226">
        <v>22375</v>
      </c>
      <c r="L53" s="226">
        <v>20349</v>
      </c>
      <c r="M53" s="226">
        <v>22514</v>
      </c>
      <c r="N53" s="226">
        <v>19162</v>
      </c>
      <c r="O53" s="226">
        <v>23077</v>
      </c>
      <c r="P53" s="226">
        <v>22207</v>
      </c>
      <c r="Q53" s="401">
        <v>23525</v>
      </c>
    </row>
    <row r="54" spans="1:17" x14ac:dyDescent="0.35">
      <c r="A54" s="209" t="s">
        <v>351</v>
      </c>
      <c r="B54" s="209"/>
      <c r="C54" s="226">
        <v>52257</v>
      </c>
      <c r="D54" s="226">
        <v>199441</v>
      </c>
      <c r="E54" s="226">
        <v>419032</v>
      </c>
      <c r="F54" s="226">
        <v>779981</v>
      </c>
      <c r="G54" s="226">
        <v>991010</v>
      </c>
      <c r="H54" s="226">
        <v>1031968</v>
      </c>
      <c r="I54" s="226">
        <v>1100331</v>
      </c>
      <c r="J54" s="226">
        <v>767272</v>
      </c>
      <c r="K54" s="226">
        <v>554876</v>
      </c>
      <c r="L54" s="226">
        <v>709851</v>
      </c>
      <c r="M54" s="226">
        <v>573263</v>
      </c>
      <c r="N54" s="226">
        <v>569787</v>
      </c>
      <c r="O54" s="226">
        <v>604165</v>
      </c>
      <c r="P54" s="226">
        <v>281258</v>
      </c>
      <c r="Q54" s="401">
        <v>318975</v>
      </c>
    </row>
    <row r="55" spans="1:17" x14ac:dyDescent="0.35">
      <c r="A55" s="209" t="s">
        <v>191</v>
      </c>
      <c r="B55" s="209"/>
      <c r="C55" s="226">
        <v>28065</v>
      </c>
      <c r="D55" s="226">
        <v>18387</v>
      </c>
      <c r="E55" s="226">
        <v>34644</v>
      </c>
      <c r="F55" s="226">
        <v>240462</v>
      </c>
      <c r="G55" s="226">
        <v>286509</v>
      </c>
      <c r="H55" s="226">
        <v>295738</v>
      </c>
      <c r="I55" s="226">
        <v>323650</v>
      </c>
      <c r="J55" s="226">
        <v>52871</v>
      </c>
      <c r="K55" s="226">
        <v>81387</v>
      </c>
      <c r="L55" s="226">
        <v>522501</v>
      </c>
      <c r="M55" s="226">
        <v>106849</v>
      </c>
      <c r="N55" s="226">
        <v>199033</v>
      </c>
      <c r="O55" s="226">
        <v>253266</v>
      </c>
      <c r="P55" s="226">
        <v>209457</v>
      </c>
      <c r="Q55" s="401">
        <v>262183</v>
      </c>
    </row>
    <row r="56" spans="1:17" x14ac:dyDescent="0.35">
      <c r="A56" s="209" t="s">
        <v>554</v>
      </c>
      <c r="B56" s="209"/>
      <c r="C56" s="226"/>
      <c r="D56" s="226"/>
      <c r="E56" s="226"/>
      <c r="F56" s="226">
        <v>80984</v>
      </c>
      <c r="H56" s="226">
        <v>8542</v>
      </c>
      <c r="I56" s="226">
        <v>50</v>
      </c>
      <c r="M56" s="226">
        <v>37850</v>
      </c>
      <c r="N56" s="226">
        <v>169408</v>
      </c>
      <c r="P56" s="226">
        <v>0</v>
      </c>
    </row>
    <row r="57" spans="1:17" x14ac:dyDescent="0.35">
      <c r="A57" s="209" t="s">
        <v>353</v>
      </c>
      <c r="B57" s="209"/>
      <c r="C57" s="226">
        <v>198756</v>
      </c>
      <c r="D57" s="226">
        <v>229647</v>
      </c>
      <c r="E57" s="226">
        <v>233934</v>
      </c>
      <c r="F57" s="226">
        <v>152601</v>
      </c>
      <c r="G57" s="226">
        <v>149987</v>
      </c>
      <c r="H57" s="226">
        <v>136539</v>
      </c>
      <c r="I57" s="226">
        <v>201066</v>
      </c>
      <c r="J57" s="226">
        <v>206427</v>
      </c>
      <c r="K57" s="226">
        <v>191892</v>
      </c>
      <c r="L57" s="226">
        <v>182353</v>
      </c>
      <c r="M57" s="226">
        <v>175168</v>
      </c>
      <c r="N57" s="226">
        <v>189798</v>
      </c>
      <c r="O57" s="226">
        <v>174667</v>
      </c>
      <c r="P57" s="226">
        <v>191444</v>
      </c>
      <c r="Q57" s="401">
        <v>233246</v>
      </c>
    </row>
    <row r="58" spans="1:17" x14ac:dyDescent="0.35">
      <c r="A58" s="209" t="s">
        <v>566</v>
      </c>
      <c r="B58" s="209"/>
      <c r="C58" s="226">
        <v>1257</v>
      </c>
      <c r="D58" s="226">
        <v>7834</v>
      </c>
      <c r="E58" s="226">
        <v>21020</v>
      </c>
      <c r="F58" s="226">
        <v>36183</v>
      </c>
      <c r="G58" s="226">
        <v>5809</v>
      </c>
      <c r="H58" s="226">
        <v>68077</v>
      </c>
      <c r="I58" s="226">
        <v>66554</v>
      </c>
      <c r="J58" s="226">
        <v>43531</v>
      </c>
      <c r="K58" s="226">
        <v>134663</v>
      </c>
      <c r="L58" s="226">
        <v>76178</v>
      </c>
      <c r="M58" s="226">
        <v>148839</v>
      </c>
      <c r="N58" s="226">
        <v>69396</v>
      </c>
      <c r="O58" s="226">
        <v>111433</v>
      </c>
      <c r="P58" s="226">
        <v>232788</v>
      </c>
      <c r="Q58" s="401">
        <v>308297</v>
      </c>
    </row>
    <row r="59" spans="1:17" x14ac:dyDescent="0.35">
      <c r="A59" s="209" t="s">
        <v>355</v>
      </c>
      <c r="B59" s="209"/>
      <c r="C59" s="226">
        <v>22120</v>
      </c>
      <c r="D59" s="226">
        <v>328</v>
      </c>
      <c r="E59" s="226">
        <v>249</v>
      </c>
      <c r="F59" s="226">
        <v>66559</v>
      </c>
      <c r="G59" s="226">
        <v>66559</v>
      </c>
      <c r="H59" s="226">
        <v>459</v>
      </c>
      <c r="I59" s="226">
        <v>582</v>
      </c>
      <c r="J59" s="226">
        <v>204071</v>
      </c>
      <c r="K59" s="226">
        <v>204071</v>
      </c>
      <c r="L59" s="226">
        <v>808</v>
      </c>
      <c r="M59" s="226">
        <v>808</v>
      </c>
      <c r="N59" s="226">
        <v>277586</v>
      </c>
      <c r="O59" s="226">
        <v>277586</v>
      </c>
      <c r="P59" s="226">
        <v>277457</v>
      </c>
      <c r="Q59" s="401">
        <v>327081</v>
      </c>
    </row>
    <row r="60" spans="1:17" x14ac:dyDescent="0.35">
      <c r="A60" s="209" t="s">
        <v>358</v>
      </c>
      <c r="B60" s="209"/>
      <c r="C60" s="226"/>
      <c r="D60" s="226"/>
      <c r="E60" s="226"/>
      <c r="I60" s="226">
        <v>109771</v>
      </c>
      <c r="J60" s="226">
        <v>99922</v>
      </c>
      <c r="K60" s="226">
        <v>103356</v>
      </c>
      <c r="L60" s="226">
        <v>91894</v>
      </c>
      <c r="M60" s="226">
        <v>91837</v>
      </c>
      <c r="N60" s="226">
        <v>99897</v>
      </c>
      <c r="O60" s="226">
        <v>107812</v>
      </c>
      <c r="P60" s="226">
        <v>112385</v>
      </c>
      <c r="Q60" s="401">
        <v>112578</v>
      </c>
    </row>
    <row r="61" spans="1:17" x14ac:dyDescent="0.35">
      <c r="A61" s="209" t="s">
        <v>357</v>
      </c>
      <c r="B61" s="209"/>
      <c r="C61" s="226">
        <v>19589</v>
      </c>
      <c r="D61" s="226">
        <v>22457</v>
      </c>
      <c r="E61" s="226">
        <v>32918</v>
      </c>
      <c r="F61" s="226">
        <v>28820</v>
      </c>
      <c r="G61" s="226">
        <v>27094</v>
      </c>
      <c r="H61" s="226">
        <v>28488</v>
      </c>
      <c r="I61" s="226">
        <v>22745</v>
      </c>
      <c r="J61" s="226">
        <v>24313</v>
      </c>
      <c r="K61" s="226">
        <v>23165</v>
      </c>
      <c r="L61" s="226">
        <v>25341</v>
      </c>
      <c r="M61" s="226">
        <v>31548</v>
      </c>
      <c r="N61" s="226">
        <v>37156</v>
      </c>
      <c r="O61" s="226">
        <v>33247</v>
      </c>
      <c r="P61" s="226">
        <v>31490</v>
      </c>
      <c r="Q61" s="401">
        <v>39007</v>
      </c>
    </row>
    <row r="62" spans="1:17" x14ac:dyDescent="0.35">
      <c r="A62" s="209" t="s">
        <v>567</v>
      </c>
      <c r="B62" s="209"/>
      <c r="C62" s="226">
        <v>115802</v>
      </c>
      <c r="D62" s="226">
        <v>120345</v>
      </c>
      <c r="E62" s="226">
        <v>101041</v>
      </c>
      <c r="F62" s="226">
        <v>123194</v>
      </c>
      <c r="G62" s="226">
        <v>181196</v>
      </c>
      <c r="H62" s="226">
        <v>155438</v>
      </c>
      <c r="P62" s="226">
        <v>0</v>
      </c>
    </row>
    <row r="63" spans="1:17" x14ac:dyDescent="0.35">
      <c r="A63" s="209" t="s">
        <v>568</v>
      </c>
      <c r="B63" s="209"/>
      <c r="C63" s="226">
        <v>43721</v>
      </c>
      <c r="D63" s="226">
        <v>31525</v>
      </c>
      <c r="E63" s="226">
        <v>32854</v>
      </c>
      <c r="F63" s="226">
        <v>37924</v>
      </c>
      <c r="G63" s="226">
        <v>43645</v>
      </c>
      <c r="H63" s="226">
        <v>30799</v>
      </c>
      <c r="I63" s="226">
        <v>37178</v>
      </c>
      <c r="J63" s="226">
        <v>43100</v>
      </c>
      <c r="K63" s="226">
        <v>49231</v>
      </c>
      <c r="L63" s="226">
        <v>30193</v>
      </c>
      <c r="M63" s="226">
        <v>36661</v>
      </c>
      <c r="N63" s="226">
        <v>43151</v>
      </c>
      <c r="O63" s="226">
        <v>25743</v>
      </c>
      <c r="P63" s="226">
        <v>23813</v>
      </c>
      <c r="Q63" s="401">
        <v>30595</v>
      </c>
    </row>
    <row r="64" spans="1:17" x14ac:dyDescent="0.35">
      <c r="A64" s="209" t="s">
        <v>384</v>
      </c>
      <c r="B64" s="209"/>
      <c r="C64" s="226"/>
      <c r="D64" s="226"/>
      <c r="E64" s="226"/>
    </row>
    <row r="65" spans="1:17" x14ac:dyDescent="0.35">
      <c r="A65" s="209" t="s">
        <v>325</v>
      </c>
      <c r="B65" s="209"/>
      <c r="C65" s="226"/>
      <c r="D65" s="226"/>
      <c r="E65" s="226"/>
      <c r="P65" s="226">
        <v>883</v>
      </c>
      <c r="Q65" s="401">
        <v>2699</v>
      </c>
    </row>
    <row r="66" spans="1:17" x14ac:dyDescent="0.35">
      <c r="A66" s="209" t="s">
        <v>399</v>
      </c>
      <c r="B66" s="209"/>
      <c r="C66" s="226">
        <v>8142</v>
      </c>
      <c r="D66" s="226">
        <v>19078</v>
      </c>
      <c r="E66" s="226">
        <v>88037</v>
      </c>
      <c r="F66" s="226">
        <v>30652</v>
      </c>
      <c r="G66" s="226">
        <v>27585</v>
      </c>
      <c r="H66" s="226">
        <v>46194</v>
      </c>
      <c r="I66" s="226">
        <v>42792</v>
      </c>
      <c r="J66" s="226">
        <v>43686</v>
      </c>
      <c r="K66" s="226">
        <v>39745</v>
      </c>
      <c r="L66" s="226">
        <v>52023</v>
      </c>
      <c r="M66" s="226">
        <v>230098</v>
      </c>
      <c r="N66" s="226">
        <v>52923</v>
      </c>
      <c r="O66" s="226">
        <v>38379</v>
      </c>
      <c r="P66" s="226">
        <v>49756</v>
      </c>
      <c r="Q66" s="401">
        <v>67214</v>
      </c>
    </row>
    <row r="67" spans="1:17" x14ac:dyDescent="0.35">
      <c r="A67" s="209" t="s">
        <v>569</v>
      </c>
      <c r="B67" s="209"/>
      <c r="C67" s="226">
        <v>3642</v>
      </c>
      <c r="D67" s="226">
        <v>4306</v>
      </c>
      <c r="E67" s="226">
        <v>5070</v>
      </c>
      <c r="F67" s="226">
        <v>5533</v>
      </c>
      <c r="G67" s="226">
        <v>6213</v>
      </c>
      <c r="H67" s="226">
        <v>6542</v>
      </c>
      <c r="I67" s="226">
        <v>6574</v>
      </c>
      <c r="J67" s="226">
        <v>21485</v>
      </c>
      <c r="K67" s="226">
        <v>22258</v>
      </c>
      <c r="L67" s="226">
        <v>23333</v>
      </c>
      <c r="M67" s="226">
        <v>8709</v>
      </c>
      <c r="N67" s="226">
        <v>8297</v>
      </c>
      <c r="O67" s="226">
        <v>8996</v>
      </c>
      <c r="P67" s="226">
        <v>8780</v>
      </c>
      <c r="Q67" s="401">
        <v>8413</v>
      </c>
    </row>
    <row r="68" spans="1:17" x14ac:dyDescent="0.35">
      <c r="A68" s="209" t="s">
        <v>363</v>
      </c>
      <c r="B68" s="209"/>
      <c r="C68" s="226">
        <v>324596</v>
      </c>
      <c r="D68" s="226">
        <v>325523</v>
      </c>
      <c r="E68" s="226">
        <v>326263</v>
      </c>
      <c r="I68" s="226">
        <v>525558</v>
      </c>
      <c r="J68" s="226">
        <v>369478</v>
      </c>
      <c r="K68" s="226">
        <v>226432</v>
      </c>
      <c r="L68" s="226">
        <v>70438</v>
      </c>
      <c r="M68" s="226">
        <v>332501</v>
      </c>
      <c r="N68" s="226">
        <v>233218</v>
      </c>
      <c r="O68" s="226">
        <v>144570</v>
      </c>
      <c r="P68" s="226">
        <v>39128</v>
      </c>
      <c r="Q68" s="401">
        <v>9654</v>
      </c>
    </row>
    <row r="69" spans="1:17" x14ac:dyDescent="0.35">
      <c r="A69" s="209" t="s">
        <v>364</v>
      </c>
      <c r="B69" s="209"/>
      <c r="C69" s="226">
        <v>3669</v>
      </c>
      <c r="D69" s="226">
        <v>5208</v>
      </c>
      <c r="E69" s="226">
        <v>5092</v>
      </c>
      <c r="F69" s="226">
        <v>7132</v>
      </c>
      <c r="G69" s="226">
        <v>6460</v>
      </c>
      <c r="H69" s="226">
        <v>5710</v>
      </c>
      <c r="I69" s="226">
        <v>2283</v>
      </c>
      <c r="J69" s="226">
        <v>2505</v>
      </c>
      <c r="K69" s="226">
        <v>2491</v>
      </c>
      <c r="L69" s="226">
        <v>2513</v>
      </c>
      <c r="M69" s="226">
        <v>2601</v>
      </c>
      <c r="N69" s="226">
        <v>2872</v>
      </c>
      <c r="O69" s="226">
        <v>2897</v>
      </c>
      <c r="P69" s="226">
        <v>2930</v>
      </c>
      <c r="Q69" s="401">
        <v>2965</v>
      </c>
    </row>
    <row r="70" spans="1:17" ht="15" thickBot="1" x14ac:dyDescent="0.4">
      <c r="A70" s="209" t="s">
        <v>366</v>
      </c>
      <c r="B70" s="209"/>
      <c r="C70" s="226">
        <v>167446</v>
      </c>
      <c r="D70" s="226">
        <v>117761</v>
      </c>
      <c r="E70" s="226">
        <v>116560</v>
      </c>
      <c r="F70" s="226">
        <v>178810</v>
      </c>
      <c r="G70" s="226">
        <v>193434</v>
      </c>
      <c r="H70" s="226">
        <v>193101</v>
      </c>
      <c r="I70" s="226">
        <v>249481</v>
      </c>
      <c r="J70" s="226">
        <v>297115</v>
      </c>
      <c r="K70" s="226">
        <v>243918</v>
      </c>
      <c r="L70" s="226">
        <v>221045</v>
      </c>
      <c r="M70" s="226">
        <v>277494</v>
      </c>
      <c r="N70" s="226">
        <v>287454</v>
      </c>
      <c r="O70" s="226">
        <v>338026</v>
      </c>
      <c r="P70" s="226">
        <v>433013</v>
      </c>
      <c r="Q70" s="401">
        <v>483708</v>
      </c>
    </row>
    <row r="71" spans="1:17" ht="15" thickBot="1" x14ac:dyDescent="0.4">
      <c r="A71" s="213" t="s">
        <v>333</v>
      </c>
      <c r="B71" s="397"/>
      <c r="C71" s="214">
        <f t="shared" ref="C71:M71" si="7">SUM(C72:C86)</f>
        <v>6284814</v>
      </c>
      <c r="D71" s="214">
        <f t="shared" si="7"/>
        <v>6490029</v>
      </c>
      <c r="E71" s="214">
        <f t="shared" si="7"/>
        <v>6825895</v>
      </c>
      <c r="F71" s="214">
        <f t="shared" si="7"/>
        <v>6332559</v>
      </c>
      <c r="G71" s="214">
        <f t="shared" si="7"/>
        <v>6473338</v>
      </c>
      <c r="H71" s="214">
        <f t="shared" si="7"/>
        <v>6176390</v>
      </c>
      <c r="I71" s="214">
        <f t="shared" si="7"/>
        <v>5517933</v>
      </c>
      <c r="J71" s="214">
        <f t="shared" si="7"/>
        <v>5483062</v>
      </c>
      <c r="K71" s="214">
        <f t="shared" si="7"/>
        <v>5704638</v>
      </c>
      <c r="L71" s="214">
        <f t="shared" si="7"/>
        <v>5901565</v>
      </c>
      <c r="M71" s="214">
        <f t="shared" si="7"/>
        <v>5350218</v>
      </c>
      <c r="N71" s="214">
        <f t="shared" ref="N71:P71" si="8">SUM(N72:N86)</f>
        <v>6641262</v>
      </c>
      <c r="O71" s="214">
        <f t="shared" si="8"/>
        <v>6564415</v>
      </c>
      <c r="P71" s="214">
        <f t="shared" si="8"/>
        <v>6524043</v>
      </c>
      <c r="Q71" s="214">
        <f>SUM(Q72:Q86)</f>
        <v>6562709</v>
      </c>
    </row>
    <row r="72" spans="1:17" x14ac:dyDescent="0.35">
      <c r="A72" s="209" t="s">
        <v>367</v>
      </c>
      <c r="B72" s="209"/>
      <c r="C72" s="238">
        <v>2262724</v>
      </c>
      <c r="D72" s="238">
        <v>2393305</v>
      </c>
      <c r="E72" s="238">
        <v>2445339</v>
      </c>
      <c r="F72" s="226">
        <v>1976662</v>
      </c>
      <c r="G72" s="226">
        <v>2004717</v>
      </c>
      <c r="H72" s="226">
        <v>1711019</v>
      </c>
      <c r="I72" s="226">
        <v>2084316</v>
      </c>
      <c r="J72" s="226">
        <v>2100412</v>
      </c>
      <c r="K72" s="226">
        <v>2382603</v>
      </c>
      <c r="L72" s="226">
        <v>2089432</v>
      </c>
      <c r="M72" s="226">
        <v>2035911</v>
      </c>
      <c r="N72" s="226">
        <v>3430039</v>
      </c>
      <c r="O72" s="226">
        <v>3377134</v>
      </c>
      <c r="P72" s="226">
        <v>3287388</v>
      </c>
      <c r="Q72" s="401">
        <v>3252299</v>
      </c>
    </row>
    <row r="73" spans="1:17" x14ac:dyDescent="0.35">
      <c r="A73" s="209" t="s">
        <v>191</v>
      </c>
      <c r="B73" s="209"/>
      <c r="C73" s="238">
        <v>1423806</v>
      </c>
      <c r="D73" s="238">
        <v>1421021</v>
      </c>
      <c r="E73" s="238">
        <v>1426647</v>
      </c>
      <c r="F73" s="226">
        <v>1209270</v>
      </c>
      <c r="G73" s="226">
        <v>1182877</v>
      </c>
      <c r="H73" s="226">
        <v>1186497</v>
      </c>
      <c r="I73" s="226">
        <v>1192254</v>
      </c>
      <c r="J73" s="226">
        <v>1199231</v>
      </c>
      <c r="K73" s="226">
        <v>1168056</v>
      </c>
      <c r="L73" s="226">
        <v>1519373</v>
      </c>
      <c r="M73" s="226">
        <v>1518332</v>
      </c>
      <c r="N73" s="226">
        <v>1382776</v>
      </c>
      <c r="O73" s="226">
        <v>1345751</v>
      </c>
      <c r="P73" s="226">
        <v>1346006</v>
      </c>
      <c r="Q73" s="401">
        <v>1346260</v>
      </c>
    </row>
    <row r="74" spans="1:17" x14ac:dyDescent="0.35">
      <c r="A74" s="209" t="s">
        <v>353</v>
      </c>
      <c r="B74" s="209"/>
      <c r="C74" s="238">
        <v>179091</v>
      </c>
      <c r="D74" s="238">
        <v>176632</v>
      </c>
      <c r="E74" s="238">
        <v>174001</v>
      </c>
      <c r="F74" s="226">
        <v>171306</v>
      </c>
      <c r="G74" s="226">
        <v>168589</v>
      </c>
      <c r="H74" s="226">
        <v>165979</v>
      </c>
      <c r="I74" s="226">
        <v>163429</v>
      </c>
      <c r="J74" s="226">
        <v>102032</v>
      </c>
      <c r="K74" s="226">
        <v>94251</v>
      </c>
      <c r="L74" s="226">
        <v>92158</v>
      </c>
      <c r="M74" s="226">
        <v>94974</v>
      </c>
      <c r="N74" s="226">
        <v>92198</v>
      </c>
      <c r="O74" s="226">
        <v>90802</v>
      </c>
      <c r="P74" s="226">
        <v>89215</v>
      </c>
      <c r="Q74" s="401">
        <v>86978</v>
      </c>
    </row>
    <row r="75" spans="1:17" x14ac:dyDescent="0.35">
      <c r="A75" s="209" t="s">
        <v>337</v>
      </c>
      <c r="B75" s="209"/>
      <c r="C75" s="238">
        <v>271664</v>
      </c>
      <c r="D75" s="238">
        <v>286198</v>
      </c>
      <c r="E75" s="238">
        <v>342351</v>
      </c>
      <c r="F75" s="226">
        <v>372621</v>
      </c>
      <c r="G75" s="226">
        <v>416285</v>
      </c>
      <c r="H75" s="226">
        <v>401812</v>
      </c>
      <c r="I75" s="226">
        <v>456431</v>
      </c>
      <c r="J75" s="226">
        <v>497385</v>
      </c>
      <c r="K75" s="226">
        <v>456959</v>
      </c>
      <c r="L75" s="226">
        <v>499317</v>
      </c>
      <c r="M75" s="226">
        <v>429448</v>
      </c>
      <c r="N75" s="226">
        <v>410085</v>
      </c>
      <c r="O75" s="226">
        <v>362565</v>
      </c>
      <c r="P75" s="226">
        <v>343854</v>
      </c>
      <c r="Q75" s="401">
        <v>429890</v>
      </c>
    </row>
    <row r="76" spans="1:17" x14ac:dyDescent="0.35">
      <c r="A76" s="209" t="s">
        <v>325</v>
      </c>
      <c r="B76" s="209"/>
      <c r="C76" s="238"/>
      <c r="D76" s="238"/>
      <c r="E76" s="238"/>
      <c r="N76" s="226">
        <v>47724</v>
      </c>
      <c r="O76" s="226">
        <v>107991</v>
      </c>
      <c r="P76" s="226">
        <v>155880</v>
      </c>
      <c r="Q76" s="401">
        <v>135051</v>
      </c>
    </row>
    <row r="77" spans="1:17" x14ac:dyDescent="0.35">
      <c r="A77" s="209" t="s">
        <v>569</v>
      </c>
      <c r="B77" s="209"/>
      <c r="C77" s="238">
        <v>131427</v>
      </c>
      <c r="D77" s="238">
        <v>126218</v>
      </c>
      <c r="E77" s="238">
        <v>125016</v>
      </c>
      <c r="F77" s="226">
        <v>123479</v>
      </c>
      <c r="G77" s="226">
        <v>124552</v>
      </c>
      <c r="H77" s="226">
        <v>119955</v>
      </c>
      <c r="I77" s="226">
        <v>120023</v>
      </c>
      <c r="J77" s="226">
        <v>119838</v>
      </c>
      <c r="K77" s="226">
        <v>119999</v>
      </c>
      <c r="L77" s="226">
        <v>119089</v>
      </c>
      <c r="M77" s="226">
        <v>120679</v>
      </c>
      <c r="N77" s="226">
        <v>130178</v>
      </c>
      <c r="O77" s="226">
        <v>130202</v>
      </c>
      <c r="P77" s="226">
        <v>127029</v>
      </c>
      <c r="Q77" s="401">
        <v>126995</v>
      </c>
    </row>
    <row r="78" spans="1:17" x14ac:dyDescent="0.35">
      <c r="A78" s="209" t="s">
        <v>554</v>
      </c>
      <c r="B78" s="209"/>
      <c r="C78" s="238">
        <v>102646</v>
      </c>
      <c r="D78" s="238">
        <v>155794</v>
      </c>
      <c r="E78" s="238">
        <v>418179</v>
      </c>
      <c r="F78" s="226">
        <v>170307</v>
      </c>
      <c r="G78" s="226">
        <v>271397</v>
      </c>
      <c r="H78" s="226">
        <v>256303</v>
      </c>
      <c r="I78" s="226">
        <v>49614</v>
      </c>
      <c r="L78" s="226">
        <v>75492</v>
      </c>
      <c r="P78" s="226">
        <v>40427</v>
      </c>
      <c r="Q78" s="401">
        <v>58883</v>
      </c>
    </row>
    <row r="79" spans="1:17" x14ac:dyDescent="0.35">
      <c r="A79" s="209" t="s">
        <v>384</v>
      </c>
      <c r="B79" s="209"/>
      <c r="C79" s="238"/>
      <c r="D79" s="238"/>
      <c r="E79" s="238"/>
      <c r="P79" s="226">
        <v>0</v>
      </c>
    </row>
    <row r="80" spans="1:17" ht="15" customHeight="1" x14ac:dyDescent="0.35">
      <c r="A80" s="209" t="s">
        <v>567</v>
      </c>
      <c r="B80" s="209"/>
      <c r="C80" s="238">
        <v>76357</v>
      </c>
      <c r="D80" s="238">
        <v>76916</v>
      </c>
      <c r="E80" s="238">
        <v>77309</v>
      </c>
      <c r="F80" s="226">
        <v>67545</v>
      </c>
      <c r="G80" s="226">
        <v>15147</v>
      </c>
      <c r="P80" s="226">
        <v>0</v>
      </c>
    </row>
    <row r="81" spans="1:17" x14ac:dyDescent="0.35">
      <c r="A81" s="209" t="s">
        <v>399</v>
      </c>
      <c r="B81" s="209"/>
      <c r="C81" s="238">
        <v>870065</v>
      </c>
      <c r="D81" s="238">
        <v>882137</v>
      </c>
      <c r="E81" s="238">
        <v>834627</v>
      </c>
      <c r="F81" s="226">
        <v>940279</v>
      </c>
      <c r="G81" s="226">
        <v>965449</v>
      </c>
      <c r="H81" s="226">
        <v>985703</v>
      </c>
      <c r="I81" s="226">
        <v>988436</v>
      </c>
      <c r="J81" s="226">
        <v>1008514</v>
      </c>
      <c r="K81" s="226">
        <v>1025901</v>
      </c>
      <c r="L81" s="226">
        <v>1039032</v>
      </c>
      <c r="M81" s="226">
        <v>1035850</v>
      </c>
      <c r="N81" s="226">
        <v>1027434</v>
      </c>
      <c r="O81" s="226">
        <v>1027538</v>
      </c>
      <c r="P81" s="226">
        <v>1010551</v>
      </c>
      <c r="Q81" s="401">
        <v>1000800</v>
      </c>
    </row>
    <row r="82" spans="1:17" x14ac:dyDescent="0.35">
      <c r="A82" s="209" t="s">
        <v>563</v>
      </c>
      <c r="B82" s="209"/>
      <c r="C82" s="238">
        <v>40308</v>
      </c>
      <c r="D82" s="238">
        <v>40308</v>
      </c>
      <c r="E82" s="238">
        <v>40308</v>
      </c>
      <c r="F82" s="226">
        <v>41435</v>
      </c>
      <c r="G82" s="226">
        <v>53233</v>
      </c>
      <c r="H82" s="226">
        <v>53233</v>
      </c>
      <c r="I82" s="226">
        <v>53233</v>
      </c>
      <c r="J82" s="226">
        <v>52375</v>
      </c>
      <c r="K82" s="226">
        <v>52375</v>
      </c>
      <c r="L82" s="226">
        <v>57778</v>
      </c>
      <c r="M82" s="226">
        <v>57778</v>
      </c>
      <c r="N82" s="226">
        <v>63329</v>
      </c>
      <c r="O82" s="226">
        <v>64575</v>
      </c>
      <c r="P82" s="226">
        <v>65340.999999999993</v>
      </c>
      <c r="Q82" s="401">
        <v>67077</v>
      </c>
    </row>
    <row r="83" spans="1:17" x14ac:dyDescent="0.35">
      <c r="A83" s="209" t="s">
        <v>366</v>
      </c>
      <c r="B83" s="209"/>
      <c r="C83" s="238">
        <v>42262</v>
      </c>
      <c r="D83" s="238">
        <v>41300</v>
      </c>
      <c r="E83" s="238">
        <v>40736</v>
      </c>
      <c r="F83" s="226">
        <v>30187</v>
      </c>
      <c r="G83" s="226">
        <v>29664</v>
      </c>
      <c r="H83" s="226">
        <v>31386</v>
      </c>
      <c r="I83" s="226">
        <v>31219</v>
      </c>
      <c r="J83" s="226">
        <v>31213</v>
      </c>
      <c r="K83" s="226">
        <v>30310</v>
      </c>
      <c r="L83" s="226">
        <v>26264</v>
      </c>
      <c r="M83" s="226">
        <v>26135</v>
      </c>
      <c r="N83" s="226">
        <v>26607</v>
      </c>
      <c r="O83" s="226">
        <v>27699</v>
      </c>
      <c r="P83" s="226">
        <v>28560</v>
      </c>
      <c r="Q83" s="401">
        <v>28865</v>
      </c>
    </row>
    <row r="84" spans="1:17" x14ac:dyDescent="0.35">
      <c r="A84" s="209" t="s">
        <v>363</v>
      </c>
      <c r="B84" s="209"/>
      <c r="C84" s="238">
        <v>610542</v>
      </c>
      <c r="D84" s="238">
        <v>615947</v>
      </c>
      <c r="E84" s="238">
        <v>619226</v>
      </c>
      <c r="F84" s="226">
        <v>948552</v>
      </c>
      <c r="G84" s="226">
        <v>951077</v>
      </c>
      <c r="H84" s="226">
        <v>953697</v>
      </c>
      <c r="I84" s="226">
        <v>337390</v>
      </c>
      <c r="J84" s="226">
        <v>343408</v>
      </c>
      <c r="K84" s="226">
        <v>348983</v>
      </c>
      <c r="L84" s="226">
        <v>351867</v>
      </c>
      <c r="M84" s="226">
        <v>0</v>
      </c>
      <c r="P84" s="226">
        <v>0</v>
      </c>
    </row>
    <row r="85" spans="1:17" x14ac:dyDescent="0.35">
      <c r="A85" s="209" t="s">
        <v>364</v>
      </c>
      <c r="B85" s="209"/>
      <c r="C85" s="238">
        <v>15111</v>
      </c>
      <c r="D85" s="238">
        <v>16368</v>
      </c>
      <c r="E85" s="238">
        <v>15140</v>
      </c>
      <c r="F85" s="226">
        <v>14558</v>
      </c>
      <c r="G85" s="226">
        <v>13344</v>
      </c>
      <c r="H85" s="226">
        <v>12168</v>
      </c>
      <c r="I85" s="226">
        <v>15649</v>
      </c>
      <c r="J85" s="226">
        <v>15942</v>
      </c>
      <c r="K85" s="226">
        <v>15310</v>
      </c>
      <c r="L85" s="226">
        <v>14663</v>
      </c>
      <c r="M85" s="226">
        <v>14060</v>
      </c>
      <c r="N85" s="226">
        <v>13559</v>
      </c>
      <c r="O85" s="226">
        <v>12820</v>
      </c>
      <c r="P85" s="226">
        <v>12069</v>
      </c>
      <c r="Q85" s="401">
        <v>11318</v>
      </c>
    </row>
    <row r="86" spans="1:17" ht="15" thickBot="1" x14ac:dyDescent="0.4">
      <c r="A86" s="402" t="s">
        <v>358</v>
      </c>
      <c r="B86" s="209"/>
      <c r="C86" s="238">
        <v>258811</v>
      </c>
      <c r="D86" s="238">
        <v>257885</v>
      </c>
      <c r="E86" s="238">
        <v>267016</v>
      </c>
      <c r="F86" s="226">
        <v>266358</v>
      </c>
      <c r="G86" s="226">
        <v>277007</v>
      </c>
      <c r="H86" s="226">
        <v>298638</v>
      </c>
      <c r="I86" s="226">
        <v>25939</v>
      </c>
      <c r="J86" s="226">
        <v>12712</v>
      </c>
      <c r="K86" s="226">
        <v>9891</v>
      </c>
      <c r="L86" s="226">
        <v>17100</v>
      </c>
      <c r="M86" s="226">
        <v>17051</v>
      </c>
      <c r="N86" s="226">
        <v>17333</v>
      </c>
      <c r="O86" s="226">
        <v>17338</v>
      </c>
      <c r="P86" s="226">
        <v>17723</v>
      </c>
      <c r="Q86" s="401">
        <v>18293</v>
      </c>
    </row>
    <row r="87" spans="1:17" ht="15" thickBot="1" x14ac:dyDescent="0.4">
      <c r="A87" s="222" t="s">
        <v>370</v>
      </c>
      <c r="B87" s="397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403"/>
    </row>
    <row r="88" spans="1:17" ht="15" thickBot="1" x14ac:dyDescent="0.4">
      <c r="A88" s="213" t="s">
        <v>371</v>
      </c>
      <c r="B88" s="397"/>
      <c r="C88" s="214">
        <f t="shared" ref="C88:P88" si="9">SUM(C89:C94)</f>
        <v>3418102</v>
      </c>
      <c r="D88" s="214">
        <f t="shared" si="9"/>
        <v>3356068</v>
      </c>
      <c r="E88" s="214">
        <f t="shared" si="9"/>
        <v>3632526</v>
      </c>
      <c r="F88" s="214">
        <f t="shared" si="9"/>
        <v>3373178</v>
      </c>
      <c r="G88" s="214">
        <f t="shared" si="9"/>
        <v>3482097</v>
      </c>
      <c r="H88" s="214">
        <f t="shared" si="9"/>
        <v>3562879</v>
      </c>
      <c r="I88" s="214">
        <f t="shared" si="9"/>
        <v>3607195</v>
      </c>
      <c r="J88" s="214">
        <f t="shared" si="9"/>
        <v>3359915</v>
      </c>
      <c r="K88" s="214">
        <f t="shared" si="9"/>
        <v>3676942</v>
      </c>
      <c r="L88" s="214">
        <f t="shared" si="9"/>
        <v>3980039</v>
      </c>
      <c r="M88" s="214">
        <f t="shared" si="9"/>
        <v>4349989</v>
      </c>
      <c r="N88" s="214">
        <f t="shared" si="9"/>
        <v>2890074</v>
      </c>
      <c r="O88" s="214">
        <f t="shared" si="9"/>
        <v>3298295</v>
      </c>
      <c r="P88" s="214">
        <f t="shared" si="9"/>
        <v>3812660</v>
      </c>
      <c r="Q88" s="214">
        <f>SUM(Q89:Q95)</f>
        <v>4452729</v>
      </c>
    </row>
    <row r="89" spans="1:17" x14ac:dyDescent="0.35">
      <c r="A89" s="209" t="s">
        <v>372</v>
      </c>
      <c r="B89" s="209"/>
      <c r="C89" s="226">
        <v>1624459</v>
      </c>
      <c r="D89" s="226">
        <v>1624459</v>
      </c>
      <c r="E89" s="226">
        <v>1624459</v>
      </c>
      <c r="F89" s="226">
        <v>1624459</v>
      </c>
      <c r="G89" s="226">
        <v>1624459</v>
      </c>
      <c r="H89" s="226">
        <v>1624459</v>
      </c>
      <c r="I89" s="226">
        <v>1624459</v>
      </c>
      <c r="J89" s="226">
        <v>1624459</v>
      </c>
      <c r="K89" s="226">
        <v>1624459</v>
      </c>
      <c r="L89" s="226">
        <v>1624459</v>
      </c>
      <c r="M89" s="226">
        <v>1624459</v>
      </c>
      <c r="N89" s="226">
        <v>1624459</v>
      </c>
      <c r="O89" s="226">
        <v>1624459</v>
      </c>
      <c r="P89" s="226">
        <v>1624459</v>
      </c>
      <c r="Q89" s="401">
        <v>1624459</v>
      </c>
    </row>
    <row r="90" spans="1:17" x14ac:dyDescent="0.35">
      <c r="A90" s="209" t="s">
        <v>570</v>
      </c>
      <c r="B90" s="209"/>
      <c r="C90" s="226">
        <v>90392</v>
      </c>
      <c r="D90" s="226">
        <v>86452</v>
      </c>
      <c r="E90" s="226">
        <v>85158</v>
      </c>
      <c r="F90" s="226">
        <v>96294</v>
      </c>
      <c r="G90" s="226">
        <v>81269</v>
      </c>
      <c r="H90" s="226">
        <v>74589</v>
      </c>
      <c r="I90" s="226">
        <v>91158</v>
      </c>
      <c r="J90" s="226">
        <v>67939</v>
      </c>
      <c r="K90" s="226">
        <v>65267</v>
      </c>
      <c r="L90" s="226">
        <v>63485</v>
      </c>
      <c r="M90" s="226">
        <v>26866</v>
      </c>
      <c r="N90" s="226">
        <v>60828</v>
      </c>
      <c r="O90" s="226">
        <v>59202</v>
      </c>
      <c r="P90" s="226">
        <v>51328</v>
      </c>
      <c r="Q90" s="401">
        <v>48494</v>
      </c>
    </row>
    <row r="91" spans="1:17" x14ac:dyDescent="0.35">
      <c r="A91" s="209" t="s">
        <v>374</v>
      </c>
      <c r="B91" s="209"/>
      <c r="C91" s="226"/>
      <c r="D91" s="226"/>
      <c r="E91" s="226"/>
      <c r="J91" s="226">
        <v>21959</v>
      </c>
      <c r="K91" s="226">
        <v>23461</v>
      </c>
      <c r="L91" s="226">
        <v>25219</v>
      </c>
      <c r="M91" s="226">
        <v>61708</v>
      </c>
      <c r="N91" s="226">
        <v>28343</v>
      </c>
      <c r="O91" s="226">
        <v>28343</v>
      </c>
      <c r="P91" s="226">
        <v>30899</v>
      </c>
      <c r="Q91" s="401">
        <v>32642</v>
      </c>
    </row>
    <row r="92" spans="1:17" x14ac:dyDescent="0.35">
      <c r="A92" s="209" t="s">
        <v>376</v>
      </c>
      <c r="B92" s="209"/>
      <c r="C92" s="226">
        <v>1584865</v>
      </c>
      <c r="D92" s="226">
        <v>1430134</v>
      </c>
      <c r="E92" s="226">
        <v>1430134</v>
      </c>
      <c r="F92" s="226">
        <v>1640695</v>
      </c>
      <c r="G92" s="226">
        <v>1658055</v>
      </c>
      <c r="H92" s="226">
        <v>1516965</v>
      </c>
      <c r="I92" s="226">
        <v>1437072</v>
      </c>
      <c r="J92" s="226">
        <v>1649606</v>
      </c>
      <c r="K92" s="226">
        <v>1649606</v>
      </c>
      <c r="L92" s="226">
        <v>1565853</v>
      </c>
      <c r="M92" s="226">
        <v>1565853</v>
      </c>
      <c r="N92" s="226">
        <v>1189057</v>
      </c>
      <c r="O92" s="226">
        <v>1189058</v>
      </c>
      <c r="P92" s="226">
        <v>1189058</v>
      </c>
      <c r="Q92" s="401">
        <v>1139434</v>
      </c>
    </row>
    <row r="93" spans="1:17" x14ac:dyDescent="0.35">
      <c r="A93" s="209" t="s">
        <v>373</v>
      </c>
      <c r="B93" s="209"/>
      <c r="C93" s="226">
        <v>5271</v>
      </c>
      <c r="D93" s="226">
        <v>-1216</v>
      </c>
      <c r="E93" s="226">
        <v>-5474</v>
      </c>
      <c r="F93" s="226">
        <v>-1286</v>
      </c>
      <c r="G93" s="226">
        <v>-18723</v>
      </c>
      <c r="H93" s="226">
        <v>6444</v>
      </c>
      <c r="I93" s="226">
        <v>3525</v>
      </c>
      <c r="J93" s="226">
        <v>-4048</v>
      </c>
      <c r="K93" s="226">
        <v>-3327</v>
      </c>
      <c r="L93" s="226">
        <v>-3487</v>
      </c>
      <c r="M93" s="226">
        <v>-3299</v>
      </c>
      <c r="N93" s="226">
        <v>-12613</v>
      </c>
      <c r="O93" s="226">
        <v>-25204</v>
      </c>
      <c r="P93" s="226">
        <v>-36812</v>
      </c>
      <c r="Q93" s="401">
        <v>-26517</v>
      </c>
    </row>
    <row r="94" spans="1:17" x14ac:dyDescent="0.35">
      <c r="A94" s="209" t="s">
        <v>403</v>
      </c>
      <c r="B94" s="209"/>
      <c r="C94" s="226">
        <v>113115</v>
      </c>
      <c r="D94" s="226">
        <v>216239</v>
      </c>
      <c r="E94" s="226">
        <v>498249</v>
      </c>
      <c r="F94" s="226">
        <v>13016</v>
      </c>
      <c r="G94" s="226">
        <v>137037</v>
      </c>
      <c r="H94" s="226">
        <v>340422</v>
      </c>
      <c r="I94" s="226">
        <v>450981</v>
      </c>
      <c r="K94" s="226">
        <v>317476</v>
      </c>
      <c r="L94" s="226">
        <v>704510</v>
      </c>
      <c r="M94" s="226">
        <v>1074402</v>
      </c>
      <c r="O94" s="226">
        <v>422437</v>
      </c>
      <c r="P94" s="226">
        <v>953728</v>
      </c>
      <c r="Q94" s="401">
        <v>0</v>
      </c>
    </row>
    <row r="95" spans="1:17" ht="15" thickBot="1" x14ac:dyDescent="0.4">
      <c r="A95" s="209" t="s">
        <v>285</v>
      </c>
      <c r="B95" s="209"/>
      <c r="C95" s="226"/>
      <c r="D95" s="226"/>
      <c r="E95" s="226"/>
      <c r="Q95" s="401">
        <v>1634217</v>
      </c>
    </row>
    <row r="96" spans="1:17" ht="15" thickBot="1" x14ac:dyDescent="0.4">
      <c r="A96" s="213" t="s">
        <v>380</v>
      </c>
      <c r="B96" s="397"/>
      <c r="C96" s="214">
        <v>11232109</v>
      </c>
      <c r="D96" s="214">
        <f t="shared" ref="D96:P96" si="10">D50+D71+D88</f>
        <v>11483844</v>
      </c>
      <c r="E96" s="214">
        <f t="shared" si="10"/>
        <v>12490938</v>
      </c>
      <c r="F96" s="214">
        <f t="shared" si="10"/>
        <v>12241267</v>
      </c>
      <c r="G96" s="214">
        <f t="shared" si="10"/>
        <v>12609463</v>
      </c>
      <c r="H96" s="214">
        <f t="shared" si="10"/>
        <v>12474937</v>
      </c>
      <c r="I96" s="214">
        <f t="shared" si="10"/>
        <v>12794341</v>
      </c>
      <c r="J96" s="214">
        <f t="shared" si="10"/>
        <v>12130744</v>
      </c>
      <c r="K96" s="214">
        <f t="shared" si="10"/>
        <v>12061633</v>
      </c>
      <c r="L96" s="214">
        <f t="shared" si="10"/>
        <v>12779850</v>
      </c>
      <c r="M96" s="214">
        <f t="shared" si="10"/>
        <v>12708405</v>
      </c>
      <c r="N96" s="214">
        <f t="shared" si="10"/>
        <v>12790539</v>
      </c>
      <c r="O96" s="214">
        <f t="shared" si="10"/>
        <v>12901047</v>
      </c>
      <c r="P96" s="214">
        <f t="shared" si="10"/>
        <v>13161268</v>
      </c>
      <c r="Q96" s="214">
        <f>Q50+Q71+Q88</f>
        <v>14339991</v>
      </c>
    </row>
    <row r="97" spans="3:17" x14ac:dyDescent="0.35">
      <c r="C97" s="226">
        <f t="shared" ref="C97:P97" si="11">C96-C47</f>
        <v>0</v>
      </c>
      <c r="D97" s="226">
        <f t="shared" si="11"/>
        <v>0</v>
      </c>
      <c r="E97" s="226">
        <f t="shared" si="11"/>
        <v>0</v>
      </c>
      <c r="F97" s="226">
        <f t="shared" si="11"/>
        <v>0</v>
      </c>
      <c r="G97" s="226">
        <f t="shared" si="11"/>
        <v>0</v>
      </c>
      <c r="H97" s="226">
        <f t="shared" si="11"/>
        <v>0</v>
      </c>
      <c r="I97" s="226">
        <f t="shared" si="11"/>
        <v>0</v>
      </c>
      <c r="J97" s="226">
        <f t="shared" si="11"/>
        <v>10000</v>
      </c>
      <c r="K97" s="226">
        <f t="shared" si="11"/>
        <v>1</v>
      </c>
      <c r="L97" s="226">
        <f t="shared" si="11"/>
        <v>0</v>
      </c>
      <c r="M97" s="226">
        <f t="shared" si="11"/>
        <v>0</v>
      </c>
      <c r="N97" s="226">
        <f t="shared" si="11"/>
        <v>0</v>
      </c>
      <c r="O97" s="226">
        <f t="shared" si="11"/>
        <v>0</v>
      </c>
      <c r="P97" s="226">
        <f t="shared" si="11"/>
        <v>0</v>
      </c>
      <c r="Q97" s="401">
        <f>Q96-Q47</f>
        <v>0</v>
      </c>
    </row>
    <row r="98" spans="3:17" x14ac:dyDescent="0.35">
      <c r="C98" s="114"/>
      <c r="D98" s="114"/>
      <c r="E98" s="11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C2B38-CD13-4214-8B55-BEE9C77FFAC3}">
  <sheetPr>
    <tabColor theme="9" tint="0.79998168889431442"/>
  </sheetPr>
  <dimension ref="A6:R89"/>
  <sheetViews>
    <sheetView showGridLines="0" zoomScale="85" zoomScaleNormal="85" workbookViewId="0">
      <pane xSplit="1" ySplit="7" topLeftCell="B8" activePane="bottomRight" state="frozen"/>
      <selection activeCell="J5" sqref="J5"/>
      <selection pane="topRight" activeCell="J5" sqref="J5"/>
      <selection pane="bottomLeft" activeCell="J5" sqref="J5"/>
      <selection pane="bottomRight" activeCell="O10" sqref="O10"/>
    </sheetView>
  </sheetViews>
  <sheetFormatPr defaultColWidth="9.1796875" defaultRowHeight="14.5" outlineLevelCol="1" x14ac:dyDescent="0.35"/>
  <cols>
    <col min="1" max="1" width="47.54296875" style="37" bestFit="1" customWidth="1"/>
    <col min="2" max="2" width="1.7265625" customWidth="1"/>
    <col min="3" max="5" width="9.54296875" style="37" hidden="1" customWidth="1" outlineLevel="1"/>
    <col min="6" max="10" width="9.1796875" style="225" hidden="1" customWidth="1" outlineLevel="1"/>
    <col min="11" max="11" width="9.1796875" style="225" customWidth="1" collapsed="1"/>
    <col min="12" max="17" width="9.1796875" style="225"/>
    <col min="18" max="16384" width="9.1796875" style="37"/>
  </cols>
  <sheetData>
    <row r="6" spans="1:17" x14ac:dyDescent="0.35">
      <c r="A6" s="41" t="s">
        <v>3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17" ht="15" thickBot="1" x14ac:dyDescent="0.4">
      <c r="A7" s="5" t="s">
        <v>315</v>
      </c>
      <c r="B7" s="204"/>
      <c r="C7" s="573" t="s">
        <v>69</v>
      </c>
      <c r="D7" s="573" t="s">
        <v>70</v>
      </c>
      <c r="E7" s="573" t="s">
        <v>71</v>
      </c>
      <c r="F7" s="573" t="s">
        <v>72</v>
      </c>
      <c r="G7" s="573" t="s">
        <v>73</v>
      </c>
      <c r="H7" s="573" t="s">
        <v>74</v>
      </c>
      <c r="I7" s="573" t="s">
        <v>75</v>
      </c>
      <c r="J7" s="573" t="s">
        <v>76</v>
      </c>
      <c r="K7" s="573" t="s">
        <v>77</v>
      </c>
      <c r="L7" s="573" t="s">
        <v>78</v>
      </c>
      <c r="M7" s="573" t="s">
        <v>79</v>
      </c>
      <c r="N7" s="573" t="s">
        <v>80</v>
      </c>
      <c r="O7" s="573" t="s">
        <v>81</v>
      </c>
      <c r="P7" s="573" t="s">
        <v>82</v>
      </c>
      <c r="Q7" s="573" t="s">
        <v>83</v>
      </c>
    </row>
    <row r="8" spans="1:17" ht="15" thickBot="1" x14ac:dyDescent="0.4">
      <c r="A8" s="205" t="s">
        <v>316</v>
      </c>
      <c r="B8" s="206"/>
      <c r="C8" s="207">
        <f t="shared" ref="C8:J8" si="0">SUM(C9:C23)</f>
        <v>1390911</v>
      </c>
      <c r="D8" s="207">
        <f t="shared" si="0"/>
        <v>1388036</v>
      </c>
      <c r="E8" s="207">
        <f t="shared" si="0"/>
        <v>1543219</v>
      </c>
      <c r="F8" s="207">
        <f t="shared" si="0"/>
        <v>2334535</v>
      </c>
      <c r="G8" s="207">
        <f t="shared" si="0"/>
        <v>2206500</v>
      </c>
      <c r="H8" s="207">
        <f t="shared" si="0"/>
        <v>2598976</v>
      </c>
      <c r="I8" s="207">
        <f t="shared" si="0"/>
        <v>2972687</v>
      </c>
      <c r="J8" s="207">
        <f t="shared" si="0"/>
        <v>2967430</v>
      </c>
      <c r="K8" s="207">
        <f t="shared" ref="K8:P8" si="1">SUM(K9:K23)</f>
        <v>2909996</v>
      </c>
      <c r="L8" s="207">
        <f t="shared" si="1"/>
        <v>2325495</v>
      </c>
      <c r="M8" s="207">
        <f t="shared" si="1"/>
        <v>2095089</v>
      </c>
      <c r="N8" s="207">
        <f t="shared" si="1"/>
        <v>2243684</v>
      </c>
      <c r="O8" s="207">
        <f t="shared" si="1"/>
        <v>2075002</v>
      </c>
      <c r="P8" s="207">
        <f t="shared" si="1"/>
        <v>1683706</v>
      </c>
      <c r="Q8" s="207">
        <f>SUM(Q9:Q23)</f>
        <v>1588922</v>
      </c>
    </row>
    <row r="9" spans="1:17" x14ac:dyDescent="0.35">
      <c r="A9" s="209" t="s">
        <v>317</v>
      </c>
      <c r="B9" s="210"/>
      <c r="C9" s="225">
        <v>471744</v>
      </c>
      <c r="D9" s="225">
        <v>17639</v>
      </c>
      <c r="E9" s="225">
        <v>477984</v>
      </c>
      <c r="F9" s="225">
        <v>369257</v>
      </c>
      <c r="G9" s="225">
        <v>434634</v>
      </c>
      <c r="H9" s="225">
        <v>978818</v>
      </c>
      <c r="I9" s="225">
        <v>949633</v>
      </c>
      <c r="J9" s="225">
        <v>554979</v>
      </c>
      <c r="K9" s="225">
        <v>437624</v>
      </c>
      <c r="L9" s="225">
        <v>480607</v>
      </c>
      <c r="M9" s="225">
        <v>342730</v>
      </c>
      <c r="N9" s="225">
        <v>423919</v>
      </c>
      <c r="O9" s="225">
        <v>17427</v>
      </c>
      <c r="P9" s="225">
        <v>106196</v>
      </c>
      <c r="Q9" s="225">
        <v>59545</v>
      </c>
    </row>
    <row r="10" spans="1:17" x14ac:dyDescent="0.35">
      <c r="A10" s="209" t="s">
        <v>382</v>
      </c>
      <c r="B10" s="210"/>
      <c r="C10" s="225">
        <v>130393</v>
      </c>
      <c r="D10" s="225">
        <v>556945</v>
      </c>
      <c r="E10" s="225">
        <v>266907</v>
      </c>
      <c r="F10" s="225">
        <v>890968</v>
      </c>
      <c r="G10" s="225">
        <v>761128</v>
      </c>
      <c r="H10" s="225">
        <v>476065</v>
      </c>
      <c r="I10" s="225">
        <v>628720</v>
      </c>
      <c r="J10" s="225">
        <v>915012</v>
      </c>
      <c r="K10" s="225">
        <v>1111096</v>
      </c>
      <c r="L10" s="225">
        <v>638129</v>
      </c>
      <c r="M10" s="225">
        <v>486043</v>
      </c>
      <c r="N10" s="225">
        <v>477064</v>
      </c>
      <c r="O10" s="225">
        <v>738904</v>
      </c>
      <c r="P10" s="225">
        <v>287966</v>
      </c>
      <c r="Q10" s="225">
        <v>282268</v>
      </c>
    </row>
    <row r="11" spans="1:17" x14ac:dyDescent="0.35">
      <c r="A11" s="209" t="s">
        <v>319</v>
      </c>
      <c r="B11" s="210"/>
      <c r="C11" s="225">
        <v>542695</v>
      </c>
      <c r="D11" s="225">
        <v>630876</v>
      </c>
      <c r="E11" s="225">
        <v>651008</v>
      </c>
      <c r="F11" s="225">
        <v>700594</v>
      </c>
      <c r="G11" s="225">
        <v>688176</v>
      </c>
      <c r="H11" s="225">
        <v>704111</v>
      </c>
      <c r="I11" s="225">
        <v>781451</v>
      </c>
      <c r="J11" s="225">
        <v>1312813</v>
      </c>
      <c r="K11" s="225">
        <v>1292523</v>
      </c>
      <c r="L11" s="225">
        <v>1264826</v>
      </c>
      <c r="M11" s="225">
        <v>708285</v>
      </c>
      <c r="N11" s="225">
        <v>719065</v>
      </c>
      <c r="O11" s="225">
        <v>753098</v>
      </c>
      <c r="P11" s="225">
        <v>806744.00000000012</v>
      </c>
      <c r="Q11" s="225">
        <v>832172</v>
      </c>
    </row>
    <row r="12" spans="1:17" x14ac:dyDescent="0.35">
      <c r="A12" s="209" t="s">
        <v>550</v>
      </c>
      <c r="B12" s="210"/>
      <c r="C12" s="225">
        <v>7011</v>
      </c>
      <c r="D12" s="225">
        <v>9148</v>
      </c>
      <c r="E12" s="225">
        <v>9559</v>
      </c>
      <c r="F12" s="225">
        <v>19610</v>
      </c>
      <c r="G12" s="225">
        <v>8489</v>
      </c>
      <c r="H12" s="225">
        <v>8282</v>
      </c>
      <c r="I12" s="225">
        <v>8147</v>
      </c>
      <c r="J12" s="225">
        <v>9083</v>
      </c>
      <c r="K12" s="225">
        <v>10086</v>
      </c>
      <c r="L12" s="225">
        <v>9229</v>
      </c>
      <c r="P12" s="225">
        <v>0</v>
      </c>
    </row>
    <row r="13" spans="1:17" x14ac:dyDescent="0.35">
      <c r="A13" s="209" t="s">
        <v>560</v>
      </c>
      <c r="B13" s="210"/>
      <c r="C13" s="225">
        <v>-105164</v>
      </c>
      <c r="D13" s="225">
        <v>-156164</v>
      </c>
      <c r="E13" s="225">
        <v>-165883</v>
      </c>
      <c r="F13" s="225">
        <v>-168085</v>
      </c>
      <c r="G13" s="225">
        <v>-185549</v>
      </c>
      <c r="H13" s="225">
        <v>-193557</v>
      </c>
      <c r="I13" s="225">
        <v>-206945</v>
      </c>
      <c r="J13" s="225">
        <v>-595481</v>
      </c>
      <c r="K13" s="225">
        <v>-607434</v>
      </c>
      <c r="L13" s="225">
        <v>-620406</v>
      </c>
      <c r="P13" s="225">
        <v>0</v>
      </c>
    </row>
    <row r="14" spans="1:17" x14ac:dyDescent="0.35">
      <c r="A14" s="209" t="s">
        <v>320</v>
      </c>
      <c r="B14" s="210"/>
      <c r="C14" s="225"/>
      <c r="D14" s="225"/>
      <c r="E14" s="225"/>
      <c r="P14" s="225">
        <v>0</v>
      </c>
    </row>
    <row r="15" spans="1:17" x14ac:dyDescent="0.35">
      <c r="A15" s="209" t="s">
        <v>551</v>
      </c>
      <c r="B15" s="210"/>
      <c r="C15" s="225">
        <v>73458</v>
      </c>
      <c r="D15" s="225">
        <v>77155</v>
      </c>
      <c r="E15" s="225"/>
      <c r="F15" s="225">
        <v>113699</v>
      </c>
      <c r="G15" s="225">
        <v>125932</v>
      </c>
      <c r="H15" s="225">
        <v>132889</v>
      </c>
      <c r="I15" s="225">
        <v>142361</v>
      </c>
      <c r="J15" s="225">
        <v>125246</v>
      </c>
      <c r="K15" s="225">
        <v>126959</v>
      </c>
      <c r="L15" s="225">
        <v>128996</v>
      </c>
      <c r="M15" s="225">
        <v>132401</v>
      </c>
      <c r="N15" s="225">
        <v>129143</v>
      </c>
      <c r="O15" s="225">
        <v>123684</v>
      </c>
      <c r="P15" s="225">
        <v>121665</v>
      </c>
      <c r="Q15" s="225">
        <v>129927</v>
      </c>
    </row>
    <row r="16" spans="1:17" x14ac:dyDescent="0.35">
      <c r="A16" s="209" t="s">
        <v>321</v>
      </c>
      <c r="B16" s="210"/>
      <c r="C16" s="225"/>
      <c r="D16" s="225"/>
      <c r="E16" s="225">
        <v>86137</v>
      </c>
      <c r="L16" s="225">
        <v>0</v>
      </c>
      <c r="P16" s="225">
        <v>0</v>
      </c>
    </row>
    <row r="17" spans="1:17" x14ac:dyDescent="0.35">
      <c r="A17" s="209" t="s">
        <v>336</v>
      </c>
      <c r="B17" s="210"/>
      <c r="C17" s="225">
        <v>314</v>
      </c>
      <c r="D17" s="225"/>
      <c r="E17" s="225"/>
      <c r="H17" s="225">
        <v>5</v>
      </c>
      <c r="L17" s="225">
        <v>0</v>
      </c>
      <c r="P17" s="225">
        <v>0</v>
      </c>
      <c r="Q17" s="225">
        <v>189</v>
      </c>
    </row>
    <row r="18" spans="1:17" x14ac:dyDescent="0.35">
      <c r="A18" s="209" t="s">
        <v>383</v>
      </c>
      <c r="B18" s="210"/>
      <c r="C18" s="225">
        <v>68550</v>
      </c>
      <c r="D18" s="225">
        <v>22558</v>
      </c>
      <c r="E18" s="225"/>
      <c r="I18" s="225">
        <v>82214</v>
      </c>
      <c r="J18" s="225">
        <v>15149</v>
      </c>
      <c r="L18" s="225">
        <v>8875</v>
      </c>
      <c r="M18" s="225">
        <v>38877</v>
      </c>
      <c r="N18" s="225">
        <v>106561</v>
      </c>
      <c r="O18" s="225">
        <v>78796</v>
      </c>
      <c r="P18" s="225">
        <v>45570</v>
      </c>
      <c r="Q18" s="225">
        <v>0</v>
      </c>
    </row>
    <row r="19" spans="1:17" x14ac:dyDescent="0.35">
      <c r="A19" s="209" t="s">
        <v>325</v>
      </c>
      <c r="B19" s="210"/>
      <c r="C19" s="225">
        <v>734</v>
      </c>
      <c r="D19" s="225">
        <v>698</v>
      </c>
      <c r="E19" s="225">
        <v>386</v>
      </c>
      <c r="F19" s="225">
        <v>152</v>
      </c>
      <c r="G19" s="225">
        <v>557</v>
      </c>
      <c r="H19" s="225">
        <v>84811</v>
      </c>
      <c r="I19" s="225">
        <v>119011</v>
      </c>
      <c r="J19" s="225">
        <v>127924</v>
      </c>
      <c r="K19" s="225">
        <v>61173</v>
      </c>
      <c r="L19" s="225">
        <v>0</v>
      </c>
      <c r="P19" s="225">
        <v>0</v>
      </c>
    </row>
    <row r="20" spans="1:17" x14ac:dyDescent="0.35">
      <c r="A20" s="209" t="s">
        <v>326</v>
      </c>
      <c r="B20" s="210"/>
      <c r="C20" s="225">
        <v>5427</v>
      </c>
      <c r="D20" s="225">
        <v>8892</v>
      </c>
      <c r="E20" s="225">
        <v>8668</v>
      </c>
      <c r="F20" s="225">
        <v>12557</v>
      </c>
      <c r="G20" s="225">
        <v>15526</v>
      </c>
      <c r="H20" s="225">
        <v>27123</v>
      </c>
      <c r="I20" s="225">
        <v>35836</v>
      </c>
      <c r="J20" s="225">
        <v>47101</v>
      </c>
      <c r="K20" s="225">
        <v>55008</v>
      </c>
      <c r="L20" s="404">
        <v>40892</v>
      </c>
      <c r="M20" s="404">
        <v>44631</v>
      </c>
      <c r="N20" s="404">
        <v>45665</v>
      </c>
      <c r="O20" s="404">
        <v>40720</v>
      </c>
      <c r="P20" s="404">
        <v>29444</v>
      </c>
      <c r="Q20" s="405">
        <v>30755</v>
      </c>
    </row>
    <row r="21" spans="1:17" x14ac:dyDescent="0.35">
      <c r="A21" s="209" t="s">
        <v>327</v>
      </c>
      <c r="B21" s="210"/>
      <c r="C21" s="225">
        <v>156294</v>
      </c>
      <c r="D21" s="225">
        <v>174872</v>
      </c>
      <c r="E21" s="225">
        <v>168420</v>
      </c>
      <c r="F21" s="225">
        <v>237849</v>
      </c>
      <c r="G21" s="225">
        <v>196002</v>
      </c>
      <c r="H21" s="225">
        <v>210774</v>
      </c>
      <c r="I21" s="225">
        <v>247888</v>
      </c>
      <c r="J21" s="225">
        <v>222012</v>
      </c>
      <c r="K21" s="225">
        <v>196452</v>
      </c>
      <c r="L21" s="225">
        <v>143538</v>
      </c>
      <c r="M21" s="225">
        <v>103767</v>
      </c>
      <c r="N21" s="225">
        <v>113402</v>
      </c>
      <c r="O21" s="225">
        <v>92229</v>
      </c>
      <c r="P21" s="225">
        <v>71038</v>
      </c>
      <c r="Q21" s="225">
        <v>66172</v>
      </c>
    </row>
    <row r="22" spans="1:17" x14ac:dyDescent="0.35">
      <c r="A22" s="209" t="s">
        <v>328</v>
      </c>
      <c r="B22" s="210"/>
      <c r="C22" s="225">
        <v>16968</v>
      </c>
      <c r="D22" s="225">
        <v>18524</v>
      </c>
      <c r="E22" s="225">
        <v>19404</v>
      </c>
      <c r="F22" s="225">
        <v>21100</v>
      </c>
      <c r="G22" s="225">
        <v>22747</v>
      </c>
      <c r="H22" s="225">
        <v>23758</v>
      </c>
      <c r="J22" s="225">
        <v>33941</v>
      </c>
      <c r="K22" s="225">
        <v>42632</v>
      </c>
      <c r="L22" s="225">
        <v>47856</v>
      </c>
      <c r="M22" s="225">
        <v>54542</v>
      </c>
      <c r="N22" s="225">
        <v>66332</v>
      </c>
      <c r="O22" s="225">
        <v>77226</v>
      </c>
      <c r="P22" s="225">
        <v>81104</v>
      </c>
      <c r="Q22" s="225">
        <v>70637</v>
      </c>
    </row>
    <row r="23" spans="1:17" ht="15" thickBot="1" x14ac:dyDescent="0.4">
      <c r="A23" s="212" t="s">
        <v>392</v>
      </c>
      <c r="B23" s="210"/>
      <c r="C23" s="225">
        <v>22487</v>
      </c>
      <c r="D23" s="225">
        <v>26893</v>
      </c>
      <c r="E23" s="225">
        <v>20629</v>
      </c>
      <c r="F23" s="225">
        <v>136834</v>
      </c>
      <c r="G23" s="225">
        <v>138858</v>
      </c>
      <c r="H23" s="225">
        <v>145897</v>
      </c>
      <c r="I23" s="225">
        <v>184371</v>
      </c>
      <c r="J23" s="225">
        <v>199651</v>
      </c>
      <c r="K23" s="225">
        <v>183877</v>
      </c>
      <c r="L23" s="225">
        <v>182953</v>
      </c>
      <c r="M23" s="225">
        <v>183813</v>
      </c>
      <c r="N23" s="225">
        <v>162533</v>
      </c>
      <c r="O23" s="225">
        <v>152918</v>
      </c>
      <c r="P23" s="225">
        <v>133979</v>
      </c>
      <c r="Q23" s="225">
        <v>117257</v>
      </c>
    </row>
    <row r="24" spans="1:17" ht="15" thickBot="1" x14ac:dyDescent="0.4">
      <c r="A24" s="213" t="s">
        <v>333</v>
      </c>
      <c r="B24" s="206"/>
      <c r="C24" s="214">
        <f>C25+C38</f>
        <v>2433874</v>
      </c>
      <c r="D24" s="214">
        <f>D25+D38</f>
        <v>2495753</v>
      </c>
      <c r="E24" s="214">
        <f>E25+E38</f>
        <v>2521260</v>
      </c>
      <c r="F24" s="214">
        <f t="shared" ref="F24:Q24" si="2">F25+F38</f>
        <v>2875968</v>
      </c>
      <c r="G24" s="214">
        <f t="shared" si="2"/>
        <v>2718731</v>
      </c>
      <c r="H24" s="214">
        <f t="shared" si="2"/>
        <v>2551387</v>
      </c>
      <c r="I24" s="214">
        <f t="shared" si="2"/>
        <v>3083468</v>
      </c>
      <c r="J24" s="214">
        <f t="shared" si="2"/>
        <v>3288235</v>
      </c>
      <c r="K24" s="214">
        <f t="shared" si="2"/>
        <v>3327099</v>
      </c>
      <c r="L24" s="214">
        <f t="shared" si="2"/>
        <v>3250134</v>
      </c>
      <c r="M24" s="214">
        <f t="shared" si="2"/>
        <v>3360193</v>
      </c>
      <c r="N24" s="214">
        <f t="shared" si="2"/>
        <v>3433991</v>
      </c>
      <c r="O24" s="214">
        <f t="shared" si="2"/>
        <v>3552581</v>
      </c>
      <c r="P24" s="214">
        <f t="shared" si="2"/>
        <v>3766052</v>
      </c>
      <c r="Q24" s="214">
        <f t="shared" si="2"/>
        <v>3923622</v>
      </c>
    </row>
    <row r="25" spans="1:17" ht="15" thickBot="1" x14ac:dyDescent="0.4">
      <c r="A25" s="213" t="s">
        <v>334</v>
      </c>
      <c r="B25" s="206"/>
      <c r="C25" s="214">
        <f>SUM(C26:C37)</f>
        <v>949013</v>
      </c>
      <c r="D25" s="214">
        <f>SUM(D26:D37)</f>
        <v>949690</v>
      </c>
      <c r="E25" s="214">
        <f>SUM(E26:E37)</f>
        <v>978065</v>
      </c>
      <c r="F25" s="214">
        <f t="shared" ref="F25:Q25" si="3">SUM(F26:F37)</f>
        <v>1122294</v>
      </c>
      <c r="G25" s="214">
        <f t="shared" si="3"/>
        <v>916971</v>
      </c>
      <c r="H25" s="214">
        <f t="shared" si="3"/>
        <v>709933</v>
      </c>
      <c r="I25" s="214">
        <f t="shared" si="3"/>
        <v>1091507</v>
      </c>
      <c r="J25" s="214">
        <f t="shared" si="3"/>
        <v>1193394</v>
      </c>
      <c r="K25" s="214">
        <f t="shared" si="3"/>
        <v>1176077</v>
      </c>
      <c r="L25" s="214">
        <f t="shared" si="3"/>
        <v>987798</v>
      </c>
      <c r="M25" s="214">
        <f t="shared" si="3"/>
        <v>908756</v>
      </c>
      <c r="N25" s="214">
        <f t="shared" si="3"/>
        <v>869039</v>
      </c>
      <c r="O25" s="214">
        <f t="shared" si="3"/>
        <v>842505</v>
      </c>
      <c r="P25" s="214">
        <f t="shared" si="3"/>
        <v>900351</v>
      </c>
      <c r="Q25" s="214">
        <f t="shared" si="3"/>
        <v>944476</v>
      </c>
    </row>
    <row r="26" spans="1:17" x14ac:dyDescent="0.35">
      <c r="A26" s="209" t="s">
        <v>319</v>
      </c>
      <c r="B26" s="210"/>
      <c r="C26" s="225">
        <v>231068</v>
      </c>
      <c r="D26" s="225">
        <v>225804</v>
      </c>
      <c r="E26" s="225">
        <v>224144</v>
      </c>
      <c r="F26" s="225">
        <v>245691</v>
      </c>
      <c r="G26" s="225">
        <v>248621</v>
      </c>
      <c r="H26" s="225">
        <v>259682</v>
      </c>
      <c r="I26" s="225">
        <v>256382</v>
      </c>
      <c r="J26" s="225">
        <v>290145</v>
      </c>
      <c r="K26" s="225">
        <v>282322</v>
      </c>
      <c r="L26" s="225">
        <v>273393</v>
      </c>
      <c r="M26" s="225">
        <v>254238</v>
      </c>
      <c r="N26" s="225">
        <v>230693</v>
      </c>
      <c r="O26" s="225">
        <v>212140</v>
      </c>
      <c r="P26" s="225">
        <v>197168</v>
      </c>
      <c r="Q26" s="225">
        <v>183793</v>
      </c>
    </row>
    <row r="27" spans="1:17" x14ac:dyDescent="0.35">
      <c r="A27" s="209" t="s">
        <v>390</v>
      </c>
      <c r="B27" s="210"/>
      <c r="C27" s="225">
        <v>197975</v>
      </c>
      <c r="D27" s="225">
        <v>189106</v>
      </c>
      <c r="E27" s="225">
        <v>222187</v>
      </c>
      <c r="F27" s="225">
        <v>203884</v>
      </c>
      <c r="G27" s="225">
        <v>8102</v>
      </c>
      <c r="I27" s="225">
        <v>13709</v>
      </c>
      <c r="J27" s="225">
        <v>202232</v>
      </c>
      <c r="K27" s="225">
        <v>199117</v>
      </c>
      <c r="L27" s="225">
        <v>45156</v>
      </c>
      <c r="M27" s="225">
        <v>9909</v>
      </c>
      <c r="P27" s="225">
        <v>0</v>
      </c>
    </row>
    <row r="28" spans="1:17" x14ac:dyDescent="0.35">
      <c r="A28" s="209" t="s">
        <v>321</v>
      </c>
      <c r="B28" s="210"/>
      <c r="C28" s="225"/>
      <c r="D28" s="225"/>
      <c r="E28" s="225"/>
      <c r="L28" s="225">
        <v>0</v>
      </c>
      <c r="P28" s="225">
        <v>0</v>
      </c>
    </row>
    <row r="29" spans="1:17" x14ac:dyDescent="0.35">
      <c r="A29" s="209" t="s">
        <v>335</v>
      </c>
      <c r="B29" s="210"/>
      <c r="C29" s="225"/>
      <c r="D29" s="225"/>
      <c r="E29" s="225"/>
      <c r="L29" s="225">
        <v>0</v>
      </c>
      <c r="P29" s="225">
        <v>0</v>
      </c>
    </row>
    <row r="30" spans="1:17" x14ac:dyDescent="0.35">
      <c r="A30" s="209" t="s">
        <v>336</v>
      </c>
      <c r="B30" s="210"/>
      <c r="C30" s="225">
        <v>47652</v>
      </c>
      <c r="D30" s="225">
        <v>47224</v>
      </c>
      <c r="E30" s="225">
        <v>46283</v>
      </c>
      <c r="F30" s="225">
        <v>39830</v>
      </c>
      <c r="G30" s="225">
        <v>40212</v>
      </c>
      <c r="H30" s="225">
        <v>39652</v>
      </c>
      <c r="I30" s="225">
        <v>19284</v>
      </c>
      <c r="J30" s="225">
        <v>19419</v>
      </c>
      <c r="K30" s="225">
        <v>19631</v>
      </c>
      <c r="L30" s="225">
        <v>19712</v>
      </c>
      <c r="M30" s="225">
        <v>20082</v>
      </c>
      <c r="N30" s="225">
        <v>20832</v>
      </c>
      <c r="O30" s="225">
        <v>20732</v>
      </c>
      <c r="P30" s="225">
        <v>21227</v>
      </c>
      <c r="Q30" s="225">
        <v>21942</v>
      </c>
    </row>
    <row r="31" spans="1:17" x14ac:dyDescent="0.35">
      <c r="A31" s="209" t="s">
        <v>551</v>
      </c>
      <c r="B31" s="210"/>
      <c r="C31" s="225"/>
      <c r="D31" s="225"/>
      <c r="E31" s="225"/>
      <c r="O31" s="225">
        <v>13372</v>
      </c>
      <c r="P31" s="225">
        <v>13372</v>
      </c>
      <c r="Q31" s="225">
        <v>13372</v>
      </c>
    </row>
    <row r="32" spans="1:17" x14ac:dyDescent="0.35">
      <c r="A32" s="209" t="s">
        <v>325</v>
      </c>
      <c r="B32" s="210"/>
      <c r="C32" s="225">
        <v>100677</v>
      </c>
      <c r="D32" s="225">
        <v>119738</v>
      </c>
      <c r="E32" s="225">
        <v>133437</v>
      </c>
      <c r="F32" s="225">
        <v>81628</v>
      </c>
      <c r="G32" s="225">
        <v>130276</v>
      </c>
      <c r="L32" s="225">
        <v>0</v>
      </c>
      <c r="P32" s="225">
        <v>0</v>
      </c>
    </row>
    <row r="33" spans="1:18" x14ac:dyDescent="0.35">
      <c r="A33" s="209" t="s">
        <v>327</v>
      </c>
      <c r="B33" s="210"/>
      <c r="C33" s="225">
        <v>346124</v>
      </c>
      <c r="D33" s="225">
        <v>331158</v>
      </c>
      <c r="E33" s="225">
        <v>314708</v>
      </c>
      <c r="F33" s="225">
        <v>220116</v>
      </c>
      <c r="G33" s="225">
        <v>174034</v>
      </c>
      <c r="H33" s="225">
        <v>126868</v>
      </c>
      <c r="I33" s="225">
        <v>65950</v>
      </c>
      <c r="J33" s="225">
        <v>49623</v>
      </c>
      <c r="K33" s="225">
        <v>45322</v>
      </c>
      <c r="L33" s="225">
        <v>52342</v>
      </c>
      <c r="M33" s="225">
        <v>65058</v>
      </c>
      <c r="N33" s="225">
        <v>74854</v>
      </c>
      <c r="O33" s="225">
        <v>78435</v>
      </c>
      <c r="P33" s="225">
        <v>87024</v>
      </c>
      <c r="Q33" s="225">
        <v>89561</v>
      </c>
    </row>
    <row r="34" spans="1:18" x14ac:dyDescent="0.35">
      <c r="A34" s="209" t="s">
        <v>328</v>
      </c>
      <c r="B34" s="210"/>
      <c r="C34" s="225"/>
      <c r="D34" s="225"/>
      <c r="E34" s="225"/>
      <c r="I34" s="225">
        <v>478689</v>
      </c>
      <c r="J34" s="225">
        <v>395596</v>
      </c>
      <c r="K34" s="225">
        <v>423543</v>
      </c>
      <c r="L34" s="225">
        <v>414504</v>
      </c>
      <c r="M34" s="225">
        <v>3877</v>
      </c>
      <c r="N34" s="225">
        <v>3877</v>
      </c>
      <c r="O34" s="225">
        <v>3877</v>
      </c>
      <c r="P34" s="225">
        <v>3877</v>
      </c>
      <c r="Q34" s="225">
        <v>3877</v>
      </c>
    </row>
    <row r="35" spans="1:18" x14ac:dyDescent="0.35">
      <c r="A35" s="209" t="s">
        <v>571</v>
      </c>
      <c r="B35" s="210"/>
      <c r="C35" s="225"/>
      <c r="D35" s="225"/>
      <c r="E35" s="225"/>
      <c r="M35" s="225">
        <v>400025</v>
      </c>
      <c r="N35" s="225">
        <v>400293</v>
      </c>
      <c r="O35" s="225">
        <v>407068</v>
      </c>
      <c r="P35" s="225">
        <v>402950</v>
      </c>
      <c r="Q35" s="225">
        <v>455553</v>
      </c>
    </row>
    <row r="36" spans="1:18" x14ac:dyDescent="0.35">
      <c r="A36" s="209" t="s">
        <v>392</v>
      </c>
      <c r="B36" s="210"/>
      <c r="C36" s="225">
        <v>953</v>
      </c>
      <c r="D36" s="225">
        <v>950</v>
      </c>
      <c r="E36" s="225">
        <v>873</v>
      </c>
      <c r="F36" s="225">
        <v>291038</v>
      </c>
      <c r="G36" s="225">
        <v>273962</v>
      </c>
      <c r="H36" s="225">
        <v>240574</v>
      </c>
      <c r="I36" s="225">
        <v>206750</v>
      </c>
      <c r="J36" s="225">
        <v>178241</v>
      </c>
      <c r="K36" s="225">
        <v>145237</v>
      </c>
      <c r="L36" s="225">
        <v>115218</v>
      </c>
      <c r="M36" s="225">
        <v>78825</v>
      </c>
      <c r="N36" s="225">
        <v>42707</v>
      </c>
      <c r="O36" s="225">
        <v>1075</v>
      </c>
      <c r="P36" s="225">
        <v>1101</v>
      </c>
      <c r="Q36" s="225">
        <v>1108</v>
      </c>
    </row>
    <row r="37" spans="1:18" ht="15" thickBot="1" x14ac:dyDescent="0.4">
      <c r="A37" s="212" t="s">
        <v>339</v>
      </c>
      <c r="B37" s="210"/>
      <c r="C37" s="225">
        <v>24564</v>
      </c>
      <c r="D37" s="225">
        <v>35710</v>
      </c>
      <c r="E37" s="225">
        <v>36433</v>
      </c>
      <c r="F37" s="225">
        <v>40107</v>
      </c>
      <c r="G37" s="225">
        <v>41764</v>
      </c>
      <c r="H37" s="225">
        <v>43157</v>
      </c>
      <c r="I37" s="225">
        <v>50743</v>
      </c>
      <c r="J37" s="225">
        <v>58138</v>
      </c>
      <c r="K37" s="225">
        <v>60905</v>
      </c>
      <c r="L37" s="225">
        <v>67473</v>
      </c>
      <c r="M37" s="225">
        <v>76742</v>
      </c>
      <c r="N37" s="225">
        <v>95783</v>
      </c>
      <c r="O37" s="225">
        <v>105806</v>
      </c>
      <c r="P37" s="225">
        <v>173632</v>
      </c>
      <c r="Q37" s="225">
        <v>175270</v>
      </c>
    </row>
    <row r="38" spans="1:18" ht="15" thickBot="1" x14ac:dyDescent="0.4">
      <c r="A38" s="213" t="s">
        <v>340</v>
      </c>
      <c r="B38" s="206"/>
      <c r="C38" s="214">
        <f t="shared" ref="C38:G38" si="4">SUM(C39:C44)</f>
        <v>1484861</v>
      </c>
      <c r="D38" s="214">
        <f t="shared" si="4"/>
        <v>1546063</v>
      </c>
      <c r="E38" s="214">
        <f t="shared" si="4"/>
        <v>1543195</v>
      </c>
      <c r="F38" s="214">
        <f t="shared" si="4"/>
        <v>1753674</v>
      </c>
      <c r="G38" s="214">
        <f t="shared" si="4"/>
        <v>1801760</v>
      </c>
      <c r="H38" s="214">
        <f t="shared" ref="H38:P38" si="5">SUM(H39:H44)</f>
        <v>1841454</v>
      </c>
      <c r="I38" s="214">
        <f t="shared" si="5"/>
        <v>1991961</v>
      </c>
      <c r="J38" s="214">
        <f t="shared" si="5"/>
        <v>2094841</v>
      </c>
      <c r="K38" s="214">
        <f t="shared" si="5"/>
        <v>2151022</v>
      </c>
      <c r="L38" s="214">
        <f t="shared" si="5"/>
        <v>2262336</v>
      </c>
      <c r="M38" s="214">
        <f t="shared" si="5"/>
        <v>2451437</v>
      </c>
      <c r="N38" s="214">
        <f t="shared" si="5"/>
        <v>2564952</v>
      </c>
      <c r="O38" s="214">
        <f t="shared" si="5"/>
        <v>2710076</v>
      </c>
      <c r="P38" s="214">
        <f t="shared" si="5"/>
        <v>2865701</v>
      </c>
      <c r="Q38" s="214">
        <f>SUM(Q39:Q44)</f>
        <v>2979146</v>
      </c>
    </row>
    <row r="39" spans="1:18" x14ac:dyDescent="0.35">
      <c r="A39" s="209" t="s">
        <v>341</v>
      </c>
      <c r="B39" s="210"/>
      <c r="C39" s="225"/>
      <c r="D39" s="225"/>
      <c r="E39" s="225"/>
      <c r="L39" s="225">
        <v>0</v>
      </c>
      <c r="M39" s="225">
        <v>123</v>
      </c>
      <c r="N39" s="225">
        <v>121</v>
      </c>
      <c r="O39" s="225">
        <v>120</v>
      </c>
      <c r="P39" s="225">
        <v>119</v>
      </c>
      <c r="Q39" s="225">
        <v>118</v>
      </c>
    </row>
    <row r="40" spans="1:18" x14ac:dyDescent="0.35">
      <c r="A40" s="209" t="s">
        <v>342</v>
      </c>
      <c r="B40" s="210"/>
      <c r="C40" s="225"/>
      <c r="D40" s="225"/>
      <c r="E40" s="225"/>
      <c r="L40" s="225">
        <v>0</v>
      </c>
      <c r="P40" s="225">
        <v>0</v>
      </c>
    </row>
    <row r="41" spans="1:18" x14ac:dyDescent="0.35">
      <c r="A41" s="209" t="s">
        <v>388</v>
      </c>
      <c r="B41" s="210"/>
      <c r="C41" s="225">
        <v>264690</v>
      </c>
      <c r="D41" s="225">
        <v>171274</v>
      </c>
      <c r="E41" s="225">
        <v>184859</v>
      </c>
      <c r="F41" s="225">
        <v>376543</v>
      </c>
      <c r="G41" s="225">
        <v>417613</v>
      </c>
      <c r="H41" s="225">
        <v>414153</v>
      </c>
      <c r="I41" s="225">
        <v>449456</v>
      </c>
      <c r="J41" s="225">
        <v>480461</v>
      </c>
      <c r="K41" s="225">
        <v>512932</v>
      </c>
      <c r="L41" s="225">
        <v>596790</v>
      </c>
      <c r="M41" s="225">
        <v>720229</v>
      </c>
      <c r="N41" s="225">
        <v>670682</v>
      </c>
      <c r="O41" s="225">
        <v>817230</v>
      </c>
      <c r="P41" s="225">
        <v>275424</v>
      </c>
      <c r="Q41" s="225">
        <v>419500</v>
      </c>
    </row>
    <row r="42" spans="1:18" x14ac:dyDescent="0.35">
      <c r="A42" s="209" t="s">
        <v>343</v>
      </c>
      <c r="B42" s="210"/>
      <c r="C42" s="225"/>
      <c r="D42" s="225"/>
      <c r="E42" s="225"/>
      <c r="L42" s="225">
        <v>0</v>
      </c>
      <c r="P42" s="225">
        <v>0</v>
      </c>
    </row>
    <row r="43" spans="1:18" x14ac:dyDescent="0.35">
      <c r="A43" s="209" t="s">
        <v>345</v>
      </c>
      <c r="B43" s="210"/>
      <c r="C43" s="225">
        <v>3836</v>
      </c>
      <c r="D43" s="225">
        <v>1870</v>
      </c>
      <c r="E43" s="225">
        <v>2523</v>
      </c>
      <c r="F43" s="225">
        <v>1630</v>
      </c>
      <c r="G43" s="225">
        <v>1183</v>
      </c>
      <c r="H43" s="225">
        <v>1204</v>
      </c>
      <c r="I43" s="225">
        <v>127</v>
      </c>
      <c r="J43" s="225">
        <v>293</v>
      </c>
      <c r="K43" s="225">
        <v>240</v>
      </c>
      <c r="L43" s="225">
        <v>187</v>
      </c>
      <c r="M43" s="225">
        <v>406</v>
      </c>
      <c r="N43" s="225">
        <v>469</v>
      </c>
      <c r="O43" s="225">
        <v>312</v>
      </c>
      <c r="P43" s="225">
        <v>305</v>
      </c>
      <c r="Q43" s="225">
        <v>2457</v>
      </c>
    </row>
    <row r="44" spans="1:18" ht="15" thickBot="1" x14ac:dyDescent="0.4">
      <c r="A44" s="209" t="s">
        <v>344</v>
      </c>
      <c r="B44" s="210"/>
      <c r="C44" s="225">
        <v>1216335</v>
      </c>
      <c r="D44" s="225">
        <v>1372919</v>
      </c>
      <c r="E44" s="225">
        <v>1355813</v>
      </c>
      <c r="F44" s="225">
        <v>1375501</v>
      </c>
      <c r="G44" s="225">
        <v>1382964</v>
      </c>
      <c r="H44" s="225">
        <v>1426097</v>
      </c>
      <c r="I44" s="225">
        <v>1542378</v>
      </c>
      <c r="J44" s="225">
        <v>1614087</v>
      </c>
      <c r="K44" s="225">
        <v>1637850</v>
      </c>
      <c r="L44" s="225">
        <v>1665359</v>
      </c>
      <c r="M44" s="225">
        <v>1730679</v>
      </c>
      <c r="N44" s="225">
        <v>1893680</v>
      </c>
      <c r="O44" s="225">
        <v>1892414</v>
      </c>
      <c r="P44" s="225">
        <v>2589853</v>
      </c>
      <c r="Q44" s="225">
        <v>2557071</v>
      </c>
    </row>
    <row r="45" spans="1:18" ht="15" thickBot="1" x14ac:dyDescent="0.4">
      <c r="A45" s="213" t="s">
        <v>346</v>
      </c>
      <c r="B45" s="206"/>
      <c r="C45" s="214">
        <f t="shared" ref="C45:P45" si="6">C8+C24</f>
        <v>3824785</v>
      </c>
      <c r="D45" s="214">
        <f t="shared" si="6"/>
        <v>3883789</v>
      </c>
      <c r="E45" s="214">
        <f t="shared" si="6"/>
        <v>4064479</v>
      </c>
      <c r="F45" s="214">
        <f t="shared" si="6"/>
        <v>5210503</v>
      </c>
      <c r="G45" s="214">
        <f t="shared" si="6"/>
        <v>4925231</v>
      </c>
      <c r="H45" s="214">
        <f t="shared" si="6"/>
        <v>5150363</v>
      </c>
      <c r="I45" s="214">
        <f t="shared" si="6"/>
        <v>6056155</v>
      </c>
      <c r="J45" s="214">
        <f t="shared" si="6"/>
        <v>6255665</v>
      </c>
      <c r="K45" s="214">
        <f t="shared" si="6"/>
        <v>6237095</v>
      </c>
      <c r="L45" s="214">
        <f t="shared" si="6"/>
        <v>5575629</v>
      </c>
      <c r="M45" s="214">
        <f t="shared" si="6"/>
        <v>5455282</v>
      </c>
      <c r="N45" s="214">
        <f t="shared" si="6"/>
        <v>5677675</v>
      </c>
      <c r="O45" s="214">
        <f t="shared" si="6"/>
        <v>5627583</v>
      </c>
      <c r="P45" s="214">
        <f t="shared" si="6"/>
        <v>5449758</v>
      </c>
      <c r="Q45" s="214">
        <f>Q8+Q24</f>
        <v>5512544</v>
      </c>
    </row>
    <row r="46" spans="1:18" x14ac:dyDescent="0.35">
      <c r="A46" s="209"/>
      <c r="B46" s="210"/>
    </row>
    <row r="47" spans="1:18" ht="15" thickBot="1" x14ac:dyDescent="0.4">
      <c r="A47" s="5" t="s">
        <v>347</v>
      </c>
      <c r="B47" s="204"/>
      <c r="C47" s="573" t="str">
        <f t="shared" ref="C47:H47" si="7">C7</f>
        <v>1T20</v>
      </c>
      <c r="D47" s="573" t="str">
        <f t="shared" si="7"/>
        <v>2T20</v>
      </c>
      <c r="E47" s="573" t="str">
        <f t="shared" si="7"/>
        <v>3T20</v>
      </c>
      <c r="F47" s="573" t="str">
        <f t="shared" si="7"/>
        <v>4T20</v>
      </c>
      <c r="G47" s="573" t="str">
        <f t="shared" si="7"/>
        <v>1T21</v>
      </c>
      <c r="H47" s="573" t="str">
        <f t="shared" si="7"/>
        <v>2T21</v>
      </c>
      <c r="I47" s="573" t="str">
        <f>I7</f>
        <v>3T21</v>
      </c>
      <c r="J47" s="573" t="str">
        <f>J7</f>
        <v>4T21</v>
      </c>
      <c r="K47" s="573" t="str">
        <f>K7</f>
        <v>1T22</v>
      </c>
      <c r="L47" s="573" t="s">
        <v>78</v>
      </c>
      <c r="M47" s="573" t="s">
        <v>79</v>
      </c>
      <c r="N47" s="573" t="str">
        <f>N7</f>
        <v>4T22</v>
      </c>
      <c r="O47" s="573" t="str">
        <f>O7</f>
        <v>1T23</v>
      </c>
      <c r="P47" s="573" t="str">
        <f>P7</f>
        <v>2T23</v>
      </c>
      <c r="Q47" s="573" t="str">
        <f>Q7</f>
        <v>3T23</v>
      </c>
    </row>
    <row r="48" spans="1:18" ht="15" thickBot="1" x14ac:dyDescent="0.4">
      <c r="A48" s="205" t="s">
        <v>316</v>
      </c>
      <c r="B48" s="206"/>
      <c r="C48" s="207">
        <f t="shared" ref="C48:P48" si="8">SUM(C49:C65)</f>
        <v>1123355</v>
      </c>
      <c r="D48" s="207">
        <f t="shared" si="8"/>
        <v>1320193</v>
      </c>
      <c r="E48" s="207">
        <f t="shared" si="8"/>
        <v>1527839</v>
      </c>
      <c r="F48" s="207">
        <f t="shared" si="8"/>
        <v>1831400</v>
      </c>
      <c r="G48" s="207">
        <f t="shared" si="8"/>
        <v>1527186</v>
      </c>
      <c r="H48" s="207">
        <f t="shared" si="8"/>
        <v>2059575</v>
      </c>
      <c r="I48" s="207">
        <f t="shared" si="8"/>
        <v>2254237</v>
      </c>
      <c r="J48" s="207">
        <f t="shared" si="8"/>
        <v>2288164</v>
      </c>
      <c r="K48" s="207">
        <f t="shared" si="8"/>
        <v>1981668</v>
      </c>
      <c r="L48" s="207">
        <f t="shared" si="8"/>
        <v>1443358</v>
      </c>
      <c r="M48" s="207">
        <f t="shared" si="8"/>
        <v>1360360</v>
      </c>
      <c r="N48" s="207">
        <f t="shared" si="8"/>
        <v>1800798</v>
      </c>
      <c r="O48" s="207">
        <f t="shared" si="8"/>
        <v>1720321</v>
      </c>
      <c r="P48" s="207">
        <f t="shared" si="8"/>
        <v>1469916</v>
      </c>
      <c r="Q48" s="207">
        <f>SUM(Q49:Q65)</f>
        <v>1398928</v>
      </c>
      <c r="R48" s="114"/>
    </row>
    <row r="49" spans="1:17" x14ac:dyDescent="0.35">
      <c r="A49" s="218" t="s">
        <v>348</v>
      </c>
      <c r="B49" s="219"/>
      <c r="C49" s="225">
        <v>322970</v>
      </c>
      <c r="D49" s="225">
        <v>362582</v>
      </c>
      <c r="E49" s="225">
        <v>359422</v>
      </c>
      <c r="F49" s="225">
        <v>463796</v>
      </c>
      <c r="G49" s="225">
        <v>334745</v>
      </c>
      <c r="H49" s="225">
        <v>315019</v>
      </c>
      <c r="I49" s="225">
        <v>471611</v>
      </c>
      <c r="J49" s="225">
        <v>486074</v>
      </c>
      <c r="K49" s="225">
        <v>317159</v>
      </c>
      <c r="L49" s="225">
        <v>367358</v>
      </c>
      <c r="M49" s="225">
        <v>395422</v>
      </c>
      <c r="N49" s="225">
        <v>428326</v>
      </c>
      <c r="O49" s="225">
        <v>387413</v>
      </c>
      <c r="P49" s="225">
        <v>442650</v>
      </c>
      <c r="Q49" s="225">
        <v>383417</v>
      </c>
    </row>
    <row r="50" spans="1:17" x14ac:dyDescent="0.35">
      <c r="A50" s="218" t="s">
        <v>350</v>
      </c>
      <c r="B50" s="219"/>
      <c r="C50" s="225">
        <v>11034</v>
      </c>
      <c r="D50" s="225">
        <v>12232</v>
      </c>
      <c r="E50" s="225">
        <v>13162</v>
      </c>
      <c r="F50" s="225">
        <v>9989</v>
      </c>
      <c r="G50" s="225">
        <v>8923</v>
      </c>
      <c r="H50" s="225">
        <v>9858</v>
      </c>
      <c r="I50" s="225">
        <v>11060</v>
      </c>
      <c r="J50" s="225">
        <v>8425</v>
      </c>
      <c r="K50" s="225">
        <v>8928</v>
      </c>
      <c r="L50" s="225">
        <v>11361</v>
      </c>
      <c r="M50" s="225">
        <v>11464</v>
      </c>
      <c r="N50" s="225">
        <v>9237</v>
      </c>
      <c r="O50" s="225">
        <v>10019</v>
      </c>
      <c r="P50" s="225">
        <v>10688</v>
      </c>
      <c r="Q50" s="225">
        <v>11160</v>
      </c>
    </row>
    <row r="51" spans="1:17" x14ac:dyDescent="0.35">
      <c r="A51" s="209" t="s">
        <v>367</v>
      </c>
      <c r="B51" s="210"/>
      <c r="C51" s="225">
        <v>178708</v>
      </c>
      <c r="D51" s="225">
        <v>177692</v>
      </c>
      <c r="E51" s="225">
        <v>178704</v>
      </c>
      <c r="F51" s="225">
        <v>188964</v>
      </c>
      <c r="G51" s="225">
        <v>193223</v>
      </c>
      <c r="H51" s="225">
        <v>566456</v>
      </c>
      <c r="I51" s="225">
        <v>625911</v>
      </c>
      <c r="J51" s="225">
        <v>628570</v>
      </c>
      <c r="K51" s="225">
        <v>562834</v>
      </c>
      <c r="L51" s="225">
        <v>169888</v>
      </c>
      <c r="M51" s="225">
        <v>71397</v>
      </c>
      <c r="N51" s="225">
        <v>230814</v>
      </c>
      <c r="O51" s="225">
        <v>250478</v>
      </c>
      <c r="P51" s="225">
        <v>273556</v>
      </c>
      <c r="Q51" s="225">
        <v>311215</v>
      </c>
    </row>
    <row r="52" spans="1:17" x14ac:dyDescent="0.35">
      <c r="A52" s="209" t="s">
        <v>191</v>
      </c>
      <c r="B52" s="210"/>
      <c r="C52" s="225">
        <v>16538</v>
      </c>
      <c r="D52" s="225">
        <v>10768</v>
      </c>
      <c r="E52" s="225">
        <v>18029</v>
      </c>
      <c r="F52" s="225">
        <v>401934</v>
      </c>
      <c r="G52" s="225">
        <v>408716</v>
      </c>
      <c r="H52" s="225">
        <v>718470</v>
      </c>
      <c r="I52" s="225">
        <v>733318</v>
      </c>
      <c r="J52" s="225">
        <v>318328</v>
      </c>
      <c r="K52" s="225">
        <v>346376</v>
      </c>
      <c r="L52" s="225">
        <v>340991</v>
      </c>
      <c r="M52" s="225">
        <v>368055</v>
      </c>
      <c r="N52" s="225">
        <v>318097</v>
      </c>
      <c r="O52" s="225">
        <v>343810</v>
      </c>
      <c r="P52" s="225">
        <v>33214</v>
      </c>
      <c r="Q52" s="225">
        <v>48711</v>
      </c>
    </row>
    <row r="53" spans="1:17" x14ac:dyDescent="0.35">
      <c r="A53" s="209" t="s">
        <v>554</v>
      </c>
      <c r="B53" s="210"/>
      <c r="C53" s="225"/>
      <c r="D53" s="225"/>
      <c r="E53" s="225">
        <v>310740</v>
      </c>
      <c r="F53" s="225">
        <v>234749</v>
      </c>
      <c r="G53" s="225">
        <v>118884</v>
      </c>
      <c r="H53" s="225">
        <v>72238</v>
      </c>
      <c r="K53" s="225">
        <v>37196</v>
      </c>
      <c r="L53" s="225" t="s">
        <v>243</v>
      </c>
      <c r="M53" s="37"/>
      <c r="N53" s="225">
        <v>0</v>
      </c>
      <c r="Q53" s="225">
        <v>424</v>
      </c>
    </row>
    <row r="54" spans="1:17" x14ac:dyDescent="0.35">
      <c r="A54" s="209" t="s">
        <v>353</v>
      </c>
      <c r="B54" s="210"/>
      <c r="C54" s="225">
        <v>97620</v>
      </c>
      <c r="D54" s="225">
        <v>103296</v>
      </c>
      <c r="E54" s="225">
        <v>102853</v>
      </c>
      <c r="F54" s="225">
        <v>151512</v>
      </c>
      <c r="G54" s="225">
        <v>107649</v>
      </c>
      <c r="H54" s="225">
        <v>111203</v>
      </c>
      <c r="I54" s="225">
        <v>139586</v>
      </c>
      <c r="J54" s="225">
        <v>120572</v>
      </c>
      <c r="K54" s="225">
        <v>107601</v>
      </c>
      <c r="L54" s="225">
        <v>95813</v>
      </c>
      <c r="M54" s="225">
        <v>74156</v>
      </c>
      <c r="N54" s="225">
        <v>76526</v>
      </c>
      <c r="O54" s="225">
        <v>106098</v>
      </c>
      <c r="P54" s="225">
        <v>103320</v>
      </c>
      <c r="Q54" s="225">
        <v>104261</v>
      </c>
    </row>
    <row r="55" spans="1:17" x14ac:dyDescent="0.35">
      <c r="A55" s="209" t="s">
        <v>394</v>
      </c>
      <c r="B55" s="210"/>
      <c r="C55" s="225">
        <v>1291</v>
      </c>
      <c r="D55" s="225">
        <v>1103</v>
      </c>
      <c r="E55" s="225">
        <v>1036</v>
      </c>
      <c r="F55" s="225">
        <v>29183</v>
      </c>
      <c r="G55" s="225">
        <v>3011</v>
      </c>
      <c r="H55" s="225">
        <v>15330</v>
      </c>
      <c r="I55" s="225">
        <v>10098</v>
      </c>
      <c r="J55" s="225">
        <v>4354</v>
      </c>
      <c r="K55" s="225">
        <v>31542</v>
      </c>
      <c r="L55" s="225">
        <v>6426</v>
      </c>
      <c r="M55" s="225">
        <v>6544</v>
      </c>
      <c r="N55" s="225">
        <v>3612</v>
      </c>
      <c r="O55" s="225">
        <v>6195</v>
      </c>
      <c r="P55" s="225">
        <v>17067</v>
      </c>
      <c r="Q55" s="225">
        <v>22605</v>
      </c>
    </row>
    <row r="56" spans="1:17" x14ac:dyDescent="0.35">
      <c r="A56" s="209" t="s">
        <v>355</v>
      </c>
      <c r="B56" s="210"/>
      <c r="C56" s="225">
        <v>0</v>
      </c>
      <c r="D56" s="225"/>
      <c r="E56" s="225"/>
      <c r="J56" s="225">
        <v>179867</v>
      </c>
      <c r="K56" s="225">
        <v>78782</v>
      </c>
      <c r="L56" s="225">
        <v>78783</v>
      </c>
      <c r="M56" s="225">
        <v>78783</v>
      </c>
      <c r="N56" s="225">
        <v>130636</v>
      </c>
      <c r="O56" s="225">
        <v>51874</v>
      </c>
      <c r="P56" s="225">
        <v>51874</v>
      </c>
      <c r="Q56" s="225">
        <v>51879</v>
      </c>
    </row>
    <row r="57" spans="1:17" x14ac:dyDescent="0.35">
      <c r="A57" s="209" t="s">
        <v>572</v>
      </c>
      <c r="B57" s="210"/>
      <c r="C57" s="225"/>
      <c r="D57" s="225"/>
      <c r="E57" s="225"/>
      <c r="I57" s="225">
        <v>31504</v>
      </c>
      <c r="J57" s="225">
        <v>78823</v>
      </c>
      <c r="M57" s="225">
        <v>72285</v>
      </c>
      <c r="N57" s="225">
        <v>77299</v>
      </c>
      <c r="O57" s="225">
        <v>78283</v>
      </c>
      <c r="P57" s="225">
        <v>78509</v>
      </c>
      <c r="Q57" s="225">
        <v>76898</v>
      </c>
    </row>
    <row r="58" spans="1:17" x14ac:dyDescent="0.35">
      <c r="A58" s="209" t="s">
        <v>357</v>
      </c>
      <c r="B58" s="210"/>
      <c r="C58" s="225">
        <v>12833</v>
      </c>
      <c r="D58" s="225">
        <v>12244</v>
      </c>
      <c r="E58" s="225">
        <v>15986</v>
      </c>
      <c r="F58" s="225">
        <v>15690</v>
      </c>
      <c r="G58" s="225">
        <v>15108</v>
      </c>
      <c r="H58" s="225">
        <v>15906</v>
      </c>
      <c r="I58" s="225">
        <v>18675</v>
      </c>
      <c r="J58" s="225">
        <v>19080</v>
      </c>
      <c r="K58" s="225">
        <v>18745</v>
      </c>
      <c r="L58" s="225">
        <v>16271</v>
      </c>
      <c r="M58" s="225">
        <v>18129</v>
      </c>
      <c r="N58" s="225">
        <v>16282</v>
      </c>
      <c r="O58" s="225">
        <v>17084</v>
      </c>
      <c r="P58" s="225">
        <v>17174</v>
      </c>
      <c r="Q58" s="225">
        <v>8587</v>
      </c>
    </row>
    <row r="59" spans="1:17" x14ac:dyDescent="0.35">
      <c r="A59" s="209" t="s">
        <v>555</v>
      </c>
      <c r="B59" s="210"/>
      <c r="C59" s="225">
        <v>59425</v>
      </c>
      <c r="D59" s="225">
        <v>61661</v>
      </c>
      <c r="E59" s="225">
        <v>59803</v>
      </c>
      <c r="F59" s="225">
        <v>26291</v>
      </c>
      <c r="G59" s="225">
        <v>40035</v>
      </c>
      <c r="H59" s="225">
        <v>37871</v>
      </c>
      <c r="K59" s="225">
        <v>89929</v>
      </c>
      <c r="L59" s="225">
        <v>73621</v>
      </c>
      <c r="P59" s="225">
        <v>0</v>
      </c>
    </row>
    <row r="60" spans="1:17" x14ac:dyDescent="0.35">
      <c r="A60" s="209" t="s">
        <v>359</v>
      </c>
      <c r="B60" s="210"/>
      <c r="C60" s="225">
        <v>33099</v>
      </c>
      <c r="D60" s="225">
        <v>22897</v>
      </c>
      <c r="E60" s="225">
        <v>20664</v>
      </c>
      <c r="F60" s="225">
        <v>20664</v>
      </c>
      <c r="G60" s="225">
        <v>20331</v>
      </c>
      <c r="H60" s="225">
        <v>15947</v>
      </c>
      <c r="I60" s="225">
        <v>18817</v>
      </c>
      <c r="J60" s="225">
        <v>21687</v>
      </c>
      <c r="K60" s="225">
        <v>24261</v>
      </c>
      <c r="L60" s="225">
        <v>19077</v>
      </c>
      <c r="M60" s="225">
        <v>21871</v>
      </c>
      <c r="N60" s="225">
        <v>24666</v>
      </c>
      <c r="O60" s="225">
        <v>17845</v>
      </c>
      <c r="P60" s="225">
        <v>16662</v>
      </c>
      <c r="Q60" s="225">
        <v>19486</v>
      </c>
    </row>
    <row r="61" spans="1:17" x14ac:dyDescent="0.35">
      <c r="A61" s="209" t="s">
        <v>325</v>
      </c>
      <c r="B61" s="210"/>
      <c r="C61" s="225"/>
      <c r="D61" s="225">
        <v>0</v>
      </c>
      <c r="E61" s="225"/>
      <c r="L61" s="225">
        <v>321</v>
      </c>
      <c r="M61" s="225">
        <v>875</v>
      </c>
      <c r="N61" s="225">
        <v>25034</v>
      </c>
      <c r="O61" s="225">
        <v>37220</v>
      </c>
      <c r="P61" s="225">
        <v>37694</v>
      </c>
      <c r="Q61" s="225">
        <v>33363</v>
      </c>
    </row>
    <row r="62" spans="1:17" x14ac:dyDescent="0.35">
      <c r="A62" s="209" t="s">
        <v>573</v>
      </c>
      <c r="B62" s="210"/>
      <c r="C62" s="225">
        <v>175487</v>
      </c>
      <c r="D62" s="225">
        <v>175499</v>
      </c>
      <c r="E62" s="225">
        <v>152532</v>
      </c>
      <c r="F62" s="225">
        <v>139235</v>
      </c>
      <c r="G62" s="225">
        <v>145071</v>
      </c>
      <c r="H62" s="225">
        <v>55166</v>
      </c>
      <c r="I62" s="225">
        <v>67538</v>
      </c>
      <c r="J62" s="225">
        <v>54821</v>
      </c>
      <c r="K62" s="225">
        <v>58849</v>
      </c>
      <c r="L62" s="225">
        <v>50989</v>
      </c>
      <c r="M62" s="225">
        <v>71893</v>
      </c>
      <c r="N62" s="225">
        <v>60160</v>
      </c>
      <c r="O62" s="225">
        <v>58935</v>
      </c>
      <c r="P62" s="225">
        <v>58505</v>
      </c>
      <c r="Q62" s="225">
        <v>61309</v>
      </c>
    </row>
    <row r="63" spans="1:17" x14ac:dyDescent="0.35">
      <c r="A63" s="209" t="s">
        <v>366</v>
      </c>
      <c r="B63" s="210"/>
      <c r="C63" s="225">
        <v>210076</v>
      </c>
      <c r="D63" s="225">
        <v>376759</v>
      </c>
      <c r="E63" s="225">
        <v>292417</v>
      </c>
      <c r="F63" s="225">
        <v>147832</v>
      </c>
      <c r="G63" s="225">
        <v>130359</v>
      </c>
      <c r="H63" s="225">
        <v>124840</v>
      </c>
      <c r="I63" s="225">
        <v>126001</v>
      </c>
      <c r="J63" s="225">
        <v>147902</v>
      </c>
      <c r="K63" s="225">
        <v>133992</v>
      </c>
      <c r="L63" s="225">
        <v>103393</v>
      </c>
      <c r="M63" s="225">
        <v>119772</v>
      </c>
      <c r="N63" s="225">
        <v>153505</v>
      </c>
      <c r="O63" s="225">
        <v>171011</v>
      </c>
      <c r="P63" s="225">
        <v>213591</v>
      </c>
      <c r="Q63" s="225">
        <v>225825</v>
      </c>
    </row>
    <row r="64" spans="1:17" x14ac:dyDescent="0.35">
      <c r="A64" s="209" t="s">
        <v>363</v>
      </c>
      <c r="B64" s="210"/>
      <c r="C64" s="225"/>
      <c r="D64" s="225"/>
      <c r="E64" s="225"/>
      <c r="J64" s="225">
        <v>219457</v>
      </c>
      <c r="K64" s="225">
        <v>165285</v>
      </c>
      <c r="L64" s="225">
        <v>108892</v>
      </c>
      <c r="M64" s="225">
        <v>49382</v>
      </c>
      <c r="N64" s="225">
        <v>246115</v>
      </c>
      <c r="O64" s="225">
        <v>183714</v>
      </c>
      <c r="P64" s="225">
        <v>115140</v>
      </c>
      <c r="Q64" s="225">
        <v>39253</v>
      </c>
    </row>
    <row r="65" spans="1:17" ht="15" thickBot="1" x14ac:dyDescent="0.4">
      <c r="A65" s="209" t="s">
        <v>574</v>
      </c>
      <c r="B65" s="210"/>
      <c r="C65" s="225">
        <v>4274</v>
      </c>
      <c r="D65" s="225">
        <v>3460</v>
      </c>
      <c r="E65" s="225">
        <v>2491</v>
      </c>
      <c r="F65" s="225">
        <v>1561</v>
      </c>
      <c r="G65" s="225">
        <v>1131</v>
      </c>
      <c r="H65" s="225">
        <v>1271</v>
      </c>
      <c r="I65" s="225">
        <v>118</v>
      </c>
      <c r="J65" s="225">
        <v>204</v>
      </c>
      <c r="K65" s="225">
        <v>189</v>
      </c>
      <c r="L65" s="225">
        <v>174</v>
      </c>
      <c r="M65" s="225">
        <v>332</v>
      </c>
      <c r="N65" s="225">
        <v>489</v>
      </c>
      <c r="O65" s="225">
        <v>342</v>
      </c>
      <c r="P65" s="225">
        <v>272</v>
      </c>
      <c r="Q65" s="225">
        <v>535</v>
      </c>
    </row>
    <row r="66" spans="1:17" ht="15" thickBot="1" x14ac:dyDescent="0.4">
      <c r="A66" s="213" t="s">
        <v>333</v>
      </c>
      <c r="B66" s="206"/>
      <c r="C66" s="214">
        <f t="shared" ref="C66:J66" si="9">SUM(C67:C78)</f>
        <v>3546716</v>
      </c>
      <c r="D66" s="214">
        <f t="shared" si="9"/>
        <v>3392333</v>
      </c>
      <c r="E66" s="214">
        <f t="shared" si="9"/>
        <v>3397442</v>
      </c>
      <c r="F66" s="214">
        <f t="shared" si="9"/>
        <v>3643100</v>
      </c>
      <c r="G66" s="214">
        <f t="shared" si="9"/>
        <v>3607702</v>
      </c>
      <c r="H66" s="214">
        <f t="shared" si="9"/>
        <v>3171368</v>
      </c>
      <c r="I66" s="214">
        <f t="shared" si="9"/>
        <v>3233689</v>
      </c>
      <c r="J66" s="214">
        <f t="shared" si="9"/>
        <v>3403321</v>
      </c>
      <c r="K66" s="214">
        <f t="shared" ref="K66:P66" si="10">SUM(K67:K78)</f>
        <v>3535381</v>
      </c>
      <c r="L66" s="214">
        <f t="shared" si="10"/>
        <v>3401782</v>
      </c>
      <c r="M66" s="214">
        <f t="shared" si="10"/>
        <v>3302408</v>
      </c>
      <c r="N66" s="214">
        <f t="shared" si="10"/>
        <v>3055777</v>
      </c>
      <c r="O66" s="214">
        <f t="shared" si="10"/>
        <v>3060900</v>
      </c>
      <c r="P66" s="214">
        <f t="shared" si="10"/>
        <v>3061119</v>
      </c>
      <c r="Q66" s="214">
        <f>SUM(Q67:Q78)</f>
        <v>3064482</v>
      </c>
    </row>
    <row r="67" spans="1:17" x14ac:dyDescent="0.35">
      <c r="A67" s="209" t="s">
        <v>367</v>
      </c>
      <c r="B67" s="210"/>
      <c r="C67" s="237">
        <v>1685874</v>
      </c>
      <c r="D67" s="237">
        <v>1683815</v>
      </c>
      <c r="E67" s="237">
        <v>1678718</v>
      </c>
      <c r="F67" s="225">
        <v>2178660</v>
      </c>
      <c r="G67" s="225">
        <v>2137358</v>
      </c>
      <c r="H67" s="225">
        <v>1946819</v>
      </c>
      <c r="I67" s="225">
        <v>2069685</v>
      </c>
      <c r="J67" s="225">
        <v>2198869</v>
      </c>
      <c r="K67" s="225">
        <v>2269650</v>
      </c>
      <c r="L67" s="225">
        <v>2455193</v>
      </c>
      <c r="M67" s="225">
        <v>2363933</v>
      </c>
      <c r="N67" s="225">
        <v>2347963</v>
      </c>
      <c r="O67" s="225">
        <v>2354300</v>
      </c>
      <c r="P67" s="225">
        <v>2342149</v>
      </c>
      <c r="Q67" s="225">
        <v>2347213</v>
      </c>
    </row>
    <row r="68" spans="1:17" x14ac:dyDescent="0.35">
      <c r="A68" s="209" t="s">
        <v>191</v>
      </c>
      <c r="B68" s="210"/>
      <c r="C68" s="237">
        <v>1019490</v>
      </c>
      <c r="D68" s="237">
        <v>1019549</v>
      </c>
      <c r="E68" s="237">
        <v>1019608</v>
      </c>
      <c r="F68" s="225">
        <v>619668</v>
      </c>
      <c r="G68" s="225">
        <v>619726</v>
      </c>
      <c r="H68" s="225">
        <v>309785</v>
      </c>
      <c r="I68" s="225">
        <v>309845</v>
      </c>
      <c r="J68" s="225">
        <v>709904</v>
      </c>
      <c r="K68" s="225">
        <v>709962</v>
      </c>
      <c r="L68" s="225">
        <v>400000</v>
      </c>
      <c r="M68" s="225">
        <v>400000</v>
      </c>
      <c r="N68" s="225">
        <v>400000</v>
      </c>
      <c r="O68" s="225">
        <v>400000</v>
      </c>
      <c r="P68" s="225">
        <v>400000</v>
      </c>
      <c r="Q68" s="225">
        <v>400000</v>
      </c>
    </row>
    <row r="69" spans="1:17" x14ac:dyDescent="0.35">
      <c r="A69" s="209" t="s">
        <v>353</v>
      </c>
      <c r="B69" s="210"/>
      <c r="C69" s="237">
        <v>37103</v>
      </c>
      <c r="D69" s="237">
        <v>32465</v>
      </c>
      <c r="E69" s="237">
        <v>27192</v>
      </c>
      <c r="F69" s="225">
        <v>22277</v>
      </c>
      <c r="G69" s="225">
        <v>17122</v>
      </c>
      <c r="H69" s="225">
        <v>12246</v>
      </c>
      <c r="I69" s="225">
        <v>6151</v>
      </c>
      <c r="J69" s="225">
        <v>2718</v>
      </c>
      <c r="K69" s="225">
        <v>369</v>
      </c>
      <c r="L69" s="225">
        <v>357</v>
      </c>
      <c r="M69" s="225">
        <v>345</v>
      </c>
      <c r="N69" s="225">
        <v>333</v>
      </c>
      <c r="O69" s="225">
        <v>321</v>
      </c>
      <c r="P69" s="225">
        <v>310</v>
      </c>
      <c r="Q69" s="225">
        <v>51</v>
      </c>
    </row>
    <row r="70" spans="1:17" x14ac:dyDescent="0.35">
      <c r="A70" s="209" t="s">
        <v>391</v>
      </c>
      <c r="B70" s="210"/>
      <c r="C70" s="237"/>
      <c r="D70" s="237"/>
      <c r="E70" s="237"/>
      <c r="F70" s="225">
        <v>2396</v>
      </c>
      <c r="G70" s="225">
        <v>22273</v>
      </c>
      <c r="H70" s="225">
        <v>9197</v>
      </c>
      <c r="L70" s="225">
        <v>0</v>
      </c>
      <c r="P70" s="225">
        <v>0</v>
      </c>
    </row>
    <row r="71" spans="1:17" x14ac:dyDescent="0.35">
      <c r="A71" s="209" t="s">
        <v>573</v>
      </c>
      <c r="B71" s="210"/>
      <c r="C71" s="237">
        <v>211196</v>
      </c>
      <c r="D71" s="237">
        <v>215353</v>
      </c>
      <c r="E71" s="237">
        <v>218649</v>
      </c>
      <c r="F71" s="225">
        <v>218963</v>
      </c>
      <c r="G71" s="225">
        <v>216290</v>
      </c>
      <c r="H71" s="225">
        <v>222281</v>
      </c>
      <c r="I71" s="225">
        <v>206850</v>
      </c>
      <c r="J71" s="225">
        <v>166480</v>
      </c>
      <c r="K71" s="225">
        <v>138401</v>
      </c>
      <c r="L71" s="225">
        <v>134750</v>
      </c>
      <c r="M71" s="225">
        <v>110734</v>
      </c>
      <c r="N71" s="225">
        <v>114649</v>
      </c>
      <c r="O71" s="225">
        <v>118168</v>
      </c>
      <c r="P71" s="225">
        <v>107544</v>
      </c>
      <c r="Q71" s="225">
        <v>97520</v>
      </c>
    </row>
    <row r="72" spans="1:17" x14ac:dyDescent="0.35">
      <c r="A72" s="209" t="s">
        <v>323</v>
      </c>
      <c r="B72" s="210"/>
      <c r="C72" s="237"/>
      <c r="D72" s="237"/>
      <c r="E72" s="237"/>
      <c r="H72" s="225">
        <v>5529</v>
      </c>
      <c r="K72" s="225">
        <v>123525</v>
      </c>
      <c r="N72" s="225">
        <v>56348</v>
      </c>
      <c r="O72" s="225">
        <v>29366</v>
      </c>
      <c r="P72" s="225">
        <v>33620</v>
      </c>
      <c r="Q72" s="225">
        <v>47112</v>
      </c>
    </row>
    <row r="73" spans="1:17" x14ac:dyDescent="0.35">
      <c r="A73" s="209" t="s">
        <v>363</v>
      </c>
      <c r="B73" s="210"/>
      <c r="C73" s="237">
        <v>448116</v>
      </c>
      <c r="D73" s="237">
        <v>296287</v>
      </c>
      <c r="E73" s="237">
        <v>308304</v>
      </c>
      <c r="F73" s="225">
        <v>454311</v>
      </c>
      <c r="G73" s="225">
        <v>455426</v>
      </c>
      <c r="H73" s="225">
        <v>456947</v>
      </c>
      <c r="I73" s="225">
        <v>459119</v>
      </c>
      <c r="J73" s="225">
        <v>222132</v>
      </c>
      <c r="K73" s="225">
        <v>225272</v>
      </c>
      <c r="L73" s="225">
        <v>246208</v>
      </c>
      <c r="M73" s="225">
        <v>248478</v>
      </c>
      <c r="P73" s="225">
        <v>0</v>
      </c>
    </row>
    <row r="74" spans="1:17" x14ac:dyDescent="0.35">
      <c r="A74" s="209" t="s">
        <v>401</v>
      </c>
      <c r="B74" s="210"/>
      <c r="C74" s="237">
        <v>5649</v>
      </c>
      <c r="D74" s="237">
        <v>5649</v>
      </c>
      <c r="E74" s="237">
        <v>5649</v>
      </c>
      <c r="F74" s="225">
        <v>3922</v>
      </c>
      <c r="G74" s="225">
        <v>3922</v>
      </c>
      <c r="H74" s="225">
        <v>3922</v>
      </c>
      <c r="I74" s="225">
        <v>3922</v>
      </c>
      <c r="J74" s="225">
        <v>2629</v>
      </c>
      <c r="K74" s="225">
        <v>2629</v>
      </c>
      <c r="L74" s="225">
        <v>2629</v>
      </c>
      <c r="M74" s="225">
        <v>2629</v>
      </c>
      <c r="N74" s="225">
        <v>4093</v>
      </c>
      <c r="O74" s="225">
        <v>4155</v>
      </c>
      <c r="P74" s="225">
        <v>4217</v>
      </c>
      <c r="Q74" s="225">
        <v>4279</v>
      </c>
    </row>
    <row r="75" spans="1:17" x14ac:dyDescent="0.35">
      <c r="A75" s="209" t="s">
        <v>555</v>
      </c>
      <c r="B75" s="210"/>
      <c r="C75" s="237">
        <v>49070</v>
      </c>
      <c r="D75" s="237">
        <v>49432</v>
      </c>
      <c r="E75" s="237">
        <v>49675</v>
      </c>
      <c r="F75" s="225">
        <v>88019</v>
      </c>
      <c r="G75" s="225">
        <v>80831</v>
      </c>
      <c r="H75" s="225">
        <v>81004</v>
      </c>
      <c r="I75" s="225">
        <v>87604</v>
      </c>
      <c r="J75" s="225">
        <v>24035</v>
      </c>
      <c r="K75" s="225">
        <v>13216</v>
      </c>
      <c r="L75" s="225">
        <v>29205</v>
      </c>
      <c r="M75" s="225">
        <v>32843</v>
      </c>
      <c r="N75" s="225">
        <v>30276</v>
      </c>
      <c r="O75" s="225">
        <v>32777</v>
      </c>
      <c r="P75" s="225">
        <v>35315</v>
      </c>
      <c r="Q75" s="225">
        <v>38238</v>
      </c>
    </row>
    <row r="76" spans="1:17" x14ac:dyDescent="0.35">
      <c r="A76" s="209" t="s">
        <v>325</v>
      </c>
      <c r="B76" s="210"/>
      <c r="C76" s="237"/>
      <c r="D76" s="237"/>
      <c r="E76" s="237"/>
      <c r="L76" s="225">
        <v>83197</v>
      </c>
      <c r="M76" s="225">
        <v>95139</v>
      </c>
      <c r="N76" s="225">
        <v>55912</v>
      </c>
      <c r="O76" s="225">
        <v>77544</v>
      </c>
      <c r="P76" s="225">
        <v>94304</v>
      </c>
      <c r="Q76" s="225">
        <v>85027</v>
      </c>
    </row>
    <row r="77" spans="1:17" x14ac:dyDescent="0.35">
      <c r="A77" s="209" t="s">
        <v>366</v>
      </c>
      <c r="B77" s="210"/>
      <c r="C77" s="237">
        <v>89806</v>
      </c>
      <c r="D77" s="237">
        <v>89722</v>
      </c>
      <c r="E77" s="237">
        <v>89615</v>
      </c>
      <c r="F77" s="225">
        <v>54814</v>
      </c>
      <c r="G77" s="225">
        <v>54702</v>
      </c>
      <c r="H77" s="225">
        <v>123608</v>
      </c>
      <c r="I77" s="225">
        <v>90501</v>
      </c>
      <c r="J77" s="225">
        <v>76462</v>
      </c>
      <c r="K77" s="225">
        <v>52301</v>
      </c>
      <c r="L77" s="225">
        <v>50224</v>
      </c>
      <c r="M77" s="225">
        <v>48223</v>
      </c>
      <c r="N77" s="225">
        <v>46172</v>
      </c>
      <c r="O77" s="225">
        <v>44261</v>
      </c>
      <c r="P77" s="225">
        <v>43606</v>
      </c>
      <c r="Q77" s="225">
        <v>43101</v>
      </c>
    </row>
    <row r="78" spans="1:17" ht="15" thickBot="1" x14ac:dyDescent="0.4">
      <c r="A78" s="209" t="s">
        <v>574</v>
      </c>
      <c r="B78" s="210"/>
      <c r="C78" s="237">
        <v>412</v>
      </c>
      <c r="D78" s="237">
        <v>61</v>
      </c>
      <c r="E78" s="237">
        <v>32</v>
      </c>
      <c r="F78" s="225">
        <v>70</v>
      </c>
      <c r="G78" s="225">
        <v>52</v>
      </c>
      <c r="H78" s="225">
        <v>30</v>
      </c>
      <c r="I78" s="225">
        <v>12</v>
      </c>
      <c r="J78" s="225">
        <v>92</v>
      </c>
      <c r="K78" s="225">
        <v>56</v>
      </c>
      <c r="L78" s="225">
        <v>19</v>
      </c>
      <c r="M78" s="225">
        <v>84</v>
      </c>
      <c r="N78" s="225">
        <v>31</v>
      </c>
      <c r="O78" s="225">
        <v>8</v>
      </c>
      <c r="P78" s="225">
        <v>54</v>
      </c>
      <c r="Q78" s="225">
        <v>1941</v>
      </c>
    </row>
    <row r="79" spans="1:17" ht="15" thickBot="1" x14ac:dyDescent="0.4">
      <c r="A79" s="222" t="s">
        <v>370</v>
      </c>
      <c r="B79" s="206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</row>
    <row r="80" spans="1:17" ht="15" thickBot="1" x14ac:dyDescent="0.4">
      <c r="A80" s="213" t="s">
        <v>371</v>
      </c>
      <c r="B80" s="206"/>
      <c r="C80" s="214">
        <f t="shared" ref="C80:F80" si="11">SUM(C81:C87)</f>
        <v>-845286</v>
      </c>
      <c r="D80" s="214">
        <f t="shared" si="11"/>
        <v>-828737</v>
      </c>
      <c r="E80" s="214">
        <f t="shared" si="11"/>
        <v>-860802</v>
      </c>
      <c r="F80" s="214">
        <f t="shared" si="11"/>
        <v>-263997</v>
      </c>
      <c r="G80" s="214">
        <f>SUM(G81:G87)</f>
        <v>-209657</v>
      </c>
      <c r="H80" s="214">
        <f>SUM(H81:H87)</f>
        <v>-80580</v>
      </c>
      <c r="I80" s="214">
        <f>SUM(I81:I87)</f>
        <v>568229</v>
      </c>
      <c r="J80" s="214">
        <f>SUM(J81:J87)</f>
        <v>564180</v>
      </c>
      <c r="K80" s="214">
        <f t="shared" ref="K80:P80" si="12">SUM(K81:K87)</f>
        <v>720046</v>
      </c>
      <c r="L80" s="214">
        <f t="shared" si="12"/>
        <v>730489</v>
      </c>
      <c r="M80" s="214">
        <f t="shared" si="12"/>
        <v>792514</v>
      </c>
      <c r="N80" s="214">
        <f t="shared" si="12"/>
        <v>821100</v>
      </c>
      <c r="O80" s="214">
        <f t="shared" si="12"/>
        <v>846362</v>
      </c>
      <c r="P80" s="214">
        <f t="shared" si="12"/>
        <v>918723</v>
      </c>
      <c r="Q80" s="214">
        <f>SUM(Q81:Q87)</f>
        <v>1049134</v>
      </c>
    </row>
    <row r="81" spans="1:17" x14ac:dyDescent="0.35">
      <c r="A81" s="209" t="s">
        <v>402</v>
      </c>
      <c r="B81" s="210"/>
      <c r="C81" s="225">
        <v>1994416</v>
      </c>
      <c r="D81" s="225">
        <v>1994416</v>
      </c>
      <c r="E81" s="225">
        <v>1994416</v>
      </c>
      <c r="F81" s="225">
        <v>1000</v>
      </c>
      <c r="G81" s="225">
        <v>1000</v>
      </c>
      <c r="H81" s="225">
        <v>1000</v>
      </c>
      <c r="I81" s="225">
        <v>1000</v>
      </c>
      <c r="J81" s="225">
        <v>1000</v>
      </c>
      <c r="K81" s="225">
        <v>1000</v>
      </c>
      <c r="L81" s="225">
        <v>287479</v>
      </c>
      <c r="M81" s="225">
        <v>287479</v>
      </c>
      <c r="N81" s="225">
        <v>375981</v>
      </c>
      <c r="O81" s="225">
        <v>375981</v>
      </c>
      <c r="P81" s="225">
        <v>471701</v>
      </c>
      <c r="Q81" s="225">
        <v>471701</v>
      </c>
    </row>
    <row r="82" spans="1:17" x14ac:dyDescent="0.35">
      <c r="A82" s="209" t="s">
        <v>374</v>
      </c>
      <c r="B82" s="210"/>
      <c r="C82" s="225"/>
      <c r="D82" s="225"/>
      <c r="E82" s="225"/>
      <c r="F82" s="225">
        <v>5549</v>
      </c>
      <c r="G82" s="225">
        <v>6286</v>
      </c>
      <c r="H82" s="225">
        <v>7033</v>
      </c>
      <c r="I82" s="225">
        <v>8028</v>
      </c>
      <c r="J82" s="225">
        <v>9114</v>
      </c>
      <c r="K82" s="225">
        <v>9897</v>
      </c>
      <c r="L82" s="225">
        <v>10718</v>
      </c>
      <c r="M82" s="225">
        <v>11461</v>
      </c>
      <c r="N82" s="225">
        <v>12105</v>
      </c>
      <c r="O82" s="225">
        <v>12541</v>
      </c>
      <c r="P82" s="225">
        <v>12968</v>
      </c>
      <c r="Q82" s="225">
        <v>14023</v>
      </c>
    </row>
    <row r="83" spans="1:17" x14ac:dyDescent="0.35">
      <c r="A83" s="209" t="s">
        <v>558</v>
      </c>
      <c r="B83" s="210"/>
      <c r="C83" s="225"/>
      <c r="D83" s="225"/>
      <c r="E83" s="225"/>
      <c r="J83" s="225">
        <v>762010</v>
      </c>
      <c r="K83" s="225">
        <v>863094</v>
      </c>
      <c r="L83" s="225">
        <v>576615</v>
      </c>
      <c r="M83" s="225">
        <v>576615</v>
      </c>
      <c r="N83" s="225">
        <v>661518</v>
      </c>
      <c r="O83" s="225">
        <v>661518</v>
      </c>
      <c r="P83" s="225">
        <v>565798</v>
      </c>
      <c r="Q83" s="225">
        <v>565793</v>
      </c>
    </row>
    <row r="84" spans="1:17" x14ac:dyDescent="0.35">
      <c r="A84" s="209" t="s">
        <v>375</v>
      </c>
      <c r="B84" s="210"/>
      <c r="C84" s="225"/>
      <c r="D84" s="225"/>
      <c r="E84" s="225"/>
      <c r="P84" s="225">
        <v>0</v>
      </c>
    </row>
    <row r="85" spans="1:17" x14ac:dyDescent="0.35">
      <c r="A85" s="209" t="s">
        <v>575</v>
      </c>
      <c r="B85" s="210"/>
      <c r="C85" s="225">
        <v>-185240</v>
      </c>
      <c r="D85" s="225">
        <v>-188643</v>
      </c>
      <c r="E85" s="225">
        <v>-191172</v>
      </c>
      <c r="F85" s="225">
        <v>-203357</v>
      </c>
      <c r="G85" s="225">
        <v>-217944</v>
      </c>
      <c r="H85" s="225">
        <v>-202173</v>
      </c>
      <c r="I85" s="225">
        <v>-205827</v>
      </c>
      <c r="L85" s="225">
        <v>-231603</v>
      </c>
      <c r="M85" s="404">
        <v>-242097</v>
      </c>
      <c r="N85" s="404">
        <v>-228504</v>
      </c>
      <c r="O85" s="404">
        <v>-232650</v>
      </c>
      <c r="P85" s="404">
        <v>-234272</v>
      </c>
      <c r="Q85" s="405">
        <v>-166797</v>
      </c>
    </row>
    <row r="86" spans="1:17" x14ac:dyDescent="0.35">
      <c r="A86" s="209" t="s">
        <v>403</v>
      </c>
      <c r="B86" s="210"/>
      <c r="C86" s="225">
        <v>-2680004</v>
      </c>
      <c r="D86" s="225">
        <v>-2680005</v>
      </c>
      <c r="E86" s="225">
        <v>-2680004</v>
      </c>
      <c r="F86" s="225">
        <v>-686589</v>
      </c>
      <c r="G86" s="225">
        <v>-67188</v>
      </c>
      <c r="H86" s="225">
        <v>-67188</v>
      </c>
      <c r="I86" s="225">
        <v>-67189</v>
      </c>
      <c r="J86" s="225">
        <v>-207944</v>
      </c>
      <c r="K86" s="225">
        <v>-221465</v>
      </c>
      <c r="L86" s="225">
        <v>0</v>
      </c>
      <c r="M86" s="225">
        <v>159056</v>
      </c>
      <c r="P86" s="225">
        <v>0</v>
      </c>
    </row>
    <row r="87" spans="1:17" ht="15" thickBot="1" x14ac:dyDescent="0.4">
      <c r="A87" s="209" t="s">
        <v>576</v>
      </c>
      <c r="B87" s="210"/>
      <c r="C87" s="225">
        <v>25542</v>
      </c>
      <c r="D87" s="225">
        <v>45495</v>
      </c>
      <c r="E87" s="225">
        <v>15958</v>
      </c>
      <c r="F87" s="225">
        <v>619400</v>
      </c>
      <c r="G87" s="225">
        <v>68189</v>
      </c>
      <c r="H87" s="225">
        <v>180748</v>
      </c>
      <c r="I87" s="225">
        <v>832217</v>
      </c>
      <c r="K87" s="225">
        <v>67520</v>
      </c>
      <c r="L87" s="225">
        <v>87280</v>
      </c>
      <c r="O87" s="225">
        <v>28972</v>
      </c>
      <c r="P87" s="225">
        <v>102528</v>
      </c>
      <c r="Q87" s="225">
        <v>164414</v>
      </c>
    </row>
    <row r="88" spans="1:17" ht="15" thickBot="1" x14ac:dyDescent="0.4">
      <c r="A88" s="213" t="s">
        <v>380</v>
      </c>
      <c r="B88" s="206"/>
      <c r="C88" s="214">
        <f t="shared" ref="C88:P88" si="13">C80+C66+C48</f>
        <v>3824785</v>
      </c>
      <c r="D88" s="214">
        <f t="shared" si="13"/>
        <v>3883789</v>
      </c>
      <c r="E88" s="214">
        <f t="shared" si="13"/>
        <v>4064479</v>
      </c>
      <c r="F88" s="214">
        <f t="shared" si="13"/>
        <v>5210503</v>
      </c>
      <c r="G88" s="214">
        <f t="shared" si="13"/>
        <v>4925231</v>
      </c>
      <c r="H88" s="214">
        <f t="shared" si="13"/>
        <v>5150363</v>
      </c>
      <c r="I88" s="214">
        <f t="shared" si="13"/>
        <v>6056155</v>
      </c>
      <c r="J88" s="214">
        <f t="shared" si="13"/>
        <v>6255665</v>
      </c>
      <c r="K88" s="214">
        <f t="shared" si="13"/>
        <v>6237095</v>
      </c>
      <c r="L88" s="214">
        <f t="shared" si="13"/>
        <v>5575629</v>
      </c>
      <c r="M88" s="214">
        <f t="shared" si="13"/>
        <v>5455282</v>
      </c>
      <c r="N88" s="214">
        <f t="shared" si="13"/>
        <v>5677675</v>
      </c>
      <c r="O88" s="214">
        <f t="shared" si="13"/>
        <v>5627583</v>
      </c>
      <c r="P88" s="214">
        <f t="shared" si="13"/>
        <v>5449758</v>
      </c>
      <c r="Q88" s="214">
        <f>Q80+Q66+Q48</f>
        <v>5512544</v>
      </c>
    </row>
    <row r="89" spans="1:17" x14ac:dyDescent="0.35">
      <c r="C89" s="225">
        <f t="shared" ref="C89:M89" si="14">+C88-C45</f>
        <v>0</v>
      </c>
      <c r="D89" s="225">
        <f t="shared" si="14"/>
        <v>0</v>
      </c>
      <c r="E89" s="225">
        <f t="shared" si="14"/>
        <v>0</v>
      </c>
      <c r="F89" s="225">
        <f t="shared" si="14"/>
        <v>0</v>
      </c>
      <c r="G89" s="225">
        <f t="shared" si="14"/>
        <v>0</v>
      </c>
      <c r="H89" s="225">
        <f t="shared" si="14"/>
        <v>0</v>
      </c>
      <c r="I89" s="225">
        <f t="shared" si="14"/>
        <v>0</v>
      </c>
      <c r="J89" s="225">
        <f t="shared" si="14"/>
        <v>0</v>
      </c>
      <c r="K89" s="225">
        <f t="shared" si="14"/>
        <v>0</v>
      </c>
      <c r="L89" s="225">
        <f t="shared" si="14"/>
        <v>0</v>
      </c>
      <c r="M89" s="225">
        <f t="shared" si="14"/>
        <v>0</v>
      </c>
      <c r="N89" s="225">
        <f>+N88-N45</f>
        <v>0</v>
      </c>
      <c r="O89" s="225">
        <f>+O88-O45</f>
        <v>0</v>
      </c>
      <c r="P89" s="225">
        <f>+P88-P45</f>
        <v>0</v>
      </c>
      <c r="Q89" s="225">
        <f>+Q88-Q45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16BCB-D22E-4CAC-8B76-E6C43074E878}">
  <sheetPr>
    <tabColor theme="9" tint="0.79998168889431442"/>
  </sheetPr>
  <dimension ref="B6:AT50"/>
  <sheetViews>
    <sheetView showGridLines="0" zoomScale="70" zoomScaleNormal="70" workbookViewId="0">
      <pane xSplit="2" ySplit="6" topLeftCell="AA7" activePane="bottomRight" state="frozen"/>
      <selection activeCell="G18" sqref="G18"/>
      <selection pane="topRight" activeCell="G18" sqref="G18"/>
      <selection pane="bottomLeft" activeCell="G18" sqref="G18"/>
      <selection pane="bottomRight" activeCell="AT46" sqref="AT46"/>
    </sheetView>
  </sheetViews>
  <sheetFormatPr defaultColWidth="9.1796875" defaultRowHeight="14.5" outlineLevelCol="1" x14ac:dyDescent="0.35"/>
  <cols>
    <col min="1" max="1" width="9.1796875" style="37"/>
    <col min="2" max="2" width="32.08984375" style="37" customWidth="1"/>
    <col min="3" max="26" width="0" style="37" hidden="1" customWidth="1" outlineLevel="1"/>
    <col min="27" max="27" width="9.1796875" style="37" collapsed="1"/>
    <col min="28" max="40" width="9.1796875" style="37"/>
    <col min="41" max="41" width="9.1796875" style="37" customWidth="1"/>
    <col min="42" max="16384" width="9.1796875" style="37"/>
  </cols>
  <sheetData>
    <row r="6" spans="2:46" x14ac:dyDescent="0.35">
      <c r="B6" s="578" t="s">
        <v>450</v>
      </c>
      <c r="C6" s="164" t="s">
        <v>289</v>
      </c>
      <c r="D6" s="164" t="s">
        <v>290</v>
      </c>
      <c r="E6" s="164" t="s">
        <v>291</v>
      </c>
      <c r="F6" s="164" t="s">
        <v>292</v>
      </c>
      <c r="G6" s="164" t="s">
        <v>293</v>
      </c>
      <c r="H6" s="164" t="s">
        <v>294</v>
      </c>
      <c r="I6" s="164" t="s">
        <v>295</v>
      </c>
      <c r="J6" s="164" t="s">
        <v>296</v>
      </c>
      <c r="K6" s="164" t="s">
        <v>297</v>
      </c>
      <c r="L6" s="164" t="s">
        <v>298</v>
      </c>
      <c r="M6" s="164" t="s">
        <v>299</v>
      </c>
      <c r="N6" s="164" t="s">
        <v>300</v>
      </c>
      <c r="O6" s="164" t="s">
        <v>301</v>
      </c>
      <c r="P6" s="164" t="s">
        <v>302</v>
      </c>
      <c r="Q6" s="164" t="s">
        <v>303</v>
      </c>
      <c r="R6" s="164" t="s">
        <v>304</v>
      </c>
      <c r="S6" s="164" t="s">
        <v>57</v>
      </c>
      <c r="T6" s="164" t="s">
        <v>58</v>
      </c>
      <c r="U6" s="164" t="s">
        <v>59</v>
      </c>
      <c r="V6" s="164" t="s">
        <v>60</v>
      </c>
      <c r="W6" s="164" t="s">
        <v>61</v>
      </c>
      <c r="X6" s="164" t="s">
        <v>62</v>
      </c>
      <c r="Y6" s="164" t="s">
        <v>63</v>
      </c>
      <c r="Z6" s="164" t="s">
        <v>64</v>
      </c>
      <c r="AA6" s="164" t="s">
        <v>65</v>
      </c>
      <c r="AB6" s="164" t="s">
        <v>66</v>
      </c>
      <c r="AC6" s="164" t="s">
        <v>67</v>
      </c>
      <c r="AD6" s="164" t="s">
        <v>68</v>
      </c>
      <c r="AE6" s="164" t="s">
        <v>69</v>
      </c>
      <c r="AF6" s="164" t="s">
        <v>70</v>
      </c>
      <c r="AG6" s="164" t="s">
        <v>71</v>
      </c>
      <c r="AH6" s="164" t="s">
        <v>72</v>
      </c>
      <c r="AI6" s="164" t="s">
        <v>73</v>
      </c>
      <c r="AJ6" s="164" t="s">
        <v>74</v>
      </c>
      <c r="AK6" s="164" t="s">
        <v>75</v>
      </c>
      <c r="AL6" s="164" t="s">
        <v>76</v>
      </c>
      <c r="AM6" s="164" t="s">
        <v>77</v>
      </c>
      <c r="AN6" s="164" t="s">
        <v>78</v>
      </c>
      <c r="AO6" s="164" t="s">
        <v>79</v>
      </c>
      <c r="AP6" s="164" t="s">
        <v>80</v>
      </c>
      <c r="AQ6" s="164" t="s">
        <v>81</v>
      </c>
      <c r="AR6" s="164" t="s">
        <v>82</v>
      </c>
      <c r="AS6" s="164" t="s">
        <v>83</v>
      </c>
      <c r="AT6" s="164" t="s">
        <v>685</v>
      </c>
    </row>
    <row r="7" spans="2:46" x14ac:dyDescent="0.35">
      <c r="B7" s="37" t="s">
        <v>451</v>
      </c>
      <c r="C7" s="294">
        <v>0.20399999999999999</v>
      </c>
      <c r="D7" s="294">
        <v>0.21099999999999999</v>
      </c>
      <c r="E7" s="294">
        <v>0.20300000000000001</v>
      </c>
      <c r="F7" s="294">
        <v>0.192</v>
      </c>
      <c r="G7" s="294">
        <v>0.184</v>
      </c>
      <c r="H7" s="294">
        <v>0.17800000000000002</v>
      </c>
      <c r="I7" s="294">
        <v>0.17300000000000001</v>
      </c>
      <c r="J7" s="294">
        <v>0.17499999999999999</v>
      </c>
      <c r="K7" s="294">
        <v>0.17499999999999999</v>
      </c>
      <c r="L7" s="294">
        <v>0.17499999999999999</v>
      </c>
      <c r="M7" s="294">
        <v>0.17599999999999999</v>
      </c>
      <c r="N7" s="294">
        <v>0.176199838248808</v>
      </c>
      <c r="O7" s="294">
        <v>0.17909437086152299</v>
      </c>
      <c r="P7" s="294">
        <v>0.17649999999999999</v>
      </c>
      <c r="Q7" s="294">
        <v>0.17879999999999999</v>
      </c>
      <c r="R7" s="294">
        <v>0.18</v>
      </c>
      <c r="S7" s="294">
        <v>0.182</v>
      </c>
      <c r="T7" s="294">
        <v>0.18566853180816301</v>
      </c>
      <c r="U7" s="294">
        <v>0.18262627354739236</v>
      </c>
      <c r="V7" s="294">
        <v>0.17169999999999999</v>
      </c>
      <c r="W7" s="294">
        <v>0.16824362535968129</v>
      </c>
      <c r="X7" s="294">
        <v>0.16205050385974984</v>
      </c>
      <c r="Y7" s="294">
        <v>0.16393569989413093</v>
      </c>
      <c r="Z7" s="294">
        <v>0.17179012499843882</v>
      </c>
      <c r="AA7" s="294">
        <v>0.17291314590934259</v>
      </c>
      <c r="AB7" s="294">
        <v>0.17713369649527966</v>
      </c>
      <c r="AC7" s="294">
        <v>0.17840109874919027</v>
      </c>
      <c r="AD7" s="294">
        <v>0.17979999999999999</v>
      </c>
      <c r="AE7" s="294">
        <v>0.17979999999999999</v>
      </c>
      <c r="AF7" s="295">
        <v>0.18168769806578233</v>
      </c>
      <c r="AG7" s="295">
        <v>0.18297100873058453</v>
      </c>
      <c r="AH7" s="295">
        <v>0.18517686272279757</v>
      </c>
      <c r="AI7" s="295">
        <v>0.18607808429425879</v>
      </c>
      <c r="AJ7" s="295">
        <v>0.19204933947059077</v>
      </c>
      <c r="AK7" s="295">
        <v>0.19061168960495567</v>
      </c>
      <c r="AL7" s="295">
        <v>0.18559690778059945</v>
      </c>
      <c r="AM7" s="295">
        <v>0.18396044277580881</v>
      </c>
      <c r="AN7" s="295">
        <v>0.17750347496152219</v>
      </c>
      <c r="AO7" s="295">
        <v>0.17521342967885201</v>
      </c>
      <c r="AP7" s="295">
        <v>0.17599853133764087</v>
      </c>
      <c r="AQ7" s="295">
        <v>0.17505656609810605</v>
      </c>
      <c r="AR7" s="295">
        <v>0.17492486304942734</v>
      </c>
      <c r="AS7" s="295">
        <v>0.1773518553195087</v>
      </c>
      <c r="AT7" s="295">
        <v>0.17905343603870516</v>
      </c>
    </row>
    <row r="8" spans="2:46" x14ac:dyDescent="0.35">
      <c r="B8" s="37" t="s">
        <v>452</v>
      </c>
      <c r="C8" s="294">
        <v>0.221</v>
      </c>
      <c r="D8" s="294">
        <v>0.221</v>
      </c>
      <c r="E8" s="294">
        <v>0.19600000000000001</v>
      </c>
      <c r="F8" s="294">
        <v>0.19600000000000001</v>
      </c>
      <c r="G8" s="294">
        <v>0.19600000000000001</v>
      </c>
      <c r="H8" s="294">
        <v>0.19600000000000001</v>
      </c>
      <c r="I8" s="294">
        <v>0.192</v>
      </c>
      <c r="J8" s="294">
        <v>0.19400000000000001</v>
      </c>
      <c r="K8" s="294">
        <v>0.19400000000000001</v>
      </c>
      <c r="L8" s="294">
        <v>0.19400000000000001</v>
      </c>
      <c r="M8" s="294">
        <v>0.193</v>
      </c>
      <c r="N8" s="294">
        <v>0.193</v>
      </c>
      <c r="O8" s="294">
        <v>0.193</v>
      </c>
      <c r="P8" s="294">
        <v>0.193</v>
      </c>
      <c r="Q8" s="294">
        <v>0.19700000000000001</v>
      </c>
      <c r="R8" s="294">
        <v>0.19700000000000001</v>
      </c>
      <c r="S8" s="294">
        <v>0.19700000000000001</v>
      </c>
      <c r="T8" s="294">
        <v>0.19700000000000001</v>
      </c>
      <c r="U8" s="294">
        <v>0.18609999999999999</v>
      </c>
      <c r="V8" s="294">
        <v>0.18609999999999999</v>
      </c>
      <c r="W8" s="294">
        <v>0.18609999999999999</v>
      </c>
      <c r="X8" s="294">
        <v>0.18609999999999999</v>
      </c>
      <c r="Y8" s="294">
        <v>0.18327149017897226</v>
      </c>
      <c r="Z8" s="294">
        <v>0.18327149017897226</v>
      </c>
      <c r="AA8" s="294">
        <v>0.18327149017897226</v>
      </c>
      <c r="AB8" s="294">
        <v>0.18327149017897226</v>
      </c>
      <c r="AC8" s="294">
        <v>0.18</v>
      </c>
      <c r="AD8" s="294">
        <v>0.18</v>
      </c>
      <c r="AE8" s="294">
        <v>0.18</v>
      </c>
      <c r="AF8" s="294">
        <v>0.18</v>
      </c>
      <c r="AG8" s="294">
        <v>0.17672663134438332</v>
      </c>
      <c r="AH8" s="296">
        <v>0.17672663134438332</v>
      </c>
      <c r="AI8" s="294">
        <v>0.17672663134438332</v>
      </c>
      <c r="AJ8" s="294">
        <v>0.17672663134438332</v>
      </c>
      <c r="AK8" s="294">
        <v>0.17672663134438332</v>
      </c>
      <c r="AL8" s="294">
        <v>0.16873440963319131</v>
      </c>
      <c r="AM8" s="294">
        <v>0.16873440963319131</v>
      </c>
      <c r="AN8" s="294">
        <v>0.16873440963319131</v>
      </c>
      <c r="AO8" s="294">
        <v>0.16873440963319131</v>
      </c>
      <c r="AP8" s="294">
        <v>0.16865795815283147</v>
      </c>
      <c r="AQ8" s="294">
        <v>0.16865795815283147</v>
      </c>
      <c r="AR8" s="294">
        <v>0.16865795815283147</v>
      </c>
      <c r="AS8" s="294">
        <v>0.17254580292624228</v>
      </c>
      <c r="AT8" s="294">
        <v>0.17254580292624228</v>
      </c>
    </row>
    <row r="9" spans="2:46" x14ac:dyDescent="0.35">
      <c r="B9" s="37" t="s">
        <v>453</v>
      </c>
      <c r="C9" s="294">
        <v>0.13400000000000001</v>
      </c>
      <c r="D9" s="294">
        <v>0.14400000000000002</v>
      </c>
      <c r="E9" s="294">
        <v>0.1717700063748393</v>
      </c>
      <c r="F9" s="294">
        <v>0.151</v>
      </c>
      <c r="G9" s="294">
        <v>0.13699999999999998</v>
      </c>
      <c r="H9" s="294">
        <v>0.127</v>
      </c>
      <c r="I9" s="294">
        <v>0.11900000000000001</v>
      </c>
      <c r="J9" s="294">
        <v>0.12</v>
      </c>
      <c r="K9" s="294">
        <v>0.121</v>
      </c>
      <c r="L9" s="294">
        <v>0.123</v>
      </c>
      <c r="M9" s="294">
        <v>0.12479999999999999</v>
      </c>
      <c r="N9" s="294">
        <v>0.12447999999999999</v>
      </c>
      <c r="O9" s="294">
        <v>0.126</v>
      </c>
      <c r="P9" s="294">
        <v>0.12139999999999999</v>
      </c>
      <c r="Q9" s="294">
        <v>0.124</v>
      </c>
      <c r="R9" s="294">
        <v>0.126</v>
      </c>
      <c r="S9" s="294">
        <v>0.129</v>
      </c>
      <c r="T9" s="294">
        <v>0.13589999999999999</v>
      </c>
      <c r="U9" s="294">
        <v>9.6964563192851558E-2</v>
      </c>
      <c r="V9" s="294">
        <v>7.8895291742047791E-2</v>
      </c>
      <c r="W9" s="294">
        <v>7.3008851798598118E-2</v>
      </c>
      <c r="X9" s="294">
        <v>6.3077347410219586E-2</v>
      </c>
      <c r="Y9" s="294">
        <v>6.6130938726216476E-2</v>
      </c>
      <c r="Z9" s="294">
        <v>7.8921601126283325E-2</v>
      </c>
      <c r="AA9" s="294">
        <v>8.0904583212362269E-2</v>
      </c>
      <c r="AB9" s="294">
        <v>8.807883414882979E-2</v>
      </c>
      <c r="AC9" s="294">
        <v>9.0454246915269626E-2</v>
      </c>
      <c r="AD9" s="294">
        <v>9.3270604794756393E-2</v>
      </c>
      <c r="AE9" s="294">
        <v>9.4323917598623588E-2</v>
      </c>
      <c r="AF9" s="295">
        <v>9.6377583997914573E-2</v>
      </c>
      <c r="AG9" s="295">
        <v>9.8536125212530884E-2</v>
      </c>
      <c r="AH9" s="295">
        <v>0.10200357077375576</v>
      </c>
      <c r="AI9" s="295">
        <v>0.1036660668341369</v>
      </c>
      <c r="AJ9" s="295">
        <v>0.11471081951278143</v>
      </c>
      <c r="AK9" s="295">
        <v>0.13235862892714054</v>
      </c>
      <c r="AL9" s="295">
        <v>0.12343732255701434</v>
      </c>
      <c r="AM9" s="295">
        <v>0.12064913827033218</v>
      </c>
      <c r="AN9" s="295">
        <v>0.10957384998389619</v>
      </c>
      <c r="AO9" s="295">
        <v>0.10559168894264709</v>
      </c>
      <c r="AP9" s="295">
        <v>0.10695880964962552</v>
      </c>
      <c r="AQ9" s="295">
        <v>0.1054180738615413</v>
      </c>
      <c r="AR9" s="295">
        <v>0.10499501867384084</v>
      </c>
      <c r="AS9" s="295">
        <v>0.10889751032307839</v>
      </c>
      <c r="AT9" s="295">
        <v>0.11158597187299998</v>
      </c>
    </row>
    <row r="10" spans="2:46" x14ac:dyDescent="0.35">
      <c r="B10" s="37" t="s">
        <v>454</v>
      </c>
      <c r="C10" s="294">
        <v>0.16220000000000001</v>
      </c>
      <c r="D10" s="294">
        <v>0.16220000000000001</v>
      </c>
      <c r="E10" s="294">
        <v>0.1593</v>
      </c>
      <c r="F10" s="294">
        <v>0.1593</v>
      </c>
      <c r="G10" s="294">
        <v>0.1593</v>
      </c>
      <c r="H10" s="294">
        <v>0.1593</v>
      </c>
      <c r="I10" s="294">
        <v>0.15640000000000001</v>
      </c>
      <c r="J10" s="294">
        <v>0.15640000000000001</v>
      </c>
      <c r="K10" s="294">
        <v>0.15640000000000001</v>
      </c>
      <c r="L10" s="294">
        <v>0.15640000000000001</v>
      </c>
      <c r="M10" s="294">
        <v>0.1535</v>
      </c>
      <c r="N10" s="294">
        <v>0.1535</v>
      </c>
      <c r="O10" s="294">
        <v>0.1535</v>
      </c>
      <c r="P10" s="294">
        <v>0.1535</v>
      </c>
      <c r="Q10" s="294">
        <v>0.1507</v>
      </c>
      <c r="R10" s="294">
        <v>0.1507</v>
      </c>
      <c r="S10" s="294">
        <v>0.1507</v>
      </c>
      <c r="T10" s="294">
        <v>0.1507</v>
      </c>
      <c r="U10" s="294">
        <v>0.1031</v>
      </c>
      <c r="V10" s="294">
        <v>0.1031</v>
      </c>
      <c r="W10" s="294">
        <v>0.1031</v>
      </c>
      <c r="X10" s="294">
        <v>0.1031</v>
      </c>
      <c r="Y10" s="294">
        <v>9.8299999999999998E-2</v>
      </c>
      <c r="Z10" s="294">
        <v>9.8299999999999998E-2</v>
      </c>
      <c r="AA10" s="294">
        <v>9.8299999999999998E-2</v>
      </c>
      <c r="AB10" s="294">
        <v>9.8299999999999998E-2</v>
      </c>
      <c r="AC10" s="294">
        <v>9.3399999999999997E-2</v>
      </c>
      <c r="AD10" s="294">
        <v>9.3399999999999997E-2</v>
      </c>
      <c r="AE10" s="294">
        <v>9.3399999999999997E-2</v>
      </c>
      <c r="AF10" s="294">
        <v>9.3399999999999997E-2</v>
      </c>
      <c r="AG10" s="294">
        <v>8.8599999999999998E-2</v>
      </c>
      <c r="AH10" s="296">
        <v>8.8599999999999998E-2</v>
      </c>
      <c r="AI10" s="294">
        <v>8.8599999999999998E-2</v>
      </c>
      <c r="AJ10" s="294">
        <v>8.8599999999999998E-2</v>
      </c>
      <c r="AK10" s="294">
        <v>8.8599999999999998E-2</v>
      </c>
      <c r="AL10" s="294">
        <v>8.8599999999999998E-2</v>
      </c>
      <c r="AM10" s="294">
        <v>9.5100000000000004E-2</v>
      </c>
      <c r="AN10" s="294">
        <v>9.5100000000000004E-2</v>
      </c>
      <c r="AO10" s="294">
        <v>9.5100000000000004E-2</v>
      </c>
      <c r="AP10" s="294">
        <v>9.5113000000000003E-2</v>
      </c>
      <c r="AQ10" s="294">
        <v>9.5113000000000003E-2</v>
      </c>
      <c r="AR10" s="294">
        <v>9.5113000000000003E-2</v>
      </c>
      <c r="AS10" s="294">
        <v>9.5113000000000003E-2</v>
      </c>
      <c r="AT10" s="294">
        <v>9.5113000000000003E-2</v>
      </c>
    </row>
    <row r="12" spans="2:46" x14ac:dyDescent="0.35">
      <c r="B12" s="578" t="s">
        <v>455</v>
      </c>
      <c r="C12" s="164" t="s">
        <v>289</v>
      </c>
      <c r="D12" s="164" t="s">
        <v>290</v>
      </c>
      <c r="E12" s="164" t="s">
        <v>291</v>
      </c>
      <c r="F12" s="164" t="s">
        <v>292</v>
      </c>
      <c r="G12" s="164" t="s">
        <v>293</v>
      </c>
      <c r="H12" s="164" t="s">
        <v>294</v>
      </c>
      <c r="I12" s="164" t="s">
        <v>295</v>
      </c>
      <c r="J12" s="164" t="s">
        <v>296</v>
      </c>
      <c r="K12" s="164" t="s">
        <v>297</v>
      </c>
      <c r="L12" s="164" t="s">
        <v>298</v>
      </c>
      <c r="M12" s="164" t="s">
        <v>299</v>
      </c>
      <c r="N12" s="164" t="s">
        <v>300</v>
      </c>
      <c r="O12" s="164" t="s">
        <v>301</v>
      </c>
      <c r="P12" s="164" t="s">
        <v>302</v>
      </c>
      <c r="Q12" s="164" t="s">
        <v>303</v>
      </c>
      <c r="R12" s="164" t="s">
        <v>304</v>
      </c>
      <c r="S12" s="164" t="s">
        <v>57</v>
      </c>
      <c r="T12" s="164" t="s">
        <v>58</v>
      </c>
      <c r="U12" s="164" t="s">
        <v>59</v>
      </c>
      <c r="V12" s="164" t="s">
        <v>60</v>
      </c>
      <c r="W12" s="164" t="s">
        <v>61</v>
      </c>
      <c r="X12" s="164" t="s">
        <v>62</v>
      </c>
      <c r="Y12" s="164" t="s">
        <v>63</v>
      </c>
      <c r="Z12" s="164" t="s">
        <v>64</v>
      </c>
      <c r="AA12" s="164" t="str">
        <f t="shared" ref="AA12:AO12" si="0">AA6</f>
        <v>1T19</v>
      </c>
      <c r="AB12" s="164" t="str">
        <f t="shared" si="0"/>
        <v>2T19</v>
      </c>
      <c r="AC12" s="164" t="str">
        <f t="shared" si="0"/>
        <v>3T19</v>
      </c>
      <c r="AD12" s="164" t="str">
        <f t="shared" si="0"/>
        <v>4T19</v>
      </c>
      <c r="AE12" s="164" t="str">
        <f t="shared" si="0"/>
        <v>1T20</v>
      </c>
      <c r="AF12" s="164" t="str">
        <f t="shared" si="0"/>
        <v>2T20</v>
      </c>
      <c r="AG12" s="164" t="str">
        <f t="shared" si="0"/>
        <v>3T20</v>
      </c>
      <c r="AH12" s="164" t="str">
        <f t="shared" si="0"/>
        <v>4T20</v>
      </c>
      <c r="AI12" s="164" t="str">
        <f t="shared" si="0"/>
        <v>1T21</v>
      </c>
      <c r="AJ12" s="164" t="str">
        <f t="shared" si="0"/>
        <v>2T21</v>
      </c>
      <c r="AK12" s="164" t="str">
        <f t="shared" si="0"/>
        <v>3T21</v>
      </c>
      <c r="AL12" s="164" t="str">
        <f t="shared" si="0"/>
        <v>4T21</v>
      </c>
      <c r="AM12" s="164" t="str">
        <f t="shared" si="0"/>
        <v>1T22</v>
      </c>
      <c r="AN12" s="164" t="str">
        <f t="shared" si="0"/>
        <v>2T22</v>
      </c>
      <c r="AO12" s="164" t="str">
        <f t="shared" si="0"/>
        <v>3T22</v>
      </c>
      <c r="AP12" s="164" t="str">
        <f>AP6</f>
        <v>4T22</v>
      </c>
      <c r="AQ12" s="164" t="str">
        <f>AQ6</f>
        <v>1T23</v>
      </c>
      <c r="AR12" s="164" t="str">
        <f>AR6</f>
        <v>2T23</v>
      </c>
      <c r="AS12" s="164" t="str">
        <f>AS6</f>
        <v>3T23</v>
      </c>
      <c r="AT12" s="164" t="str">
        <f>AT6</f>
        <v>4T23</v>
      </c>
    </row>
    <row r="13" spans="2:46" x14ac:dyDescent="0.35">
      <c r="B13" s="37" t="s">
        <v>451</v>
      </c>
      <c r="C13" s="294">
        <v>0.35899999999999999</v>
      </c>
      <c r="D13" s="294">
        <v>0.36399999999999999</v>
      </c>
      <c r="E13" s="294">
        <v>0.36499999999999999</v>
      </c>
      <c r="F13" s="294">
        <v>0.35499999999999998</v>
      </c>
      <c r="G13" s="294">
        <v>0.34229999999999999</v>
      </c>
      <c r="H13" s="294">
        <v>0.33</v>
      </c>
      <c r="I13" s="294">
        <v>0.31739999999999996</v>
      </c>
      <c r="J13" s="294">
        <v>0.31230000000000002</v>
      </c>
      <c r="K13" s="294">
        <v>0.30819999999999997</v>
      </c>
      <c r="L13" s="294">
        <v>0.31790000000000002</v>
      </c>
      <c r="M13" s="294">
        <v>0.313</v>
      </c>
      <c r="N13" s="294">
        <v>0.29199999999999998</v>
      </c>
      <c r="O13" s="294">
        <v>0.29899999999999999</v>
      </c>
      <c r="P13" s="294">
        <v>0.28599999999999998</v>
      </c>
      <c r="Q13" s="294">
        <v>0.27740833395485837</v>
      </c>
      <c r="R13" s="294">
        <v>0.28299999999999997</v>
      </c>
      <c r="S13" s="294">
        <v>0.27500000000000002</v>
      </c>
      <c r="T13" s="294">
        <v>0.26848285526087551</v>
      </c>
      <c r="U13" s="294">
        <v>0.2747</v>
      </c>
      <c r="V13" s="294">
        <v>0.27498462406192092</v>
      </c>
      <c r="W13" s="294">
        <v>0.27247976178614941</v>
      </c>
      <c r="X13" s="294">
        <v>0.27179999999999999</v>
      </c>
      <c r="Y13" s="294">
        <v>0.27464948770005304</v>
      </c>
      <c r="Z13" s="294">
        <v>0.28328254029990624</v>
      </c>
      <c r="AA13" s="294">
        <v>0.29175970669242846</v>
      </c>
      <c r="AB13" s="294">
        <v>0.30076450070818872</v>
      </c>
      <c r="AC13" s="294">
        <v>0.30268722922097668</v>
      </c>
      <c r="AD13" s="294">
        <v>0.30070000000000002</v>
      </c>
      <c r="AE13" s="294">
        <v>0.29539914843159332</v>
      </c>
      <c r="AF13" s="295">
        <v>0.29844823505088053</v>
      </c>
      <c r="AG13" s="295">
        <v>0.29873302822854936</v>
      </c>
      <c r="AH13" s="295">
        <v>0.30760986850439564</v>
      </c>
      <c r="AI13" s="295">
        <v>0.30740335941120434</v>
      </c>
      <c r="AJ13" s="295">
        <v>0.30134556585218542</v>
      </c>
      <c r="AK13" s="295">
        <v>0.29821148130602593</v>
      </c>
      <c r="AL13" s="295">
        <v>0.28988648787978799</v>
      </c>
      <c r="AM13" s="295">
        <v>0.28537363443686103</v>
      </c>
      <c r="AN13" s="295">
        <v>0.27924078115361051</v>
      </c>
      <c r="AO13" s="295">
        <v>0.27714206858934387</v>
      </c>
      <c r="AP13" s="295">
        <v>0.27502009038693154</v>
      </c>
      <c r="AQ13" s="295">
        <v>0.27289805826383517</v>
      </c>
      <c r="AR13" s="295">
        <v>0.27564501710991074</v>
      </c>
      <c r="AS13" s="295">
        <v>0.27565012709042713</v>
      </c>
      <c r="AT13" s="295">
        <v>0.27163340654044987</v>
      </c>
    </row>
    <row r="14" spans="2:46" x14ac:dyDescent="0.35">
      <c r="B14" s="37" t="s">
        <v>452</v>
      </c>
      <c r="C14" s="294">
        <v>0.29799999999999999</v>
      </c>
      <c r="D14" s="294">
        <v>0.29799999999999999</v>
      </c>
      <c r="E14" s="294">
        <v>0.28499999999999998</v>
      </c>
      <c r="F14" s="294">
        <v>0.28499999999999998</v>
      </c>
      <c r="G14" s="294">
        <v>0.28499999999999998</v>
      </c>
      <c r="H14" s="294">
        <v>0.28499999999999998</v>
      </c>
      <c r="I14" s="294">
        <v>0.27100000000000002</v>
      </c>
      <c r="J14" s="294">
        <v>0.27100000000000002</v>
      </c>
      <c r="K14" s="294">
        <v>0.27100000000000002</v>
      </c>
      <c r="L14" s="294">
        <v>0.27100000000000002</v>
      </c>
      <c r="M14" s="294">
        <v>0.26</v>
      </c>
      <c r="N14" s="294">
        <v>0.26</v>
      </c>
      <c r="O14" s="294">
        <v>0.26</v>
      </c>
      <c r="P14" s="294">
        <v>0.26</v>
      </c>
      <c r="Q14" s="294">
        <v>0.26800000000000002</v>
      </c>
      <c r="R14" s="294">
        <v>0.26800000000000002</v>
      </c>
      <c r="S14" s="294">
        <v>0.26800000000000002</v>
      </c>
      <c r="T14" s="294">
        <v>0.26800000000000002</v>
      </c>
      <c r="U14" s="294">
        <v>0.26860000000000001</v>
      </c>
      <c r="V14" s="294">
        <v>0.26860000000000001</v>
      </c>
      <c r="W14" s="294">
        <v>0.26860000000000001</v>
      </c>
      <c r="X14" s="294">
        <v>0.26860000000000001</v>
      </c>
      <c r="Y14" s="294">
        <v>0.26836495921154813</v>
      </c>
      <c r="Z14" s="294">
        <v>0.26836495921154813</v>
      </c>
      <c r="AA14" s="294">
        <v>0.26836495921154813</v>
      </c>
      <c r="AB14" s="294">
        <v>0.26836495921154813</v>
      </c>
      <c r="AC14" s="294">
        <v>0.27479999999999999</v>
      </c>
      <c r="AD14" s="294">
        <v>0.27479999999999999</v>
      </c>
      <c r="AE14" s="294">
        <v>0.27479999999999999</v>
      </c>
      <c r="AF14" s="294">
        <v>0.27479999999999999</v>
      </c>
      <c r="AG14" s="294">
        <v>0.27595900380149785</v>
      </c>
      <c r="AH14" s="296">
        <v>0.27595900380149785</v>
      </c>
      <c r="AI14" s="294">
        <v>0.27595900380149785</v>
      </c>
      <c r="AJ14" s="294">
        <v>0.27595900380149785</v>
      </c>
      <c r="AK14" s="294">
        <v>0.27595900380149785</v>
      </c>
      <c r="AL14" s="294">
        <v>0.2728880804436844</v>
      </c>
      <c r="AM14" s="294">
        <v>0.2728880804436844</v>
      </c>
      <c r="AN14" s="294">
        <v>0.2728880804436844</v>
      </c>
      <c r="AO14" s="294">
        <v>0.2728880804436844</v>
      </c>
      <c r="AP14" s="294">
        <v>0.27009571838486929</v>
      </c>
      <c r="AQ14" s="294">
        <v>0.27009571838486929</v>
      </c>
      <c r="AR14" s="294">
        <v>0.27009571838486929</v>
      </c>
      <c r="AS14" s="294">
        <v>0.28240744381582511</v>
      </c>
      <c r="AT14" s="294">
        <v>0.28240744381582511</v>
      </c>
    </row>
    <row r="15" spans="2:46" x14ac:dyDescent="0.35">
      <c r="B15" s="37" t="s">
        <v>453</v>
      </c>
      <c r="C15" s="294">
        <v>0.61099999999999999</v>
      </c>
      <c r="D15" s="294">
        <v>0.628</v>
      </c>
      <c r="E15" s="294">
        <v>0.63180000000000003</v>
      </c>
      <c r="F15" s="294">
        <v>0.59499999999999997</v>
      </c>
      <c r="G15" s="294">
        <v>0.54659999999999997</v>
      </c>
      <c r="H15" s="294">
        <v>0.50159999999999993</v>
      </c>
      <c r="I15" s="294">
        <v>0.45659999999999995</v>
      </c>
      <c r="J15" s="294">
        <v>0.43719999999999998</v>
      </c>
      <c r="K15" s="294">
        <v>0.4244</v>
      </c>
      <c r="L15" s="294">
        <v>0.45240000000000002</v>
      </c>
      <c r="M15" s="294">
        <v>0.442</v>
      </c>
      <c r="N15" s="294">
        <v>0.38600000000000001</v>
      </c>
      <c r="O15" s="294">
        <v>0.41200000000000003</v>
      </c>
      <c r="P15" s="294">
        <v>0.38500000000000001</v>
      </c>
      <c r="Q15" s="294">
        <v>0.362061612128598</v>
      </c>
      <c r="R15" s="294">
        <v>0.37769999999999998</v>
      </c>
      <c r="S15" s="294">
        <v>0.35699999999999998</v>
      </c>
      <c r="T15" s="294">
        <v>0.33961892297739954</v>
      </c>
      <c r="U15" s="294">
        <v>0.35670000000000002</v>
      </c>
      <c r="V15" s="294">
        <v>0.35738618006315037</v>
      </c>
      <c r="W15" s="294">
        <v>0.35096542621079702</v>
      </c>
      <c r="X15" s="294">
        <v>0.34910000000000002</v>
      </c>
      <c r="Y15" s="294">
        <v>0.35783788546236373</v>
      </c>
      <c r="Z15" s="294">
        <v>0.38392683755609003</v>
      </c>
      <c r="AA15" s="294">
        <v>0.40903256472089217</v>
      </c>
      <c r="AB15" s="294">
        <v>0.43718656821452112</v>
      </c>
      <c r="AC15" s="294">
        <v>0.40978253647210638</v>
      </c>
      <c r="AD15" s="294">
        <v>0.4022003276311964</v>
      </c>
      <c r="AE15" s="294">
        <v>0.38570735170145692</v>
      </c>
      <c r="AF15" s="295">
        <v>0.38924982343854164</v>
      </c>
      <c r="AG15" s="295">
        <v>0.39119293024327861</v>
      </c>
      <c r="AH15" s="295">
        <v>0.4152481588264153</v>
      </c>
      <c r="AI15" s="295">
        <v>0.41320376856704605</v>
      </c>
      <c r="AJ15" s="295">
        <v>0.39869572031993111</v>
      </c>
      <c r="AK15" s="295">
        <v>0.38805744988467866</v>
      </c>
      <c r="AL15" s="295">
        <v>0.36567636070062398</v>
      </c>
      <c r="AM15" s="295">
        <v>0.3548789850342251</v>
      </c>
      <c r="AN15" s="295">
        <v>0.33999218820319432</v>
      </c>
      <c r="AO15" s="295">
        <v>0.33413962610353648</v>
      </c>
      <c r="AP15" s="295">
        <v>0.32772237022536799</v>
      </c>
      <c r="AQ15" s="295">
        <v>0.32134998398581949</v>
      </c>
      <c r="AR15" s="295">
        <v>0.32700780837132087</v>
      </c>
      <c r="AS15" s="295">
        <v>0.32152644364816119</v>
      </c>
      <c r="AT15" s="295">
        <v>0.30922577950181707</v>
      </c>
    </row>
    <row r="16" spans="2:46" x14ac:dyDescent="0.35">
      <c r="B16" s="37" t="s">
        <v>454</v>
      </c>
      <c r="C16" s="294">
        <v>0.378</v>
      </c>
      <c r="D16" s="294">
        <v>0.378</v>
      </c>
      <c r="E16" s="294">
        <v>0.378</v>
      </c>
      <c r="F16" s="294">
        <v>0.378</v>
      </c>
      <c r="G16" s="294">
        <v>0.378</v>
      </c>
      <c r="H16" s="294">
        <v>0.378</v>
      </c>
      <c r="I16" s="294">
        <v>0.378</v>
      </c>
      <c r="J16" s="294">
        <v>0.378</v>
      </c>
      <c r="K16" s="294">
        <v>0.378</v>
      </c>
      <c r="L16" s="294">
        <v>0.378</v>
      </c>
      <c r="M16" s="294">
        <v>0.34</v>
      </c>
      <c r="N16" s="294">
        <v>0.34</v>
      </c>
      <c r="O16" s="294">
        <v>0.34</v>
      </c>
      <c r="P16" s="294">
        <v>0.34</v>
      </c>
      <c r="Q16" s="294">
        <v>0.34</v>
      </c>
      <c r="R16" s="294">
        <v>0.34</v>
      </c>
      <c r="S16" s="294">
        <v>0.34</v>
      </c>
      <c r="T16" s="294">
        <v>0.34</v>
      </c>
      <c r="U16" s="294">
        <v>0.34</v>
      </c>
      <c r="V16" s="294">
        <v>0.34</v>
      </c>
      <c r="W16" s="294">
        <v>0.34</v>
      </c>
      <c r="X16" s="294">
        <v>0.34</v>
      </c>
      <c r="Y16" s="294">
        <v>0.34</v>
      </c>
      <c r="Z16" s="294">
        <v>0.34</v>
      </c>
      <c r="AA16" s="294">
        <v>0.34</v>
      </c>
      <c r="AB16" s="294">
        <v>0.34</v>
      </c>
      <c r="AC16" s="294">
        <v>0.33500000000000002</v>
      </c>
      <c r="AD16" s="294">
        <v>0.33500000000000002</v>
      </c>
      <c r="AE16" s="294">
        <v>0.33500000000000002</v>
      </c>
      <c r="AF16" s="294">
        <v>0.33500000000000002</v>
      </c>
      <c r="AG16" s="294">
        <v>0.33</v>
      </c>
      <c r="AH16" s="296">
        <v>0.33</v>
      </c>
      <c r="AI16" s="294">
        <v>0.33</v>
      </c>
      <c r="AJ16" s="294">
        <v>0.33</v>
      </c>
      <c r="AK16" s="294">
        <v>0.33</v>
      </c>
      <c r="AL16" s="294">
        <v>0.33</v>
      </c>
      <c r="AM16" s="294">
        <v>0.32500000000000001</v>
      </c>
      <c r="AN16" s="294">
        <v>0.32500000000000001</v>
      </c>
      <c r="AO16" s="294">
        <v>0.32500000000000001</v>
      </c>
      <c r="AP16" s="294">
        <v>0.32</v>
      </c>
      <c r="AQ16" s="294">
        <v>0.32</v>
      </c>
      <c r="AR16" s="294">
        <v>0.32</v>
      </c>
      <c r="AS16" s="294">
        <v>0.33734199999999998</v>
      </c>
      <c r="AT16" s="294">
        <v>0.33734199999999998</v>
      </c>
    </row>
    <row r="17" spans="2:46" x14ac:dyDescent="0.35"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pans="2:46" x14ac:dyDescent="0.35">
      <c r="B18" s="578" t="s">
        <v>456</v>
      </c>
      <c r="C18" s="164" t="s">
        <v>289</v>
      </c>
      <c r="D18" s="164" t="s">
        <v>290</v>
      </c>
      <c r="E18" s="164" t="s">
        <v>291</v>
      </c>
      <c r="F18" s="164" t="s">
        <v>292</v>
      </c>
      <c r="G18" s="164" t="s">
        <v>293</v>
      </c>
      <c r="H18" s="164" t="s">
        <v>294</v>
      </c>
      <c r="I18" s="164" t="s">
        <v>295</v>
      </c>
      <c r="J18" s="164" t="s">
        <v>296</v>
      </c>
      <c r="K18" s="164" t="s">
        <v>297</v>
      </c>
      <c r="L18" s="164" t="s">
        <v>298</v>
      </c>
      <c r="M18" s="164" t="s">
        <v>299</v>
      </c>
      <c r="N18" s="164" t="s">
        <v>300</v>
      </c>
      <c r="O18" s="164" t="s">
        <v>301</v>
      </c>
      <c r="P18" s="164" t="s">
        <v>302</v>
      </c>
      <c r="Q18" s="164" t="s">
        <v>303</v>
      </c>
      <c r="R18" s="164" t="s">
        <v>304</v>
      </c>
      <c r="S18" s="164" t="s">
        <v>57</v>
      </c>
      <c r="T18" s="164" t="s">
        <v>58</v>
      </c>
      <c r="U18" s="164" t="s">
        <v>59</v>
      </c>
      <c r="V18" s="164" t="s">
        <v>60</v>
      </c>
      <c r="W18" s="164" t="s">
        <v>61</v>
      </c>
      <c r="X18" s="164" t="s">
        <v>62</v>
      </c>
      <c r="Y18" s="164" t="s">
        <v>63</v>
      </c>
      <c r="Z18" s="164" t="s">
        <v>64</v>
      </c>
      <c r="AA18" s="164" t="str">
        <f t="shared" ref="AA18:AO18" si="1">AA12</f>
        <v>1T19</v>
      </c>
      <c r="AB18" s="164" t="str">
        <f t="shared" si="1"/>
        <v>2T19</v>
      </c>
      <c r="AC18" s="164" t="str">
        <f t="shared" si="1"/>
        <v>3T19</v>
      </c>
      <c r="AD18" s="164" t="str">
        <f t="shared" si="1"/>
        <v>4T19</v>
      </c>
      <c r="AE18" s="164" t="str">
        <f t="shared" si="1"/>
        <v>1T20</v>
      </c>
      <c r="AF18" s="164" t="str">
        <f t="shared" si="1"/>
        <v>2T20</v>
      </c>
      <c r="AG18" s="164" t="str">
        <f t="shared" si="1"/>
        <v>3T20</v>
      </c>
      <c r="AH18" s="164" t="str">
        <f t="shared" si="1"/>
        <v>4T20</v>
      </c>
      <c r="AI18" s="164" t="str">
        <f t="shared" si="1"/>
        <v>1T21</v>
      </c>
      <c r="AJ18" s="164" t="str">
        <f t="shared" si="1"/>
        <v>2T21</v>
      </c>
      <c r="AK18" s="164" t="str">
        <f t="shared" si="1"/>
        <v>3T21</v>
      </c>
      <c r="AL18" s="164" t="str">
        <f t="shared" si="1"/>
        <v>4T21</v>
      </c>
      <c r="AM18" s="164" t="str">
        <f t="shared" si="1"/>
        <v>1T22</v>
      </c>
      <c r="AN18" s="164" t="str">
        <f t="shared" si="1"/>
        <v>2T22</v>
      </c>
      <c r="AO18" s="164" t="str">
        <f t="shared" si="1"/>
        <v>3T22</v>
      </c>
      <c r="AP18" s="164" t="str">
        <f>AP12</f>
        <v>4T22</v>
      </c>
      <c r="AQ18" s="164" t="str">
        <f>AQ12</f>
        <v>1T23</v>
      </c>
      <c r="AR18" s="164" t="str">
        <f>AR12</f>
        <v>2T23</v>
      </c>
      <c r="AS18" s="164" t="str">
        <f>AS12</f>
        <v>3T23</v>
      </c>
      <c r="AT18" s="164" t="str">
        <f>AT12</f>
        <v>4T23</v>
      </c>
    </row>
    <row r="19" spans="2:46" x14ac:dyDescent="0.35">
      <c r="B19" s="37" t="s">
        <v>451</v>
      </c>
      <c r="C19" s="294"/>
      <c r="D19" s="294"/>
      <c r="E19" s="294">
        <v>0.30141007230531625</v>
      </c>
      <c r="F19" s="294">
        <v>0.29949758185187503</v>
      </c>
      <c r="G19" s="294">
        <v>0.28960293952991201</v>
      </c>
      <c r="H19" s="294">
        <v>0.29182094924008273</v>
      </c>
      <c r="I19" s="294">
        <v>0.2896071265568757</v>
      </c>
      <c r="J19" s="294">
        <v>0.29297258221127598</v>
      </c>
      <c r="K19" s="294">
        <v>0.29609154938967863</v>
      </c>
      <c r="L19" s="294">
        <v>0.2945710211449748</v>
      </c>
      <c r="M19" s="294">
        <v>0.29961878852996893</v>
      </c>
      <c r="N19" s="294">
        <v>0.30483985584789891</v>
      </c>
      <c r="O19" s="294">
        <v>0.30929247612883248</v>
      </c>
      <c r="P19" s="294">
        <v>0.31239668236310164</v>
      </c>
      <c r="Q19" s="294">
        <v>0.31076671194462818</v>
      </c>
      <c r="R19" s="294">
        <v>0.30672511503235733</v>
      </c>
      <c r="S19" s="294">
        <v>0.29964618364199114</v>
      </c>
      <c r="T19" s="294">
        <v>0.29303535952935117</v>
      </c>
      <c r="U19" s="294">
        <v>0.28846690741001885</v>
      </c>
      <c r="V19" s="294">
        <v>0.28030713388356315</v>
      </c>
      <c r="W19" s="294">
        <v>0.2736683101408976</v>
      </c>
      <c r="X19" s="294">
        <v>0.26889417345754468</v>
      </c>
      <c r="Y19" s="294">
        <v>0.26406811468501867</v>
      </c>
      <c r="Z19" s="294">
        <v>0.28069007450577588</v>
      </c>
      <c r="AA19" s="294">
        <v>0.28170191454485716</v>
      </c>
      <c r="AB19" s="294">
        <v>0.27776649521931346</v>
      </c>
      <c r="AC19" s="294">
        <v>0.27484187119753822</v>
      </c>
      <c r="AD19" s="294">
        <v>0.24299999999999999</v>
      </c>
      <c r="AE19" s="294">
        <v>0.23256545235711668</v>
      </c>
      <c r="AF19" s="295">
        <v>0.22922413424990606</v>
      </c>
      <c r="AG19" s="295">
        <v>0.22514454512024679</v>
      </c>
      <c r="AH19" s="295">
        <v>0.21549019482196458</v>
      </c>
      <c r="AI19" s="295">
        <v>0.21313403874320311</v>
      </c>
      <c r="AJ19" s="295">
        <v>0.20609160491894551</v>
      </c>
      <c r="AK19" s="295">
        <v>0.19667770311760169</v>
      </c>
      <c r="AL19" s="295">
        <v>0.19693734444602462</v>
      </c>
      <c r="AM19" s="295">
        <v>0.19380809634378604</v>
      </c>
      <c r="AN19" s="295">
        <v>0.18930587565017043</v>
      </c>
      <c r="AO19" s="295">
        <v>0.18477400066131688</v>
      </c>
      <c r="AP19" s="295">
        <v>0.18177181227493033</v>
      </c>
      <c r="AQ19" s="295">
        <v>0.18185813573096332</v>
      </c>
      <c r="AR19" s="295">
        <v>0.18183104402854067</v>
      </c>
      <c r="AS19" s="295">
        <v>0.18049072329469829</v>
      </c>
      <c r="AT19" s="295">
        <v>0.18197447340868145</v>
      </c>
    </row>
    <row r="20" spans="2:46" x14ac:dyDescent="0.35">
      <c r="B20" s="37" t="s">
        <v>452</v>
      </c>
      <c r="C20" s="294"/>
      <c r="D20" s="294"/>
      <c r="E20" s="294">
        <v>0.2213</v>
      </c>
      <c r="F20" s="294">
        <v>0.2213</v>
      </c>
      <c r="G20" s="294">
        <v>0.2213</v>
      </c>
      <c r="H20" s="294">
        <v>0.2213</v>
      </c>
      <c r="I20" s="294">
        <v>0.21529999999999999</v>
      </c>
      <c r="J20" s="294">
        <v>0.21529999999999999</v>
      </c>
      <c r="K20" s="294">
        <v>0.21529999999999999</v>
      </c>
      <c r="L20" s="294">
        <v>0.21529999999999999</v>
      </c>
      <c r="M20" s="294">
        <v>0.21010000000000001</v>
      </c>
      <c r="N20" s="294">
        <v>0.21010000000000001</v>
      </c>
      <c r="O20" s="294">
        <v>0.21010000000000001</v>
      </c>
      <c r="P20" s="294">
        <v>0.21010000000000001</v>
      </c>
      <c r="Q20" s="294">
        <v>0.2019</v>
      </c>
      <c r="R20" s="294">
        <v>0.2019</v>
      </c>
      <c r="S20" s="294">
        <v>0.2019</v>
      </c>
      <c r="T20" s="294">
        <v>0.2019</v>
      </c>
      <c r="U20" s="294">
        <v>0.25981223788808383</v>
      </c>
      <c r="V20" s="294">
        <v>0.25981223788808383</v>
      </c>
      <c r="W20" s="294">
        <v>0.25981223788808383</v>
      </c>
      <c r="X20" s="294">
        <v>0.25981223788808383</v>
      </c>
      <c r="Y20" s="294">
        <v>0.25981223788808383</v>
      </c>
      <c r="Z20" s="294">
        <v>0.20288126851930299</v>
      </c>
      <c r="AA20" s="294">
        <v>0.20288126851930299</v>
      </c>
      <c r="AB20" s="294">
        <v>0.20288126851930299</v>
      </c>
      <c r="AC20" s="294">
        <v>0.20288126851930299</v>
      </c>
      <c r="AD20" s="294">
        <v>0.20288126851930299</v>
      </c>
      <c r="AE20" s="294">
        <v>0.20288126851930299</v>
      </c>
      <c r="AF20" s="294">
        <v>0.20288126851930299</v>
      </c>
      <c r="AG20" s="294">
        <v>0.20288126851930299</v>
      </c>
      <c r="AH20" s="296">
        <v>0.20485603270165514</v>
      </c>
      <c r="AI20" s="294">
        <v>0.20485603270165514</v>
      </c>
      <c r="AJ20" s="294">
        <v>0.20485603270165501</v>
      </c>
      <c r="AK20" s="294">
        <v>0.20485603270165514</v>
      </c>
      <c r="AL20" s="294">
        <v>0.20421353004874881</v>
      </c>
      <c r="AM20" s="294">
        <v>0.20421353004874881</v>
      </c>
      <c r="AN20" s="294">
        <v>0.20421353004874881</v>
      </c>
      <c r="AO20" s="294">
        <v>0.20421353004874881</v>
      </c>
      <c r="AP20" s="294">
        <v>0.2034914622664506</v>
      </c>
      <c r="AQ20" s="294">
        <v>0.2034914622664506</v>
      </c>
      <c r="AR20" s="294">
        <v>0.2034914622664506</v>
      </c>
      <c r="AS20" s="294">
        <v>0.2034914622664506</v>
      </c>
      <c r="AT20" s="294">
        <v>0.19598378853520299</v>
      </c>
    </row>
    <row r="21" spans="2:46" x14ac:dyDescent="0.35">
      <c r="B21" s="37" t="s">
        <v>453</v>
      </c>
      <c r="C21" s="294"/>
      <c r="D21" s="294"/>
      <c r="E21" s="294">
        <v>0.36222984019600052</v>
      </c>
      <c r="F21" s="294">
        <v>0.35587286403632534</v>
      </c>
      <c r="G21" s="294">
        <v>0.3312273407908024</v>
      </c>
      <c r="H21" s="294">
        <v>0.33644764559293949</v>
      </c>
      <c r="I21" s="294">
        <v>0.33233217911324825</v>
      </c>
      <c r="J21" s="294">
        <v>0.34166104802148706</v>
      </c>
      <c r="K21" s="294">
        <v>0.34945774346871417</v>
      </c>
      <c r="L21" s="294">
        <v>0.3452573331718265</v>
      </c>
      <c r="M21" s="294">
        <v>0.35614685255363576</v>
      </c>
      <c r="N21" s="294">
        <v>0.36865351548488096</v>
      </c>
      <c r="O21" s="294">
        <v>0.38023244231472936</v>
      </c>
      <c r="P21" s="294">
        <v>0.38760313319825312</v>
      </c>
      <c r="Q21" s="294">
        <v>0.38214862850597858</v>
      </c>
      <c r="R21" s="294">
        <v>0.37038021476451594</v>
      </c>
      <c r="S21" s="294">
        <v>0.350994788660003</v>
      </c>
      <c r="T21" s="294">
        <v>0.33344571498695841</v>
      </c>
      <c r="U21" s="294">
        <v>0.32163292347238576</v>
      </c>
      <c r="V21" s="294">
        <v>0.30179421042624655</v>
      </c>
      <c r="W21" s="294">
        <v>0.28604813280676855</v>
      </c>
      <c r="X21" s="294">
        <v>0.2758255824619591</v>
      </c>
      <c r="Y21" s="294">
        <v>0.26514482384042448</v>
      </c>
      <c r="Z21" s="294">
        <v>0.30575711362897223</v>
      </c>
      <c r="AA21" s="294">
        <v>0.307937780859737</v>
      </c>
      <c r="AB21" s="294">
        <v>0.29813752328027887</v>
      </c>
      <c r="AC21" s="294">
        <v>0.29164794502299618</v>
      </c>
      <c r="AD21" s="294">
        <v>0.21779999999999999</v>
      </c>
      <c r="AE21" s="294">
        <v>0.19547693190668683</v>
      </c>
      <c r="AF21" s="295">
        <v>0.1865433542143746</v>
      </c>
      <c r="AG21" s="295">
        <v>0.1772711078043466</v>
      </c>
      <c r="AH21" s="295">
        <v>0.15786214256812206</v>
      </c>
      <c r="AI21" s="295">
        <v>0.15321182950483353</v>
      </c>
      <c r="AJ21" s="295">
        <v>0.14115483488669595</v>
      </c>
      <c r="AK21" s="295">
        <v>0.12417220814704709</v>
      </c>
      <c r="AL21" s="295">
        <v>0.12525654869529193</v>
      </c>
      <c r="AM21" s="295">
        <v>0.11993877109796591</v>
      </c>
      <c r="AN21" s="295">
        <v>0.11200635047447172</v>
      </c>
      <c r="AO21" s="295">
        <v>0.10398306697273095</v>
      </c>
      <c r="AP21" s="295">
        <v>9.8543297796486601E-2</v>
      </c>
      <c r="AQ21" s="295">
        <v>9.8611056086851473E-2</v>
      </c>
      <c r="AR21" s="295">
        <v>9.8345697497714629E-2</v>
      </c>
      <c r="AS21" s="295">
        <v>9.5581019010923585E-2</v>
      </c>
      <c r="AT21" s="295">
        <v>9.7933847456764839E-2</v>
      </c>
    </row>
    <row r="22" spans="2:46" x14ac:dyDescent="0.35">
      <c r="B22" s="37" t="s">
        <v>454</v>
      </c>
      <c r="C22" s="294"/>
      <c r="D22" s="294"/>
      <c r="E22" s="294">
        <v>0.18129999999999999</v>
      </c>
      <c r="F22" s="294">
        <v>0.18129999999999999</v>
      </c>
      <c r="G22" s="294">
        <v>0.18129999999999999</v>
      </c>
      <c r="H22" s="294">
        <v>0.18129999999999999</v>
      </c>
      <c r="I22" s="294">
        <v>0.1673</v>
      </c>
      <c r="J22" s="294">
        <v>0.1673</v>
      </c>
      <c r="K22" s="294">
        <v>0.1673</v>
      </c>
      <c r="L22" s="294">
        <v>0.1673</v>
      </c>
      <c r="M22" s="294">
        <v>0.15329999999999999</v>
      </c>
      <c r="N22" s="294">
        <v>0.15329999999999999</v>
      </c>
      <c r="O22" s="294">
        <v>0.15329999999999999</v>
      </c>
      <c r="P22" s="294">
        <v>0.15329999999999999</v>
      </c>
      <c r="Q22" s="294">
        <v>0.13930000000000001</v>
      </c>
      <c r="R22" s="294">
        <v>0.13930000000000001</v>
      </c>
      <c r="S22" s="294">
        <v>0.13930000000000001</v>
      </c>
      <c r="T22" s="294">
        <v>0.13930000000000001</v>
      </c>
      <c r="U22" s="294">
        <v>0.25409999999999999</v>
      </c>
      <c r="V22" s="294">
        <v>0.25409999999999999</v>
      </c>
      <c r="W22" s="294">
        <v>0.25409999999999999</v>
      </c>
      <c r="X22" s="294">
        <v>0.25409999999999999</v>
      </c>
      <c r="Y22" s="294">
        <v>0.25409999999999999</v>
      </c>
      <c r="Z22" s="294">
        <v>0.13930000000000001</v>
      </c>
      <c r="AA22" s="294">
        <v>0.13930000000000001</v>
      </c>
      <c r="AB22" s="294">
        <v>0.13930000000000001</v>
      </c>
      <c r="AC22" s="294">
        <v>0.13930000000000001</v>
      </c>
      <c r="AD22" s="294">
        <v>0.13930000000000001</v>
      </c>
      <c r="AE22" s="294">
        <v>0.13930000000000001</v>
      </c>
      <c r="AF22" s="294">
        <v>0.13930000000000001</v>
      </c>
      <c r="AG22" s="294">
        <v>0.13930000000000001</v>
      </c>
      <c r="AH22" s="296">
        <v>0.13930000000000001</v>
      </c>
      <c r="AI22" s="294">
        <v>0.13930000000000001</v>
      </c>
      <c r="AJ22" s="294">
        <v>0.13930000000000001</v>
      </c>
      <c r="AK22" s="294">
        <v>0.13930000000000001</v>
      </c>
      <c r="AL22" s="294">
        <v>0.13930000000000001</v>
      </c>
      <c r="AM22" s="294">
        <v>0.13930000000000001</v>
      </c>
      <c r="AN22" s="294">
        <v>0.13930000000000001</v>
      </c>
      <c r="AO22" s="294">
        <v>0.13930000000000001</v>
      </c>
      <c r="AP22" s="294">
        <v>0.13930000000000001</v>
      </c>
      <c r="AQ22" s="294">
        <v>0.13930000000000001</v>
      </c>
      <c r="AR22" s="294">
        <v>0.13930000000000001</v>
      </c>
      <c r="AS22" s="294">
        <v>0.13930000000000001</v>
      </c>
      <c r="AT22" s="294">
        <v>0.12709999999999999</v>
      </c>
    </row>
    <row r="24" spans="2:46" x14ac:dyDescent="0.35">
      <c r="B24" s="578" t="s">
        <v>457</v>
      </c>
      <c r="C24" s="164" t="s">
        <v>289</v>
      </c>
      <c r="D24" s="164" t="s">
        <v>290</v>
      </c>
      <c r="E24" s="164" t="s">
        <v>291</v>
      </c>
      <c r="F24" s="164" t="s">
        <v>292</v>
      </c>
      <c r="G24" s="164" t="s">
        <v>293</v>
      </c>
      <c r="H24" s="164" t="s">
        <v>294</v>
      </c>
      <c r="I24" s="164" t="s">
        <v>295</v>
      </c>
      <c r="J24" s="164" t="s">
        <v>296</v>
      </c>
      <c r="K24" s="164" t="s">
        <v>297</v>
      </c>
      <c r="L24" s="164" t="s">
        <v>298</v>
      </c>
      <c r="M24" s="164" t="s">
        <v>299</v>
      </c>
      <c r="N24" s="164" t="s">
        <v>300</v>
      </c>
      <c r="O24" s="164" t="s">
        <v>301</v>
      </c>
      <c r="P24" s="164" t="s">
        <v>302</v>
      </c>
      <c r="Q24" s="164" t="s">
        <v>303</v>
      </c>
      <c r="R24" s="164" t="s">
        <v>304</v>
      </c>
      <c r="S24" s="164" t="s">
        <v>57</v>
      </c>
      <c r="T24" s="164" t="s">
        <v>58</v>
      </c>
      <c r="U24" s="164" t="s">
        <v>59</v>
      </c>
      <c r="V24" s="164" t="s">
        <v>60</v>
      </c>
      <c r="W24" s="164" t="s">
        <v>61</v>
      </c>
      <c r="X24" s="164" t="s">
        <v>62</v>
      </c>
      <c r="Y24" s="164" t="s">
        <v>63</v>
      </c>
      <c r="Z24" s="164" t="s">
        <v>64</v>
      </c>
      <c r="AA24" s="164" t="str">
        <f t="shared" ref="AA24:AO24" si="2">AA18</f>
        <v>1T19</v>
      </c>
      <c r="AB24" s="164" t="str">
        <f t="shared" si="2"/>
        <v>2T19</v>
      </c>
      <c r="AC24" s="164" t="str">
        <f t="shared" si="2"/>
        <v>3T19</v>
      </c>
      <c r="AD24" s="164" t="str">
        <f t="shared" si="2"/>
        <v>4T19</v>
      </c>
      <c r="AE24" s="164" t="str">
        <f t="shared" si="2"/>
        <v>1T20</v>
      </c>
      <c r="AF24" s="164" t="str">
        <f t="shared" si="2"/>
        <v>2T20</v>
      </c>
      <c r="AG24" s="164" t="str">
        <f t="shared" si="2"/>
        <v>3T20</v>
      </c>
      <c r="AH24" s="164" t="str">
        <f t="shared" si="2"/>
        <v>4T20</v>
      </c>
      <c r="AI24" s="164" t="str">
        <f t="shared" si="2"/>
        <v>1T21</v>
      </c>
      <c r="AJ24" s="164" t="str">
        <f t="shared" si="2"/>
        <v>2T21</v>
      </c>
      <c r="AK24" s="164" t="str">
        <f t="shared" si="2"/>
        <v>3T21</v>
      </c>
      <c r="AL24" s="164" t="str">
        <f t="shared" si="2"/>
        <v>4T21</v>
      </c>
      <c r="AM24" s="164" t="str">
        <f t="shared" si="2"/>
        <v>1T22</v>
      </c>
      <c r="AN24" s="164" t="str">
        <f t="shared" si="2"/>
        <v>2T22</v>
      </c>
      <c r="AO24" s="164" t="str">
        <f t="shared" si="2"/>
        <v>3T22</v>
      </c>
      <c r="AP24" s="164" t="str">
        <f>AP18</f>
        <v>4T22</v>
      </c>
      <c r="AQ24" s="164" t="str">
        <f>AQ18</f>
        <v>1T23</v>
      </c>
      <c r="AR24" s="164" t="str">
        <f>AR18</f>
        <v>2T23</v>
      </c>
      <c r="AS24" s="164" t="str">
        <f>AS18</f>
        <v>3T23</v>
      </c>
      <c r="AT24" s="164" t="str">
        <f>AT18</f>
        <v>4T23</v>
      </c>
    </row>
    <row r="25" spans="2:46" x14ac:dyDescent="0.35">
      <c r="B25" s="37" t="s">
        <v>451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>
        <v>0.23014268551924277</v>
      </c>
      <c r="X25" s="294">
        <v>0.23890404936264131</v>
      </c>
      <c r="Y25" s="294">
        <v>0.2373466098374799</v>
      </c>
      <c r="Z25" s="294">
        <v>0.239021564980889</v>
      </c>
      <c r="AA25" s="294">
        <v>0.24500393941676157</v>
      </c>
      <c r="AB25" s="294">
        <v>0.30693163811751312</v>
      </c>
      <c r="AC25" s="294">
        <v>0.3098664645463306</v>
      </c>
      <c r="AD25" s="294">
        <v>0.30209999999999998</v>
      </c>
      <c r="AE25" s="294">
        <v>0.29779601594002059</v>
      </c>
      <c r="AF25" s="295">
        <v>0.24021571791976315</v>
      </c>
      <c r="AG25" s="295">
        <v>0.23758871733555367</v>
      </c>
      <c r="AH25" s="295">
        <v>0.2358830790055868</v>
      </c>
      <c r="AI25" s="295">
        <v>0.23103655178375798</v>
      </c>
      <c r="AJ25" s="295">
        <v>0.22503811046633138</v>
      </c>
      <c r="AK25" s="295">
        <v>0.2224545244126156</v>
      </c>
      <c r="AL25" s="295">
        <v>0.22253362560295464</v>
      </c>
      <c r="AM25" s="295">
        <v>0.21973697987147145</v>
      </c>
      <c r="AN25" s="295">
        <v>0.21712836684038728</v>
      </c>
      <c r="AO25" s="295">
        <v>0.20681894015329527</v>
      </c>
      <c r="AP25" s="295">
        <v>0.20045066144389501</v>
      </c>
      <c r="AQ25" s="295">
        <v>0.19198287061911901</v>
      </c>
      <c r="AR25" s="295">
        <v>0.18309753991261701</v>
      </c>
      <c r="AS25" s="295">
        <v>0.18624141570651731</v>
      </c>
      <c r="AT25" s="295">
        <v>0.1847667616409614</v>
      </c>
    </row>
    <row r="26" spans="2:46" x14ac:dyDescent="0.35">
      <c r="B26" s="37" t="s">
        <v>452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>
        <v>0.22879762612814314</v>
      </c>
      <c r="X26" s="294">
        <v>0.22879762612814314</v>
      </c>
      <c r="Y26" s="294">
        <v>0.23119999999999999</v>
      </c>
      <c r="Z26" s="294">
        <v>0.23119999999999999</v>
      </c>
      <c r="AA26" s="294">
        <v>0.23119999999999999</v>
      </c>
      <c r="AB26" s="294">
        <v>0.20803092413260313</v>
      </c>
      <c r="AC26" s="294">
        <v>0.20803092413260313</v>
      </c>
      <c r="AD26" s="294">
        <v>0.20803092413260313</v>
      </c>
      <c r="AE26" s="294">
        <v>0.20803092413260313</v>
      </c>
      <c r="AF26" s="294">
        <v>0.20803092413260313</v>
      </c>
      <c r="AG26" s="294">
        <v>0.20793517770619671</v>
      </c>
      <c r="AH26" s="296">
        <v>0.20793517770619671</v>
      </c>
      <c r="AI26" s="294">
        <v>0.20793517770619671</v>
      </c>
      <c r="AJ26" s="294">
        <v>0.20793517770619671</v>
      </c>
      <c r="AK26" s="294">
        <v>0.20793517770619671</v>
      </c>
      <c r="AL26" s="294">
        <v>0.20978821101463971</v>
      </c>
      <c r="AM26" s="294">
        <v>0.20978821101463971</v>
      </c>
      <c r="AN26" s="294">
        <v>0.20899999999999999</v>
      </c>
      <c r="AO26" s="294">
        <v>0.20910720621126058</v>
      </c>
      <c r="AP26" s="294">
        <v>0.21049999999999999</v>
      </c>
      <c r="AQ26" s="294">
        <v>0.21049999999999999</v>
      </c>
      <c r="AR26" s="294">
        <v>0.21049999999999999</v>
      </c>
      <c r="AS26" s="294">
        <v>0.21282947839319807</v>
      </c>
      <c r="AT26" s="294">
        <v>0.21282947839319807</v>
      </c>
    </row>
    <row r="27" spans="2:46" x14ac:dyDescent="0.35">
      <c r="B27" s="37" t="s">
        <v>453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>
        <v>0.2654743151742231</v>
      </c>
      <c r="X27" s="294">
        <v>0.28888651252247011</v>
      </c>
      <c r="Y27" s="294">
        <v>0.29010607263450727</v>
      </c>
      <c r="Z27" s="294">
        <v>0.29707136355665453</v>
      </c>
      <c r="AA27" s="294">
        <v>0.31278489929233805</v>
      </c>
      <c r="AB27" s="294">
        <v>0.51611976292249429</v>
      </c>
      <c r="AC27" s="294">
        <v>0.52626836787395448</v>
      </c>
      <c r="AD27" s="294">
        <v>0.49880000000000002</v>
      </c>
      <c r="AE27" s="294">
        <v>0.48519774646050379</v>
      </c>
      <c r="AF27" s="295">
        <v>0.29606881353602432</v>
      </c>
      <c r="AG27" s="295">
        <v>0.28920285882609059</v>
      </c>
      <c r="AH27" s="295">
        <v>0.28235279016604176</v>
      </c>
      <c r="AI27" s="295">
        <v>0.26989041170202666</v>
      </c>
      <c r="AJ27" s="295">
        <v>0.25600257123989317</v>
      </c>
      <c r="AK27" s="295">
        <v>0.24887388103237681</v>
      </c>
      <c r="AL27" s="295">
        <v>0.24912648911861243</v>
      </c>
      <c r="AM27" s="295">
        <v>0.24085629800696248</v>
      </c>
      <c r="AN27" s="295">
        <v>0.23494081034876238</v>
      </c>
      <c r="AO27" s="295">
        <v>0.21022972988988226</v>
      </c>
      <c r="AP27" s="295">
        <v>0.19469015910808904</v>
      </c>
      <c r="AQ27" s="295">
        <v>0.17516993581605925</v>
      </c>
      <c r="AR27" s="295">
        <v>0.15495700592232278</v>
      </c>
      <c r="AS27" s="295">
        <v>0.16211699917882164</v>
      </c>
      <c r="AT27" s="295">
        <v>0.15898874749018335</v>
      </c>
    </row>
    <row r="28" spans="2:46" x14ac:dyDescent="0.35">
      <c r="B28" s="37" t="s">
        <v>454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>
        <v>0.27200000000000002</v>
      </c>
      <c r="X28" s="294">
        <v>0.27200000000000002</v>
      </c>
      <c r="Y28" s="294">
        <v>0.27200000000000002</v>
      </c>
      <c r="Z28" s="294">
        <v>0.27200000000000002</v>
      </c>
      <c r="AA28" s="294">
        <v>0.27200000000000002</v>
      </c>
      <c r="AB28" s="294">
        <v>0.2195</v>
      </c>
      <c r="AC28" s="294">
        <v>0.2195</v>
      </c>
      <c r="AD28" s="294">
        <v>0.2195</v>
      </c>
      <c r="AE28" s="294">
        <v>0.2195</v>
      </c>
      <c r="AF28" s="294">
        <v>0.2195</v>
      </c>
      <c r="AG28" s="294">
        <v>0.2195</v>
      </c>
      <c r="AH28" s="296">
        <v>0.2195</v>
      </c>
      <c r="AI28" s="294">
        <v>0.2195</v>
      </c>
      <c r="AJ28" s="294">
        <v>0.2195</v>
      </c>
      <c r="AK28" s="294">
        <v>0.2195</v>
      </c>
      <c r="AL28" s="294">
        <v>0.2195</v>
      </c>
      <c r="AM28" s="294">
        <v>0.2195</v>
      </c>
      <c r="AN28" s="294">
        <v>0.2195</v>
      </c>
      <c r="AO28" s="294">
        <v>0.2195</v>
      </c>
      <c r="AP28" s="294">
        <v>0.2195</v>
      </c>
      <c r="AQ28" s="294">
        <v>0.2195</v>
      </c>
      <c r="AR28" s="294">
        <v>0.2195</v>
      </c>
      <c r="AS28" s="294">
        <v>0.2195</v>
      </c>
      <c r="AT28" s="294">
        <v>0.2195</v>
      </c>
    </row>
    <row r="30" spans="2:46" x14ac:dyDescent="0.35">
      <c r="B30" s="578" t="s">
        <v>458</v>
      </c>
      <c r="C30" s="164" t="s">
        <v>289</v>
      </c>
      <c r="D30" s="164" t="s">
        <v>290</v>
      </c>
      <c r="E30" s="164" t="s">
        <v>291</v>
      </c>
      <c r="F30" s="164" t="s">
        <v>292</v>
      </c>
      <c r="G30" s="164" t="s">
        <v>293</v>
      </c>
      <c r="H30" s="164" t="s">
        <v>294</v>
      </c>
      <c r="I30" s="164" t="s">
        <v>295</v>
      </c>
      <c r="J30" s="164" t="s">
        <v>296</v>
      </c>
      <c r="K30" s="164" t="s">
        <v>297</v>
      </c>
      <c r="L30" s="164" t="s">
        <v>298</v>
      </c>
      <c r="M30" s="164" t="s">
        <v>299</v>
      </c>
      <c r="N30" s="164" t="s">
        <v>300</v>
      </c>
      <c r="O30" s="164" t="s">
        <v>301</v>
      </c>
      <c r="P30" s="164" t="s">
        <v>302</v>
      </c>
      <c r="Q30" s="164" t="s">
        <v>303</v>
      </c>
      <c r="R30" s="164" t="s">
        <v>304</v>
      </c>
      <c r="S30" s="164" t="s">
        <v>57</v>
      </c>
      <c r="T30" s="164" t="s">
        <v>58</v>
      </c>
      <c r="U30" s="164" t="s">
        <v>59</v>
      </c>
      <c r="V30" s="164" t="s">
        <v>60</v>
      </c>
      <c r="W30" s="164" t="s">
        <v>61</v>
      </c>
      <c r="X30" s="164" t="s">
        <v>62</v>
      </c>
      <c r="Y30" s="164" t="s">
        <v>63</v>
      </c>
      <c r="Z30" s="164" t="s">
        <v>64</v>
      </c>
      <c r="AA30" s="164" t="str">
        <f t="shared" ref="AA30:AO30" si="3">AA24</f>
        <v>1T19</v>
      </c>
      <c r="AB30" s="164" t="str">
        <f t="shared" si="3"/>
        <v>2T19</v>
      </c>
      <c r="AC30" s="164" t="str">
        <f t="shared" si="3"/>
        <v>3T19</v>
      </c>
      <c r="AD30" s="164" t="str">
        <f t="shared" si="3"/>
        <v>4T19</v>
      </c>
      <c r="AE30" s="164" t="str">
        <f t="shared" si="3"/>
        <v>1T20</v>
      </c>
      <c r="AF30" s="164" t="str">
        <f t="shared" si="3"/>
        <v>2T20</v>
      </c>
      <c r="AG30" s="164" t="str">
        <f t="shared" si="3"/>
        <v>3T20</v>
      </c>
      <c r="AH30" s="164" t="str">
        <f t="shared" si="3"/>
        <v>4T20</v>
      </c>
      <c r="AI30" s="164" t="str">
        <f t="shared" si="3"/>
        <v>1T21</v>
      </c>
      <c r="AJ30" s="164" t="str">
        <f t="shared" si="3"/>
        <v>2T21</v>
      </c>
      <c r="AK30" s="164" t="str">
        <f t="shared" si="3"/>
        <v>3T21</v>
      </c>
      <c r="AL30" s="164" t="str">
        <f t="shared" si="3"/>
        <v>4T21</v>
      </c>
      <c r="AM30" s="164" t="str">
        <f t="shared" si="3"/>
        <v>1T22</v>
      </c>
      <c r="AN30" s="164" t="str">
        <f t="shared" si="3"/>
        <v>2T22</v>
      </c>
      <c r="AO30" s="164" t="str">
        <f t="shared" si="3"/>
        <v>3T22</v>
      </c>
      <c r="AP30" s="164" t="str">
        <f>AP24</f>
        <v>4T22</v>
      </c>
      <c r="AQ30" s="164" t="str">
        <f>AQ24</f>
        <v>1T23</v>
      </c>
      <c r="AR30" s="164" t="str">
        <f>AR24</f>
        <v>2T23</v>
      </c>
      <c r="AS30" s="164" t="str">
        <f>AS24</f>
        <v>3T23</v>
      </c>
      <c r="AT30" s="164" t="str">
        <f>AT24</f>
        <v>4T23</v>
      </c>
    </row>
    <row r="31" spans="2:46" x14ac:dyDescent="0.35">
      <c r="B31" s="37" t="s">
        <v>451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5"/>
      <c r="AG31" s="295"/>
      <c r="AH31" s="295">
        <v>0.1826976218266908</v>
      </c>
      <c r="AI31" s="295">
        <v>0.1854495904319633</v>
      </c>
      <c r="AJ31" s="295">
        <v>0.18387929460049746</v>
      </c>
      <c r="AK31" s="295">
        <v>0.19171001123547027</v>
      </c>
      <c r="AL31" s="295">
        <v>0.18615400565560747</v>
      </c>
      <c r="AM31" s="295">
        <v>0.18069692900858147</v>
      </c>
      <c r="AN31" s="295">
        <v>0.18452679550385975</v>
      </c>
      <c r="AO31" s="295">
        <v>0.1696711966377682</v>
      </c>
      <c r="AP31" s="295">
        <v>0.15897120562464717</v>
      </c>
      <c r="AQ31" s="295">
        <v>0.1567322205492816</v>
      </c>
      <c r="AR31" s="295">
        <v>0.13967377635858003</v>
      </c>
      <c r="AS31" s="295">
        <v>0.13379557671031084</v>
      </c>
      <c r="AT31" s="295">
        <v>0.12831799696181478</v>
      </c>
    </row>
    <row r="32" spans="2:46" x14ac:dyDescent="0.35">
      <c r="B32" s="37" t="s">
        <v>452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6">
        <v>9.9400000000000002E-2</v>
      </c>
      <c r="AI32" s="294">
        <v>9.9400000000000002E-2</v>
      </c>
      <c r="AJ32" s="294">
        <v>9.9400000000000002E-2</v>
      </c>
      <c r="AK32" s="294">
        <v>9.9400000000000002E-2</v>
      </c>
      <c r="AL32" s="294">
        <v>0.11077899086572175</v>
      </c>
      <c r="AM32" s="294">
        <v>0.11077899086572175</v>
      </c>
      <c r="AN32" s="294">
        <v>0.11077899086572175</v>
      </c>
      <c r="AO32" s="294">
        <v>0.11019476206587468</v>
      </c>
      <c r="AP32" s="294">
        <v>0.11021060778668797</v>
      </c>
      <c r="AQ32" s="294">
        <v>0.11021060778668797</v>
      </c>
      <c r="AR32" s="294">
        <v>0.11021060778668797</v>
      </c>
      <c r="AS32" s="294">
        <v>0.11021060778668797</v>
      </c>
      <c r="AT32" s="294">
        <v>0.11269999999999999</v>
      </c>
    </row>
    <row r="33" spans="2:46" x14ac:dyDescent="0.35">
      <c r="B33" s="37" t="s">
        <v>453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5"/>
      <c r="AG33" s="295"/>
      <c r="AH33" s="295">
        <v>0.24085126684510341</v>
      </c>
      <c r="AI33" s="295">
        <v>0.24654502244648471</v>
      </c>
      <c r="AJ33" s="295">
        <v>0.24399999999999999</v>
      </c>
      <c r="AK33" s="295">
        <v>0.27170257028324729</v>
      </c>
      <c r="AL33" s="295">
        <v>0.24708463639142639</v>
      </c>
      <c r="AM33" s="295">
        <v>0.23426003668350748</v>
      </c>
      <c r="AN33" s="295">
        <v>0.24468424578190245</v>
      </c>
      <c r="AO33" s="295">
        <v>0.20435771334940092</v>
      </c>
      <c r="AP33" s="295">
        <v>0.17938772953736451</v>
      </c>
      <c r="AQ33" s="295">
        <v>0.17301921922646588</v>
      </c>
      <c r="AR33" s="295">
        <v>0.13652270006511497</v>
      </c>
      <c r="AS33" s="295">
        <v>0.12432294031853258</v>
      </c>
      <c r="AT33" s="295">
        <v>0.11322579617036907</v>
      </c>
    </row>
    <row r="34" spans="2:46" x14ac:dyDescent="0.35">
      <c r="B34" s="37" t="s">
        <v>454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6">
        <v>7.0400000000000004E-2</v>
      </c>
      <c r="AI34" s="294">
        <v>7.0400000000000004E-2</v>
      </c>
      <c r="AJ34" s="294">
        <v>7.0400000000000004E-2</v>
      </c>
      <c r="AK34" s="294">
        <v>7.0400000000000004E-2</v>
      </c>
      <c r="AL34" s="294">
        <v>7.0400000000000004E-2</v>
      </c>
      <c r="AM34" s="294">
        <v>8.0349000000000004E-2</v>
      </c>
      <c r="AN34" s="294">
        <v>8.0349000000000004E-2</v>
      </c>
      <c r="AO34" s="294">
        <v>8.0349000000000004E-2</v>
      </c>
      <c r="AP34" s="294">
        <v>8.0349000000000004E-2</v>
      </c>
      <c r="AQ34" s="294">
        <v>8.0349000000000004E-2</v>
      </c>
      <c r="AR34" s="294">
        <v>8.0349000000000004E-2</v>
      </c>
      <c r="AS34" s="294">
        <v>8.0349000000000004E-2</v>
      </c>
      <c r="AT34" s="294">
        <v>8.0349000000000004E-2</v>
      </c>
    </row>
    <row r="36" spans="2:46" x14ac:dyDescent="0.35">
      <c r="B36" s="578" t="s">
        <v>459</v>
      </c>
      <c r="C36" s="164" t="s">
        <v>289</v>
      </c>
      <c r="D36" s="164" t="s">
        <v>290</v>
      </c>
      <c r="E36" s="164" t="s">
        <v>291</v>
      </c>
      <c r="F36" s="164" t="s">
        <v>292</v>
      </c>
      <c r="G36" s="164" t="s">
        <v>293</v>
      </c>
      <c r="H36" s="164" t="s">
        <v>294</v>
      </c>
      <c r="I36" s="164" t="s">
        <v>295</v>
      </c>
      <c r="J36" s="164" t="s">
        <v>296</v>
      </c>
      <c r="K36" s="164" t="s">
        <v>297</v>
      </c>
      <c r="L36" s="164" t="s">
        <v>298</v>
      </c>
      <c r="M36" s="164" t="s">
        <v>299</v>
      </c>
      <c r="N36" s="164" t="s">
        <v>300</v>
      </c>
      <c r="O36" s="164" t="s">
        <v>301</v>
      </c>
      <c r="P36" s="164" t="s">
        <v>302</v>
      </c>
      <c r="Q36" s="164" t="s">
        <v>303</v>
      </c>
      <c r="R36" s="164" t="s">
        <v>304</v>
      </c>
      <c r="S36" s="164" t="s">
        <v>57</v>
      </c>
      <c r="T36" s="164" t="s">
        <v>58</v>
      </c>
      <c r="U36" s="164" t="s">
        <v>59</v>
      </c>
      <c r="V36" s="164" t="s">
        <v>60</v>
      </c>
      <c r="W36" s="164" t="s">
        <v>61</v>
      </c>
      <c r="X36" s="164" t="s">
        <v>62</v>
      </c>
      <c r="Y36" s="164" t="s">
        <v>63</v>
      </c>
      <c r="Z36" s="164" t="s">
        <v>64</v>
      </c>
      <c r="AA36" s="164" t="str">
        <f t="shared" ref="AA36:AO36" si="4">AA30</f>
        <v>1T19</v>
      </c>
      <c r="AB36" s="164" t="str">
        <f t="shared" si="4"/>
        <v>2T19</v>
      </c>
      <c r="AC36" s="164" t="str">
        <f t="shared" si="4"/>
        <v>3T19</v>
      </c>
      <c r="AD36" s="164" t="str">
        <f t="shared" si="4"/>
        <v>4T19</v>
      </c>
      <c r="AE36" s="164" t="str">
        <f t="shared" si="4"/>
        <v>1T20</v>
      </c>
      <c r="AF36" s="164" t="str">
        <f t="shared" si="4"/>
        <v>2T20</v>
      </c>
      <c r="AG36" s="164" t="str">
        <f t="shared" si="4"/>
        <v>3T20</v>
      </c>
      <c r="AH36" s="164" t="str">
        <f t="shared" si="4"/>
        <v>4T20</v>
      </c>
      <c r="AI36" s="164" t="str">
        <f t="shared" si="4"/>
        <v>1T21</v>
      </c>
      <c r="AJ36" s="164" t="str">
        <f t="shared" si="4"/>
        <v>2T21</v>
      </c>
      <c r="AK36" s="164" t="str">
        <f t="shared" si="4"/>
        <v>3T21</v>
      </c>
      <c r="AL36" s="164" t="str">
        <f t="shared" si="4"/>
        <v>4T21</v>
      </c>
      <c r="AM36" s="164" t="str">
        <f t="shared" si="4"/>
        <v>1T22</v>
      </c>
      <c r="AN36" s="164" t="str">
        <f t="shared" si="4"/>
        <v>2T22</v>
      </c>
      <c r="AO36" s="164" t="str">
        <f t="shared" si="4"/>
        <v>3T22</v>
      </c>
      <c r="AP36" s="164" t="str">
        <f>AP30</f>
        <v>4T22</v>
      </c>
      <c r="AQ36" s="164" t="str">
        <f>AQ30</f>
        <v>1T23</v>
      </c>
      <c r="AR36" s="164" t="str">
        <f>AR30</f>
        <v>2T23</v>
      </c>
      <c r="AS36" s="164" t="str">
        <f>AS30</f>
        <v>3T23</v>
      </c>
      <c r="AT36" s="164" t="str">
        <f>AT30</f>
        <v>4T23</v>
      </c>
    </row>
    <row r="37" spans="2:46" x14ac:dyDescent="0.35">
      <c r="B37" s="37" t="s">
        <v>451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5"/>
      <c r="AG37" s="295"/>
      <c r="AH37" s="295">
        <v>0.49450187917494492</v>
      </c>
      <c r="AI37" s="295">
        <v>0.49001205323559038</v>
      </c>
      <c r="AJ37" s="295">
        <v>0.48229849092505594</v>
      </c>
      <c r="AK37" s="295">
        <v>0.46088898692222047</v>
      </c>
      <c r="AL37" s="295">
        <v>0.45654664179538618</v>
      </c>
      <c r="AM37" s="295">
        <v>0.47288049190873949</v>
      </c>
      <c r="AN37" s="295">
        <v>0.47995637337634089</v>
      </c>
      <c r="AO37" s="295">
        <v>0.48393058509914788</v>
      </c>
      <c r="AP37" s="295">
        <v>0.4595884718171066</v>
      </c>
      <c r="AQ37" s="295">
        <v>0.44539090507764145</v>
      </c>
      <c r="AR37" s="295">
        <v>0.43680151404665313</v>
      </c>
      <c r="AS37" s="295">
        <v>0.41514734338737702</v>
      </c>
      <c r="AT37" s="295">
        <v>0.41396726459893762</v>
      </c>
    </row>
    <row r="38" spans="2:46" x14ac:dyDescent="0.35">
      <c r="B38" s="37" t="s">
        <v>452</v>
      </c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6">
        <v>0.35097088949945721</v>
      </c>
      <c r="AI38" s="294">
        <v>0.35097088949945721</v>
      </c>
      <c r="AJ38" s="294">
        <v>0.35097088949945721</v>
      </c>
      <c r="AK38" s="294">
        <v>0.35097088949945721</v>
      </c>
      <c r="AL38" s="294">
        <v>0.35097088949945721</v>
      </c>
      <c r="AM38" s="294">
        <v>0.35097088949945721</v>
      </c>
      <c r="AN38" s="294">
        <v>0.35097088949945721</v>
      </c>
      <c r="AO38" s="294">
        <v>0.35097088949945721</v>
      </c>
      <c r="AP38" s="294">
        <v>0.33452154881707558</v>
      </c>
      <c r="AQ38" s="294">
        <v>0.33452154881707558</v>
      </c>
      <c r="AR38" s="294">
        <v>0.33452154881707558</v>
      </c>
      <c r="AS38" s="294">
        <v>0.33452154881707558</v>
      </c>
      <c r="AT38" s="294">
        <v>0.33452154881707558</v>
      </c>
    </row>
    <row r="39" spans="2:46" x14ac:dyDescent="0.35">
      <c r="B39" s="37" t="s">
        <v>453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5"/>
      <c r="AG39" s="295"/>
      <c r="AH39" s="295">
        <v>1.0351711360561044</v>
      </c>
      <c r="AI39" s="295">
        <v>1.0057518255399225</v>
      </c>
      <c r="AJ39" s="295">
        <v>0.97197302498629612</v>
      </c>
      <c r="AK39" s="295">
        <v>0.87265336340473676</v>
      </c>
      <c r="AL39" s="295">
        <v>0.85510012954222903</v>
      </c>
      <c r="AM39" s="295">
        <v>0.93362408603990921</v>
      </c>
      <c r="AN39" s="295">
        <v>0.9889887803028341</v>
      </c>
      <c r="AO39" s="295">
        <v>1.0089699169933939</v>
      </c>
      <c r="AP39" s="295">
        <v>0.88480953086955394</v>
      </c>
      <c r="AQ39" s="295">
        <v>0.81368528864360323</v>
      </c>
      <c r="AR39" s="295">
        <v>0.75942887884842858</v>
      </c>
      <c r="AS39" s="295">
        <v>0.66946303350478598</v>
      </c>
      <c r="AT39" s="295">
        <v>0.65726762743028022</v>
      </c>
    </row>
    <row r="40" spans="2:46" x14ac:dyDescent="0.35">
      <c r="B40" s="37" t="s">
        <v>454</v>
      </c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6">
        <v>0.49490000000000001</v>
      </c>
      <c r="AI40" s="294">
        <v>0.49490000000000001</v>
      </c>
      <c r="AJ40" s="294">
        <v>0.49490000000000001</v>
      </c>
      <c r="AK40" s="294">
        <v>0.49490000000000001</v>
      </c>
      <c r="AL40" s="294">
        <v>0.49490000000000001</v>
      </c>
      <c r="AM40" s="294">
        <v>0.49490000000000001</v>
      </c>
      <c r="AN40" s="294">
        <v>0.49490000000000001</v>
      </c>
      <c r="AO40" s="294">
        <v>0.49490000000000001</v>
      </c>
      <c r="AP40" s="294">
        <v>0.46389999999999998</v>
      </c>
      <c r="AQ40" s="294">
        <v>0.46389999999999998</v>
      </c>
      <c r="AR40" s="294">
        <v>0.46389999999999998</v>
      </c>
      <c r="AS40" s="294">
        <v>0.46389999999999998</v>
      </c>
      <c r="AT40" s="294">
        <v>0.46389999999999998</v>
      </c>
    </row>
    <row r="41" spans="2:46" x14ac:dyDescent="0.35">
      <c r="AH41" s="297"/>
      <c r="AI41" s="297"/>
      <c r="AJ41" s="297"/>
      <c r="AK41" s="297"/>
      <c r="AL41" s="297"/>
    </row>
    <row r="42" spans="2:46" x14ac:dyDescent="0.35">
      <c r="B42" s="578" t="s">
        <v>460</v>
      </c>
      <c r="C42" s="164" t="s">
        <v>289</v>
      </c>
      <c r="D42" s="164" t="s">
        <v>290</v>
      </c>
      <c r="E42" s="164" t="s">
        <v>291</v>
      </c>
      <c r="F42" s="164" t="s">
        <v>292</v>
      </c>
      <c r="G42" s="164" t="s">
        <v>293</v>
      </c>
      <c r="H42" s="164" t="s">
        <v>294</v>
      </c>
      <c r="I42" s="164" t="s">
        <v>295</v>
      </c>
      <c r="J42" s="164" t="s">
        <v>296</v>
      </c>
      <c r="K42" s="164" t="s">
        <v>297</v>
      </c>
      <c r="L42" s="164" t="s">
        <v>298</v>
      </c>
      <c r="M42" s="164" t="s">
        <v>299</v>
      </c>
      <c r="N42" s="164" t="s">
        <v>300</v>
      </c>
      <c r="O42" s="164" t="s">
        <v>301</v>
      </c>
      <c r="P42" s="164" t="s">
        <v>302</v>
      </c>
      <c r="Q42" s="164" t="s">
        <v>303</v>
      </c>
      <c r="R42" s="164" t="s">
        <v>304</v>
      </c>
      <c r="S42" s="164" t="s">
        <v>57</v>
      </c>
      <c r="T42" s="164" t="s">
        <v>58</v>
      </c>
      <c r="U42" s="164" t="s">
        <v>59</v>
      </c>
      <c r="V42" s="164" t="s">
        <v>60</v>
      </c>
      <c r="W42" s="164" t="s">
        <v>61</v>
      </c>
      <c r="X42" s="164" t="s">
        <v>62</v>
      </c>
      <c r="Y42" s="164" t="s">
        <v>63</v>
      </c>
      <c r="Z42" s="164" t="s">
        <v>64</v>
      </c>
      <c r="AA42" s="164" t="str">
        <f t="shared" ref="AA42:AO42" si="5">AA36</f>
        <v>1T19</v>
      </c>
      <c r="AB42" s="164" t="str">
        <f t="shared" si="5"/>
        <v>2T19</v>
      </c>
      <c r="AC42" s="164" t="str">
        <f t="shared" si="5"/>
        <v>3T19</v>
      </c>
      <c r="AD42" s="164" t="str">
        <f t="shared" si="5"/>
        <v>4T19</v>
      </c>
      <c r="AE42" s="164" t="str">
        <f t="shared" si="5"/>
        <v>1T20</v>
      </c>
      <c r="AF42" s="164" t="str">
        <f t="shared" si="5"/>
        <v>2T20</v>
      </c>
      <c r="AG42" s="164" t="str">
        <f t="shared" si="5"/>
        <v>3T20</v>
      </c>
      <c r="AH42" s="164" t="str">
        <f t="shared" si="5"/>
        <v>4T20</v>
      </c>
      <c r="AI42" s="164" t="str">
        <f t="shared" si="5"/>
        <v>1T21</v>
      </c>
      <c r="AJ42" s="164" t="str">
        <f t="shared" si="5"/>
        <v>2T21</v>
      </c>
      <c r="AK42" s="164" t="str">
        <f t="shared" si="5"/>
        <v>3T21</v>
      </c>
      <c r="AL42" s="164" t="str">
        <f t="shared" si="5"/>
        <v>4T21</v>
      </c>
      <c r="AM42" s="164" t="str">
        <f t="shared" si="5"/>
        <v>1T22</v>
      </c>
      <c r="AN42" s="164" t="str">
        <f t="shared" si="5"/>
        <v>2T22</v>
      </c>
      <c r="AO42" s="164" t="str">
        <f t="shared" si="5"/>
        <v>3T22</v>
      </c>
      <c r="AP42" s="164" t="str">
        <f>AP36</f>
        <v>4T22</v>
      </c>
      <c r="AQ42" s="164" t="str">
        <f>AQ36</f>
        <v>1T23</v>
      </c>
      <c r="AR42" s="164" t="str">
        <f>AR36</f>
        <v>2T23</v>
      </c>
      <c r="AS42" s="164" t="str">
        <f>AS36</f>
        <v>3T23</v>
      </c>
      <c r="AT42" s="164" t="str">
        <f>AT36</f>
        <v>4T23</v>
      </c>
    </row>
    <row r="43" spans="2:46" x14ac:dyDescent="0.35">
      <c r="B43" s="37" t="s">
        <v>451</v>
      </c>
      <c r="AL43" s="298">
        <v>0.14151525685897259</v>
      </c>
      <c r="AM43" s="298">
        <v>0.12201453490503344</v>
      </c>
      <c r="AN43" s="298">
        <v>0.12292060419354101</v>
      </c>
      <c r="AO43" s="298">
        <v>0.11843975997717215</v>
      </c>
      <c r="AP43" s="295">
        <v>0.12105387637693921</v>
      </c>
      <c r="AQ43" s="295">
        <v>0.12205155776253696</v>
      </c>
      <c r="AR43" s="295">
        <v>0.1184810663439293</v>
      </c>
      <c r="AS43" s="295">
        <v>0.12299172749924281</v>
      </c>
      <c r="AT43" s="295">
        <v>0.12366334566929738</v>
      </c>
    </row>
    <row r="44" spans="2:46" x14ac:dyDescent="0.35">
      <c r="B44" s="37" t="s">
        <v>452</v>
      </c>
      <c r="AH44" s="297"/>
      <c r="AI44" s="297"/>
      <c r="AJ44" s="297"/>
      <c r="AK44" s="297"/>
      <c r="AL44" s="297"/>
      <c r="AP44" s="294">
        <v>0.11741409801256514</v>
      </c>
      <c r="AQ44" s="294">
        <v>0.11741409801256514</v>
      </c>
      <c r="AR44" s="294">
        <v>0.11741409801256514</v>
      </c>
      <c r="AS44" s="294">
        <v>0.11741409801256514</v>
      </c>
      <c r="AT44" s="294">
        <v>0.12292107944922606</v>
      </c>
    </row>
    <row r="45" spans="2:46" x14ac:dyDescent="0.35">
      <c r="B45" s="37" t="s">
        <v>453</v>
      </c>
      <c r="AH45" s="297"/>
      <c r="AI45" s="297"/>
      <c r="AJ45" s="297"/>
      <c r="AK45" s="297"/>
      <c r="AL45" s="298">
        <v>9.2766263968743115E-2</v>
      </c>
      <c r="AM45" s="298">
        <v>5.2889208037597196E-2</v>
      </c>
      <c r="AN45" s="298">
        <v>5.4921029700901042E-2</v>
      </c>
      <c r="AO45" s="298">
        <v>4.5981692656401452E-2</v>
      </c>
      <c r="AP45" s="295">
        <v>5.1209099839584431E-2</v>
      </c>
      <c r="AQ45" s="295">
        <v>5.3173009449074722E-2</v>
      </c>
      <c r="AR45" s="295">
        <v>4.5808913495679449E-2</v>
      </c>
      <c r="AS45" s="295">
        <v>5.4559748177171657E-2</v>
      </c>
      <c r="AT45" s="295">
        <v>5.5189495751780948E-2</v>
      </c>
    </row>
    <row r="46" spans="2:46" x14ac:dyDescent="0.35">
      <c r="B46" s="37" t="s">
        <v>454</v>
      </c>
      <c r="AH46" s="297"/>
      <c r="AI46" s="297"/>
      <c r="AJ46" s="297"/>
      <c r="AK46" s="297"/>
      <c r="AL46" s="297"/>
      <c r="AP46" s="294">
        <v>4.3999999999999997E-2</v>
      </c>
      <c r="AQ46" s="294">
        <v>4.3999999999999997E-2</v>
      </c>
      <c r="AR46" s="294">
        <v>4.3999999999999997E-2</v>
      </c>
      <c r="AS46" s="294">
        <v>4.3999999999999997E-2</v>
      </c>
      <c r="AT46" s="294">
        <v>4.4594080221691083E-2</v>
      </c>
    </row>
    <row r="48" spans="2:46" x14ac:dyDescent="0.35">
      <c r="B48" s="647" t="s">
        <v>461</v>
      </c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7"/>
      <c r="AK48" s="647"/>
      <c r="AL48" s="647"/>
      <c r="AM48" s="647"/>
      <c r="AN48" s="647"/>
      <c r="AO48" s="647"/>
      <c r="AP48" s="647"/>
    </row>
    <row r="49" spans="2:42" x14ac:dyDescent="0.35"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7"/>
      <c r="AK49" s="647"/>
      <c r="AL49" s="647"/>
      <c r="AM49" s="647"/>
      <c r="AN49" s="647"/>
      <c r="AO49" s="647"/>
      <c r="AP49" s="647"/>
    </row>
    <row r="50" spans="2:42" x14ac:dyDescent="0.35">
      <c r="B50" s="647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7"/>
      <c r="AK50" s="647"/>
      <c r="AL50" s="647"/>
      <c r="AM50" s="647"/>
      <c r="AN50" s="647"/>
      <c r="AO50" s="647"/>
      <c r="AP50" s="647"/>
    </row>
  </sheetData>
  <mergeCells count="1">
    <mergeCell ref="B48:AP5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3CBC8-4362-4A7A-8EB8-A22B3C8CA107}">
  <sheetPr>
    <tabColor theme="9" tint="0.79998168889431442"/>
  </sheetPr>
  <dimension ref="A6:AA89"/>
  <sheetViews>
    <sheetView showGridLines="0" zoomScale="85" zoomScaleNormal="85" workbookViewId="0">
      <pane xSplit="1" ySplit="7" topLeftCell="B8" activePane="bottomRight" state="frozen"/>
      <selection activeCell="J5" sqref="J5"/>
      <selection pane="topRight" activeCell="J5" sqref="J5"/>
      <selection pane="bottomLeft" activeCell="J5" sqref="J5"/>
      <selection pane="bottomRight" activeCell="V16" sqref="V16"/>
    </sheetView>
  </sheetViews>
  <sheetFormatPr defaultColWidth="9.1796875" defaultRowHeight="14.5" x14ac:dyDescent="0.35"/>
  <cols>
    <col min="1" max="1" width="47.54296875" style="37" bestFit="1" customWidth="1"/>
    <col min="2" max="2" width="1.54296875" customWidth="1"/>
    <col min="3" max="18" width="9.54296875" style="37" hidden="1" customWidth="1"/>
    <col min="19" max="25" width="9.54296875" style="37" bestFit="1" customWidth="1"/>
    <col min="26" max="16384" width="9.1796875" style="37"/>
  </cols>
  <sheetData>
    <row r="6" spans="1:25" x14ac:dyDescent="0.35">
      <c r="A6" s="41" t="s">
        <v>4</v>
      </c>
      <c r="B6" s="168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5" thickBot="1" x14ac:dyDescent="0.4">
      <c r="A7" s="5" t="s">
        <v>315</v>
      </c>
      <c r="B7" s="204"/>
      <c r="C7" s="573" t="s">
        <v>61</v>
      </c>
      <c r="D7" s="573" t="s">
        <v>62</v>
      </c>
      <c r="E7" s="573" t="s">
        <v>63</v>
      </c>
      <c r="F7" s="573" t="s">
        <v>64</v>
      </c>
      <c r="G7" s="573" t="s">
        <v>65</v>
      </c>
      <c r="H7" s="573" t="s">
        <v>66</v>
      </c>
      <c r="I7" s="573" t="s">
        <v>67</v>
      </c>
      <c r="J7" s="573" t="s">
        <v>68</v>
      </c>
      <c r="K7" s="573" t="s">
        <v>69</v>
      </c>
      <c r="L7" s="573" t="s">
        <v>70</v>
      </c>
      <c r="M7" s="573" t="s">
        <v>71</v>
      </c>
      <c r="N7" s="573" t="s">
        <v>72</v>
      </c>
      <c r="O7" s="573" t="s">
        <v>73</v>
      </c>
      <c r="P7" s="573" t="s">
        <v>74</v>
      </c>
      <c r="Q7" s="573" t="s">
        <v>75</v>
      </c>
      <c r="R7" s="573" t="s">
        <v>76</v>
      </c>
      <c r="S7" s="573" t="s">
        <v>77</v>
      </c>
      <c r="T7" s="573" t="s">
        <v>78</v>
      </c>
      <c r="U7" s="573" t="s">
        <v>79</v>
      </c>
      <c r="V7" s="573" t="s">
        <v>80</v>
      </c>
      <c r="W7" s="573" t="s">
        <v>81</v>
      </c>
      <c r="X7" s="573" t="s">
        <v>82</v>
      </c>
      <c r="Y7" s="573" t="s">
        <v>83</v>
      </c>
    </row>
    <row r="8" spans="1:25" ht="15" thickBot="1" x14ac:dyDescent="0.4">
      <c r="A8" s="205" t="s">
        <v>316</v>
      </c>
      <c r="B8" s="206"/>
      <c r="C8" s="207">
        <f t="shared" ref="C8:U8" si="0">SUM(C9:C21)</f>
        <v>994890</v>
      </c>
      <c r="D8" s="207">
        <f t="shared" si="0"/>
        <v>935236</v>
      </c>
      <c r="E8" s="207">
        <f t="shared" si="0"/>
        <v>956724</v>
      </c>
      <c r="F8" s="207">
        <f t="shared" si="0"/>
        <v>868543.51057999989</v>
      </c>
      <c r="G8" s="207">
        <f t="shared" si="0"/>
        <v>1333660.0024600001</v>
      </c>
      <c r="H8" s="207">
        <f t="shared" si="0"/>
        <v>950116.63011000014</v>
      </c>
      <c r="I8" s="207">
        <f t="shared" si="0"/>
        <v>814328</v>
      </c>
      <c r="J8" s="207">
        <f t="shared" si="0"/>
        <v>988625</v>
      </c>
      <c r="K8" s="207">
        <f t="shared" si="0"/>
        <v>1228325</v>
      </c>
      <c r="L8" s="207">
        <f t="shared" si="0"/>
        <v>1377776</v>
      </c>
      <c r="M8" s="207">
        <f t="shared" si="0"/>
        <v>1592233</v>
      </c>
      <c r="N8" s="207">
        <f t="shared" si="0"/>
        <v>1837604</v>
      </c>
      <c r="O8" s="207">
        <f t="shared" si="0"/>
        <v>1804586</v>
      </c>
      <c r="P8" s="207">
        <f t="shared" si="0"/>
        <v>1616970</v>
      </c>
      <c r="Q8" s="207">
        <f t="shared" si="0"/>
        <v>1720637</v>
      </c>
      <c r="R8" s="207">
        <f t="shared" si="0"/>
        <v>1895532</v>
      </c>
      <c r="S8" s="207">
        <f t="shared" si="0"/>
        <v>1841971</v>
      </c>
      <c r="T8" s="207">
        <f t="shared" si="0"/>
        <v>1776557</v>
      </c>
      <c r="U8" s="207">
        <f t="shared" si="0"/>
        <v>1770976</v>
      </c>
      <c r="V8" s="207">
        <f t="shared" ref="V8:X8" si="1">SUM(V9:V21)</f>
        <v>1494297</v>
      </c>
      <c r="W8" s="207">
        <f t="shared" si="1"/>
        <v>1406471</v>
      </c>
      <c r="X8" s="207">
        <f t="shared" si="1"/>
        <v>1335864</v>
      </c>
      <c r="Y8" s="207">
        <f>SUM(Y9:Y21)</f>
        <v>1278258</v>
      </c>
    </row>
    <row r="9" spans="1:25" x14ac:dyDescent="0.35">
      <c r="A9" s="209" t="s">
        <v>317</v>
      </c>
      <c r="B9" s="210"/>
      <c r="C9" s="225">
        <v>31247</v>
      </c>
      <c r="D9" s="225">
        <v>43665</v>
      </c>
      <c r="E9" s="225">
        <v>51158</v>
      </c>
      <c r="F9" s="225">
        <v>44998.798120000007</v>
      </c>
      <c r="G9" s="225">
        <v>617944.4855200001</v>
      </c>
      <c r="H9" s="225">
        <v>389050.28346000001</v>
      </c>
      <c r="I9" s="225">
        <v>307960</v>
      </c>
      <c r="J9" s="225">
        <v>173571</v>
      </c>
      <c r="K9" s="225">
        <v>366757</v>
      </c>
      <c r="L9" s="225">
        <v>30344</v>
      </c>
      <c r="M9" s="225">
        <v>724380</v>
      </c>
      <c r="N9" s="225">
        <v>370430</v>
      </c>
      <c r="O9" s="225">
        <v>384529</v>
      </c>
      <c r="P9" s="225">
        <v>448602</v>
      </c>
      <c r="Q9" s="225">
        <v>378027</v>
      </c>
      <c r="R9" s="225">
        <v>412499</v>
      </c>
      <c r="S9" s="225">
        <v>349409</v>
      </c>
      <c r="T9" s="225">
        <v>481703</v>
      </c>
      <c r="U9" s="225">
        <v>380462</v>
      </c>
      <c r="V9" s="225">
        <v>142363</v>
      </c>
      <c r="W9" s="225">
        <v>142814</v>
      </c>
      <c r="X9" s="225">
        <v>37089</v>
      </c>
      <c r="Y9" s="225">
        <v>46623</v>
      </c>
    </row>
    <row r="10" spans="1:25" x14ac:dyDescent="0.35">
      <c r="A10" s="209" t="s">
        <v>382</v>
      </c>
      <c r="B10" s="210"/>
      <c r="C10" s="225">
        <v>68220</v>
      </c>
      <c r="D10" s="225">
        <v>10923</v>
      </c>
      <c r="E10" s="225">
        <v>5889</v>
      </c>
      <c r="F10" s="225">
        <v>994.94240000000002</v>
      </c>
      <c r="G10" s="225">
        <v>1373.9643100000001</v>
      </c>
      <c r="H10" s="225">
        <v>0</v>
      </c>
      <c r="I10" s="225">
        <v>0</v>
      </c>
      <c r="J10" s="225">
        <v>179380</v>
      </c>
      <c r="K10" s="225">
        <v>190982</v>
      </c>
      <c r="L10" s="225">
        <v>539028</v>
      </c>
      <c r="M10" s="225">
        <v>260586</v>
      </c>
      <c r="N10" s="225">
        <v>678982</v>
      </c>
      <c r="O10" s="225">
        <v>599926</v>
      </c>
      <c r="P10" s="225">
        <v>463970</v>
      </c>
      <c r="Q10" s="225">
        <v>447104</v>
      </c>
      <c r="R10" s="225">
        <v>332892</v>
      </c>
      <c r="S10" s="225">
        <v>405439</v>
      </c>
      <c r="T10" s="225">
        <v>415133</v>
      </c>
      <c r="U10" s="225">
        <v>414448</v>
      </c>
      <c r="V10" s="225">
        <v>296278</v>
      </c>
      <c r="W10" s="225">
        <v>220445</v>
      </c>
      <c r="X10" s="225">
        <v>230914</v>
      </c>
      <c r="Y10" s="225">
        <v>143247</v>
      </c>
    </row>
    <row r="11" spans="1:25" x14ac:dyDescent="0.35">
      <c r="A11" s="209" t="s">
        <v>319</v>
      </c>
      <c r="B11" s="210"/>
      <c r="C11" s="225">
        <v>593468</v>
      </c>
      <c r="D11" s="225">
        <v>582526</v>
      </c>
      <c r="E11" s="225">
        <v>603879</v>
      </c>
      <c r="F11" s="225">
        <v>645019</v>
      </c>
      <c r="G11" s="225">
        <v>648730</v>
      </c>
      <c r="H11" s="225">
        <v>586527.86357000005</v>
      </c>
      <c r="I11" s="225">
        <v>525951</v>
      </c>
      <c r="J11" s="225">
        <v>545175</v>
      </c>
      <c r="K11" s="225">
        <v>521578</v>
      </c>
      <c r="L11" s="225">
        <v>481688</v>
      </c>
      <c r="M11" s="225">
        <v>469740</v>
      </c>
      <c r="N11" s="225">
        <v>550383</v>
      </c>
      <c r="O11" s="225">
        <v>558622</v>
      </c>
      <c r="P11" s="225">
        <v>570498</v>
      </c>
      <c r="Q11" s="225">
        <v>656679</v>
      </c>
      <c r="R11" s="225">
        <v>1260010</v>
      </c>
      <c r="S11" s="225">
        <v>1272511</v>
      </c>
      <c r="T11" s="225">
        <v>1240903</v>
      </c>
      <c r="U11" s="225">
        <v>672696</v>
      </c>
      <c r="V11" s="225">
        <v>709106</v>
      </c>
      <c r="W11" s="225">
        <v>731303</v>
      </c>
      <c r="X11" s="225">
        <v>753646</v>
      </c>
      <c r="Y11" s="225">
        <v>782508</v>
      </c>
    </row>
    <row r="12" spans="1:25" x14ac:dyDescent="0.35">
      <c r="A12" s="209" t="s">
        <v>577</v>
      </c>
      <c r="B12" s="210"/>
      <c r="C12" s="225">
        <v>12464</v>
      </c>
      <c r="D12" s="225">
        <v>14154</v>
      </c>
      <c r="E12" s="225">
        <v>17117</v>
      </c>
      <c r="F12" s="225">
        <v>10479</v>
      </c>
      <c r="G12" s="225">
        <v>10862</v>
      </c>
      <c r="H12" s="225">
        <v>0</v>
      </c>
      <c r="I12" s="225">
        <v>15734</v>
      </c>
      <c r="J12" s="225">
        <v>9706</v>
      </c>
      <c r="K12" s="225">
        <v>10162</v>
      </c>
      <c r="L12" s="225">
        <v>15009</v>
      </c>
      <c r="M12" s="225">
        <v>13015</v>
      </c>
      <c r="N12" s="225">
        <v>6031</v>
      </c>
      <c r="O12" s="225">
        <v>6607</v>
      </c>
      <c r="P12" s="225">
        <v>5906</v>
      </c>
      <c r="Q12" s="225">
        <v>5553</v>
      </c>
      <c r="R12" s="225">
        <v>7092</v>
      </c>
      <c r="S12" s="225">
        <v>9164</v>
      </c>
      <c r="T12" s="225">
        <v>9075</v>
      </c>
      <c r="U12" s="225"/>
      <c r="V12" s="225"/>
      <c r="W12" s="225"/>
      <c r="X12" s="225"/>
      <c r="Y12" s="225"/>
    </row>
    <row r="13" spans="1:25" x14ac:dyDescent="0.35">
      <c r="A13" s="209" t="s">
        <v>560</v>
      </c>
      <c r="B13" s="210"/>
      <c r="C13" s="225">
        <v>-154227</v>
      </c>
      <c r="D13" s="225">
        <v>-170533</v>
      </c>
      <c r="E13" s="225">
        <v>-179133</v>
      </c>
      <c r="F13" s="225">
        <v>-201076</v>
      </c>
      <c r="G13" s="225">
        <v>-244768</v>
      </c>
      <c r="H13" s="225">
        <v>-217542.64851</v>
      </c>
      <c r="I13" s="225">
        <v>-207037</v>
      </c>
      <c r="J13" s="225">
        <v>-129680</v>
      </c>
      <c r="K13" s="225">
        <v>-196530</v>
      </c>
      <c r="L13" s="225">
        <v>-197174</v>
      </c>
      <c r="M13" s="225">
        <v>-192946</v>
      </c>
      <c r="N13" s="225">
        <v>-173013</v>
      </c>
      <c r="O13" s="225">
        <v>-178426</v>
      </c>
      <c r="P13" s="225">
        <v>-182744</v>
      </c>
      <c r="Q13" s="225">
        <v>-205070</v>
      </c>
      <c r="R13" s="225">
        <v>-635912</v>
      </c>
      <c r="S13" s="225">
        <v>-651369</v>
      </c>
      <c r="T13" s="225">
        <v>-654779</v>
      </c>
      <c r="U13" s="225"/>
      <c r="V13" s="225"/>
      <c r="W13" s="225"/>
      <c r="X13" s="225"/>
      <c r="Y13" s="225"/>
    </row>
    <row r="14" spans="1:25" x14ac:dyDescent="0.35">
      <c r="A14" s="209" t="s">
        <v>320</v>
      </c>
      <c r="B14" s="210"/>
      <c r="C14" s="225">
        <v>0</v>
      </c>
      <c r="D14" s="225">
        <v>0</v>
      </c>
      <c r="E14" s="225">
        <v>0</v>
      </c>
      <c r="F14" s="225">
        <v>0</v>
      </c>
      <c r="G14" s="225">
        <v>0</v>
      </c>
      <c r="H14" s="225">
        <v>2926</v>
      </c>
      <c r="I14" s="225">
        <v>11131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</row>
    <row r="15" spans="1:25" x14ac:dyDescent="0.35">
      <c r="A15" s="209" t="s">
        <v>322</v>
      </c>
      <c r="B15" s="210"/>
      <c r="C15" s="225">
        <v>4968</v>
      </c>
      <c r="D15" s="225">
        <v>5724</v>
      </c>
      <c r="E15" s="225">
        <v>8097</v>
      </c>
      <c r="F15" s="225">
        <v>9653.5540199999996</v>
      </c>
      <c r="G15" s="225">
        <v>6638.0515300000006</v>
      </c>
      <c r="H15" s="225">
        <v>7368.3587200000002</v>
      </c>
      <c r="I15" s="225">
        <v>13206</v>
      </c>
      <c r="J15" s="225">
        <v>41464</v>
      </c>
      <c r="K15" s="225">
        <v>44063</v>
      </c>
      <c r="L15" s="225">
        <v>50290</v>
      </c>
      <c r="M15" s="225">
        <v>54766</v>
      </c>
      <c r="N15" s="225">
        <v>73244</v>
      </c>
      <c r="O15" s="225">
        <v>72951</v>
      </c>
      <c r="P15" s="225">
        <v>76458</v>
      </c>
      <c r="Q15" s="225">
        <v>79670</v>
      </c>
      <c r="R15" s="225">
        <v>75638</v>
      </c>
      <c r="S15" s="225">
        <v>79050</v>
      </c>
      <c r="T15" s="225">
        <v>77483</v>
      </c>
      <c r="U15" s="225">
        <v>79004</v>
      </c>
      <c r="V15" s="225">
        <v>84089</v>
      </c>
      <c r="W15" s="225">
        <v>78916</v>
      </c>
      <c r="X15" s="225">
        <v>80308</v>
      </c>
      <c r="Y15" s="225">
        <v>71334</v>
      </c>
    </row>
    <row r="16" spans="1:25" x14ac:dyDescent="0.35">
      <c r="A16" s="209" t="s">
        <v>336</v>
      </c>
      <c r="B16" s="210"/>
      <c r="C16" s="225">
        <v>0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/>
      <c r="J16" s="225"/>
      <c r="K16" s="225"/>
      <c r="L16" s="225"/>
      <c r="M16" s="225">
        <v>92</v>
      </c>
      <c r="N16" s="225"/>
      <c r="O16" s="225">
        <v>170</v>
      </c>
      <c r="P16" s="225">
        <v>427</v>
      </c>
      <c r="Q16" s="225">
        <v>264</v>
      </c>
      <c r="R16" s="225">
        <v>194</v>
      </c>
      <c r="S16" s="225">
        <v>194</v>
      </c>
      <c r="T16" s="225">
        <v>174</v>
      </c>
      <c r="U16" s="225">
        <v>852</v>
      </c>
      <c r="V16" s="225">
        <v>161</v>
      </c>
      <c r="W16" s="225">
        <v>161</v>
      </c>
      <c r="X16" s="225">
        <v>81</v>
      </c>
      <c r="Y16" s="225">
        <v>487</v>
      </c>
    </row>
    <row r="17" spans="1:25" x14ac:dyDescent="0.35">
      <c r="A17" s="209" t="s">
        <v>383</v>
      </c>
      <c r="B17" s="210"/>
      <c r="C17" s="225">
        <v>378915</v>
      </c>
      <c r="D17" s="225">
        <v>382787</v>
      </c>
      <c r="E17" s="225">
        <v>378288</v>
      </c>
      <c r="F17" s="225">
        <v>267227.41431999998</v>
      </c>
      <c r="G17" s="225">
        <v>223352.43790000002</v>
      </c>
      <c r="H17" s="225">
        <v>30977.07852999997</v>
      </c>
      <c r="I17" s="225">
        <v>12418</v>
      </c>
      <c r="J17" s="225"/>
      <c r="K17" s="225"/>
      <c r="L17" s="225">
        <v>110973</v>
      </c>
      <c r="M17" s="225"/>
      <c r="N17" s="225"/>
      <c r="O17" s="225">
        <v>159667</v>
      </c>
      <c r="P17" s="225">
        <v>56862</v>
      </c>
      <c r="Q17" s="225">
        <v>220522</v>
      </c>
      <c r="R17" s="225">
        <v>297749</v>
      </c>
      <c r="S17" s="225">
        <v>274194</v>
      </c>
      <c r="T17" s="225">
        <v>75119</v>
      </c>
      <c r="U17" s="225">
        <v>74074</v>
      </c>
      <c r="V17" s="225">
        <v>89608</v>
      </c>
      <c r="W17" s="225">
        <v>93291</v>
      </c>
      <c r="X17" s="225">
        <v>78219</v>
      </c>
      <c r="Y17" s="225">
        <v>83687</v>
      </c>
    </row>
    <row r="18" spans="1:25" x14ac:dyDescent="0.35">
      <c r="A18" s="209" t="s">
        <v>326</v>
      </c>
      <c r="B18" s="210"/>
      <c r="C18" s="225">
        <v>8995</v>
      </c>
      <c r="D18" s="225">
        <v>8504</v>
      </c>
      <c r="E18" s="225">
        <v>7275</v>
      </c>
      <c r="F18" s="225">
        <v>7642.1324699999996</v>
      </c>
      <c r="G18" s="225">
        <v>8294.0632000000005</v>
      </c>
      <c r="H18" s="225">
        <v>8320.7174400000004</v>
      </c>
      <c r="I18" s="225">
        <v>2916</v>
      </c>
      <c r="J18" s="225">
        <v>5295</v>
      </c>
      <c r="K18" s="225">
        <v>8228</v>
      </c>
      <c r="L18" s="225">
        <v>8203</v>
      </c>
      <c r="M18" s="225">
        <v>8486</v>
      </c>
      <c r="N18" s="225">
        <v>6596</v>
      </c>
      <c r="O18" s="225">
        <v>6632</v>
      </c>
      <c r="P18" s="225">
        <v>6979</v>
      </c>
      <c r="Q18" s="225">
        <v>9774</v>
      </c>
      <c r="R18" s="225">
        <v>11326</v>
      </c>
      <c r="S18" s="225">
        <v>17346</v>
      </c>
      <c r="T18" s="225">
        <v>21292</v>
      </c>
      <c r="U18" s="225">
        <v>26676</v>
      </c>
      <c r="V18" s="225">
        <v>24648</v>
      </c>
      <c r="W18" s="225">
        <v>15835</v>
      </c>
      <c r="X18" s="225">
        <v>10802</v>
      </c>
      <c r="Y18" s="225">
        <v>10281</v>
      </c>
    </row>
    <row r="19" spans="1:25" x14ac:dyDescent="0.35">
      <c r="A19" s="209" t="s">
        <v>327</v>
      </c>
      <c r="B19" s="210"/>
      <c r="C19" s="225">
        <v>12698</v>
      </c>
      <c r="D19" s="225">
        <v>14243</v>
      </c>
      <c r="E19" s="225">
        <v>15058</v>
      </c>
      <c r="F19" s="225">
        <v>26762.080150000002</v>
      </c>
      <c r="G19" s="225">
        <v>16632</v>
      </c>
      <c r="H19" s="225">
        <v>20634.757799999999</v>
      </c>
      <c r="I19" s="225">
        <v>20329</v>
      </c>
      <c r="J19" s="225">
        <v>65525</v>
      </c>
      <c r="K19" s="225">
        <v>204101</v>
      </c>
      <c r="L19" s="225">
        <v>257151</v>
      </c>
      <c r="M19" s="225">
        <v>170964</v>
      </c>
      <c r="N19" s="225">
        <v>210429</v>
      </c>
      <c r="O19" s="225">
        <v>88272</v>
      </c>
      <c r="P19" s="225">
        <v>45270</v>
      </c>
      <c r="Q19" s="225">
        <v>26096</v>
      </c>
      <c r="R19" s="225">
        <v>28404</v>
      </c>
      <c r="S19" s="225">
        <v>30274</v>
      </c>
      <c r="T19" s="225">
        <v>33686</v>
      </c>
      <c r="U19" s="225">
        <v>35100</v>
      </c>
      <c r="V19" s="225">
        <v>39479</v>
      </c>
      <c r="W19" s="225">
        <v>41924</v>
      </c>
      <c r="X19" s="225">
        <v>57390</v>
      </c>
      <c r="Y19" s="225">
        <v>61197</v>
      </c>
    </row>
    <row r="20" spans="1:25" x14ac:dyDescent="0.35">
      <c r="A20" s="209" t="s">
        <v>328</v>
      </c>
      <c r="B20" s="210"/>
      <c r="C20" s="225">
        <v>0</v>
      </c>
      <c r="D20" s="225">
        <v>0</v>
      </c>
      <c r="E20" s="225">
        <v>0</v>
      </c>
      <c r="F20" s="225">
        <v>2212.5891000000001</v>
      </c>
      <c r="G20" s="225">
        <v>0</v>
      </c>
      <c r="H20" s="225">
        <v>4361.5759100000005</v>
      </c>
      <c r="I20" s="225">
        <v>6273</v>
      </c>
      <c r="J20" s="225">
        <v>7513</v>
      </c>
      <c r="K20" s="225">
        <v>3228</v>
      </c>
      <c r="L20" s="225">
        <v>4840</v>
      </c>
      <c r="M20" s="225">
        <v>4827</v>
      </c>
      <c r="N20" s="225">
        <v>6512</v>
      </c>
      <c r="O20" s="225">
        <v>7784</v>
      </c>
      <c r="P20" s="225">
        <v>8805</v>
      </c>
      <c r="Q20" s="225">
        <v>8783</v>
      </c>
      <c r="R20" s="225">
        <v>11973</v>
      </c>
      <c r="S20" s="225">
        <v>10582</v>
      </c>
      <c r="T20" s="225">
        <v>26419</v>
      </c>
      <c r="U20" s="225">
        <v>37705</v>
      </c>
      <c r="V20" s="225">
        <v>50494</v>
      </c>
      <c r="W20" s="225">
        <v>26195</v>
      </c>
      <c r="X20" s="225">
        <v>38390</v>
      </c>
      <c r="Y20" s="225">
        <v>29763</v>
      </c>
    </row>
    <row r="21" spans="1:25" ht="15" thickBot="1" x14ac:dyDescent="0.4">
      <c r="A21" s="212" t="s">
        <v>392</v>
      </c>
      <c r="B21" s="210"/>
      <c r="C21" s="225">
        <v>38142</v>
      </c>
      <c r="D21" s="225">
        <v>43243</v>
      </c>
      <c r="E21" s="225">
        <v>49096</v>
      </c>
      <c r="F21" s="225">
        <v>54630</v>
      </c>
      <c r="G21" s="225">
        <v>44601</v>
      </c>
      <c r="H21" s="225">
        <v>117492.64319000002</v>
      </c>
      <c r="I21" s="225">
        <v>105447</v>
      </c>
      <c r="J21" s="225">
        <v>90676</v>
      </c>
      <c r="K21" s="225">
        <v>75756</v>
      </c>
      <c r="L21" s="225">
        <v>77424</v>
      </c>
      <c r="M21" s="225">
        <v>78323</v>
      </c>
      <c r="N21" s="225">
        <v>108010</v>
      </c>
      <c r="O21" s="225">
        <v>97852</v>
      </c>
      <c r="P21" s="225">
        <v>115937</v>
      </c>
      <c r="Q21" s="225">
        <v>93235</v>
      </c>
      <c r="R21" s="225">
        <v>93667</v>
      </c>
      <c r="S21" s="225">
        <v>45177</v>
      </c>
      <c r="T21" s="225">
        <v>50349</v>
      </c>
      <c r="U21" s="225">
        <v>49959</v>
      </c>
      <c r="V21" s="225">
        <v>58071</v>
      </c>
      <c r="W21" s="225">
        <v>55587</v>
      </c>
      <c r="X21" s="225">
        <v>49025</v>
      </c>
      <c r="Y21" s="225">
        <v>49131</v>
      </c>
    </row>
    <row r="22" spans="1:25" ht="15" thickBot="1" x14ac:dyDescent="0.4">
      <c r="A22" s="213" t="s">
        <v>333</v>
      </c>
      <c r="B22" s="206"/>
      <c r="C22" s="214">
        <f t="shared" ref="C22:Y22" si="2">C23+C35</f>
        <v>1350788</v>
      </c>
      <c r="D22" s="214">
        <f t="shared" si="2"/>
        <v>1970438</v>
      </c>
      <c r="E22" s="214">
        <f t="shared" si="2"/>
        <v>1997468</v>
      </c>
      <c r="F22" s="214">
        <f t="shared" si="2"/>
        <v>2138813</v>
      </c>
      <c r="G22" s="214">
        <f t="shared" si="2"/>
        <v>2573233</v>
      </c>
      <c r="H22" s="214">
        <f t="shared" si="2"/>
        <v>2585050</v>
      </c>
      <c r="I22" s="214">
        <f t="shared" si="2"/>
        <v>2926360</v>
      </c>
      <c r="J22" s="214">
        <f t="shared" si="2"/>
        <v>2422169</v>
      </c>
      <c r="K22" s="214">
        <f t="shared" si="2"/>
        <v>2438970</v>
      </c>
      <c r="L22" s="214">
        <f t="shared" si="2"/>
        <v>2300427</v>
      </c>
      <c r="M22" s="214">
        <f t="shared" si="2"/>
        <v>2486481</v>
      </c>
      <c r="N22" s="214">
        <f t="shared" si="2"/>
        <v>2470911</v>
      </c>
      <c r="O22" s="214">
        <f t="shared" si="2"/>
        <v>1626656</v>
      </c>
      <c r="P22" s="214">
        <f t="shared" si="2"/>
        <v>1681259</v>
      </c>
      <c r="Q22" s="214">
        <f t="shared" si="2"/>
        <v>2360588</v>
      </c>
      <c r="R22" s="214">
        <f t="shared" si="2"/>
        <v>2393553</v>
      </c>
      <c r="S22" s="214">
        <f t="shared" si="2"/>
        <v>2382548</v>
      </c>
      <c r="T22" s="214">
        <f t="shared" si="2"/>
        <v>2430430</v>
      </c>
      <c r="U22" s="214">
        <f t="shared" si="2"/>
        <v>2439033</v>
      </c>
      <c r="V22" s="214">
        <f t="shared" si="2"/>
        <v>2547213</v>
      </c>
      <c r="W22" s="214">
        <f t="shared" si="2"/>
        <v>2651403</v>
      </c>
      <c r="X22" s="214">
        <f t="shared" si="2"/>
        <v>2795119</v>
      </c>
      <c r="Y22" s="214">
        <f t="shared" si="2"/>
        <v>2985432</v>
      </c>
    </row>
    <row r="23" spans="1:25" ht="15" thickBot="1" x14ac:dyDescent="0.4">
      <c r="A23" s="213" t="s">
        <v>334</v>
      </c>
      <c r="B23" s="206"/>
      <c r="C23" s="214">
        <f t="shared" ref="C23:X23" si="3">SUM(C24:C34)</f>
        <v>1307374</v>
      </c>
      <c r="D23" s="214">
        <f t="shared" si="3"/>
        <v>1921235</v>
      </c>
      <c r="E23" s="214">
        <f t="shared" si="3"/>
        <v>1957000</v>
      </c>
      <c r="F23" s="214">
        <f t="shared" si="3"/>
        <v>2096181</v>
      </c>
      <c r="G23" s="214">
        <f t="shared" si="3"/>
        <v>1581635</v>
      </c>
      <c r="H23" s="214">
        <f t="shared" si="3"/>
        <v>1588461</v>
      </c>
      <c r="I23" s="214">
        <f t="shared" si="3"/>
        <v>1869580</v>
      </c>
      <c r="J23" s="214">
        <f t="shared" si="3"/>
        <v>1332656</v>
      </c>
      <c r="K23" s="214">
        <f t="shared" si="3"/>
        <v>1329348</v>
      </c>
      <c r="L23" s="214">
        <f t="shared" si="3"/>
        <v>1176465</v>
      </c>
      <c r="M23" s="214">
        <f t="shared" si="3"/>
        <v>1361204</v>
      </c>
      <c r="N23" s="214">
        <f t="shared" si="3"/>
        <v>1293368</v>
      </c>
      <c r="O23" s="214">
        <f t="shared" si="3"/>
        <v>419031</v>
      </c>
      <c r="P23" s="214">
        <f t="shared" si="3"/>
        <v>435579</v>
      </c>
      <c r="Q23" s="214">
        <f t="shared" si="3"/>
        <v>1057468</v>
      </c>
      <c r="R23" s="214">
        <f t="shared" si="3"/>
        <v>1025102</v>
      </c>
      <c r="S23" s="214">
        <f t="shared" si="3"/>
        <v>976398</v>
      </c>
      <c r="T23" s="214">
        <f t="shared" si="3"/>
        <v>953066</v>
      </c>
      <c r="U23" s="214">
        <f t="shared" si="3"/>
        <v>878011</v>
      </c>
      <c r="V23" s="214">
        <f t="shared" si="3"/>
        <v>888421</v>
      </c>
      <c r="W23" s="214">
        <f t="shared" si="3"/>
        <v>891341</v>
      </c>
      <c r="X23" s="214">
        <f t="shared" si="3"/>
        <v>899187</v>
      </c>
      <c r="Y23" s="214">
        <f>SUM(Y24:Y34)</f>
        <v>972125</v>
      </c>
    </row>
    <row r="24" spans="1:25" x14ac:dyDescent="0.35">
      <c r="A24" s="209" t="s">
        <v>319</v>
      </c>
      <c r="B24" s="210"/>
      <c r="C24" s="225">
        <v>285106</v>
      </c>
      <c r="D24" s="225">
        <v>280837</v>
      </c>
      <c r="E24" s="225">
        <v>274239</v>
      </c>
      <c r="F24" s="225">
        <v>269560</v>
      </c>
      <c r="G24" s="225">
        <v>267495</v>
      </c>
      <c r="H24" s="225">
        <v>257852</v>
      </c>
      <c r="I24" s="225">
        <v>260074</v>
      </c>
      <c r="J24" s="225">
        <v>216756</v>
      </c>
      <c r="K24" s="225">
        <v>325523</v>
      </c>
      <c r="L24" s="225">
        <v>281514</v>
      </c>
      <c r="M24" s="225">
        <v>280200</v>
      </c>
      <c r="N24" s="225">
        <v>280096</v>
      </c>
      <c r="O24" s="225">
        <v>277997</v>
      </c>
      <c r="P24" s="225">
        <v>272449</v>
      </c>
      <c r="Q24" s="225">
        <v>271009</v>
      </c>
      <c r="R24" s="225">
        <v>272796</v>
      </c>
      <c r="S24" s="225">
        <v>267069</v>
      </c>
      <c r="T24" s="225">
        <v>263588</v>
      </c>
      <c r="U24" s="225">
        <v>194595</v>
      </c>
      <c r="V24" s="225">
        <v>185489</v>
      </c>
      <c r="W24" s="225">
        <v>183835</v>
      </c>
      <c r="X24" s="225">
        <v>180425</v>
      </c>
      <c r="Y24" s="225">
        <v>176370</v>
      </c>
    </row>
    <row r="25" spans="1:25" x14ac:dyDescent="0.35">
      <c r="A25" s="209" t="s">
        <v>383</v>
      </c>
      <c r="B25" s="210"/>
      <c r="C25" s="225">
        <v>0</v>
      </c>
      <c r="D25" s="225">
        <v>606654</v>
      </c>
      <c r="E25" s="225">
        <v>617653</v>
      </c>
      <c r="F25" s="225">
        <v>709417</v>
      </c>
      <c r="G25" s="225">
        <v>1172468</v>
      </c>
      <c r="H25" s="225">
        <v>1151740</v>
      </c>
      <c r="I25" s="225">
        <v>1162045</v>
      </c>
      <c r="J25" s="225">
        <v>682702</v>
      </c>
      <c r="K25" s="225">
        <v>736909</v>
      </c>
      <c r="L25" s="225">
        <v>646191</v>
      </c>
      <c r="M25" s="225">
        <v>794778</v>
      </c>
      <c r="N25" s="225">
        <v>873313</v>
      </c>
      <c r="O25" s="225"/>
      <c r="P25" s="225"/>
      <c r="Q25" s="225">
        <v>21480</v>
      </c>
      <c r="R25" s="225">
        <v>32906</v>
      </c>
      <c r="S25" s="225">
        <v>8423</v>
      </c>
      <c r="T25" s="225"/>
      <c r="U25" s="225"/>
      <c r="V25" s="225"/>
      <c r="W25" s="225"/>
      <c r="X25" s="225">
        <v>4467</v>
      </c>
      <c r="Y25" s="225">
        <v>37837</v>
      </c>
    </row>
    <row r="26" spans="1:25" x14ac:dyDescent="0.35">
      <c r="A26" s="209" t="s">
        <v>551</v>
      </c>
      <c r="B26" s="210"/>
      <c r="C26" s="225">
        <v>0</v>
      </c>
      <c r="D26" s="225">
        <v>0</v>
      </c>
      <c r="E26" s="225">
        <v>0</v>
      </c>
      <c r="F26" s="225"/>
      <c r="G26" s="225">
        <v>0</v>
      </c>
      <c r="H26" s="225"/>
      <c r="I26" s="225"/>
      <c r="J26" s="225"/>
      <c r="K26" s="225"/>
      <c r="L26" s="225"/>
      <c r="M26" s="225"/>
      <c r="N26" s="225">
        <v>136</v>
      </c>
      <c r="O26" s="225">
        <v>37</v>
      </c>
      <c r="P26" s="225">
        <v>37</v>
      </c>
      <c r="Q26" s="225"/>
      <c r="R26" s="225">
        <v>896</v>
      </c>
      <c r="S26" s="225">
        <v>896</v>
      </c>
      <c r="T26" s="225">
        <v>896</v>
      </c>
      <c r="U26" s="225"/>
      <c r="V26" s="225">
        <v>342</v>
      </c>
      <c r="W26" s="225">
        <v>342</v>
      </c>
      <c r="X26" s="225">
        <v>342</v>
      </c>
      <c r="Y26" s="225">
        <v>0</v>
      </c>
    </row>
    <row r="27" spans="1:25" x14ac:dyDescent="0.35">
      <c r="A27" s="209" t="s">
        <v>336</v>
      </c>
      <c r="B27" s="210"/>
      <c r="C27" s="225">
        <v>81742</v>
      </c>
      <c r="D27" s="225">
        <v>84793</v>
      </c>
      <c r="E27" s="225">
        <v>90060</v>
      </c>
      <c r="F27" s="225">
        <v>93248</v>
      </c>
      <c r="G27" s="225">
        <v>93200</v>
      </c>
      <c r="H27" s="225">
        <v>98054</v>
      </c>
      <c r="I27" s="225">
        <v>98177</v>
      </c>
      <c r="J27" s="225">
        <v>42427</v>
      </c>
      <c r="K27" s="225">
        <v>41604</v>
      </c>
      <c r="L27" s="225">
        <v>40376</v>
      </c>
      <c r="M27" s="225">
        <v>40896</v>
      </c>
      <c r="N27" s="225">
        <v>34490</v>
      </c>
      <c r="O27" s="225">
        <v>33952</v>
      </c>
      <c r="P27" s="225">
        <v>34382</v>
      </c>
      <c r="Q27" s="225">
        <v>30602</v>
      </c>
      <c r="R27" s="225">
        <v>24582</v>
      </c>
      <c r="S27" s="225">
        <v>24323</v>
      </c>
      <c r="T27" s="225">
        <v>24572</v>
      </c>
      <c r="U27" s="225">
        <v>25194</v>
      </c>
      <c r="V27" s="225">
        <v>28320</v>
      </c>
      <c r="W27" s="225">
        <v>28860</v>
      </c>
      <c r="X27" s="225">
        <v>29727</v>
      </c>
      <c r="Y27" s="225">
        <v>30320</v>
      </c>
    </row>
    <row r="28" spans="1:25" x14ac:dyDescent="0.35">
      <c r="A28" s="209" t="s">
        <v>327</v>
      </c>
      <c r="B28" s="210"/>
      <c r="C28" s="225">
        <v>3931</v>
      </c>
      <c r="D28" s="225">
        <v>3963</v>
      </c>
      <c r="E28" s="225">
        <v>3831</v>
      </c>
      <c r="F28" s="225">
        <v>3407</v>
      </c>
      <c r="G28" s="225">
        <v>0</v>
      </c>
      <c r="H28" s="225">
        <v>29819</v>
      </c>
      <c r="I28" s="225">
        <v>297878</v>
      </c>
      <c r="J28" s="225">
        <v>305043</v>
      </c>
      <c r="K28" s="225">
        <v>172564</v>
      </c>
      <c r="L28" s="225">
        <v>121720</v>
      </c>
      <c r="M28" s="225">
        <v>158057</v>
      </c>
      <c r="N28" s="225">
        <v>36249</v>
      </c>
      <c r="O28" s="225">
        <v>35819</v>
      </c>
      <c r="P28" s="225">
        <v>36687</v>
      </c>
      <c r="Q28" s="225">
        <v>40302</v>
      </c>
      <c r="R28" s="225">
        <v>42607</v>
      </c>
      <c r="S28" s="225">
        <v>38298</v>
      </c>
      <c r="T28" s="225">
        <v>33711</v>
      </c>
      <c r="U28" s="225">
        <v>42447</v>
      </c>
      <c r="V28" s="225"/>
      <c r="W28" s="225"/>
      <c r="X28" s="225">
        <v>56795</v>
      </c>
      <c r="Y28" s="225">
        <v>60947</v>
      </c>
    </row>
    <row r="29" spans="1:25" x14ac:dyDescent="0.35">
      <c r="A29" s="209" t="s">
        <v>328</v>
      </c>
      <c r="B29" s="210"/>
      <c r="C29" s="225">
        <v>0</v>
      </c>
      <c r="D29" s="225">
        <v>0</v>
      </c>
      <c r="E29" s="225">
        <v>0</v>
      </c>
      <c r="F29" s="225"/>
      <c r="G29" s="225">
        <v>0</v>
      </c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>
        <v>44721</v>
      </c>
      <c r="W29" s="225">
        <v>47940</v>
      </c>
      <c r="X29" s="225">
        <v>0</v>
      </c>
      <c r="Y29" s="225">
        <v>0</v>
      </c>
    </row>
    <row r="30" spans="1:25" x14ac:dyDescent="0.35">
      <c r="A30" s="209" t="s">
        <v>391</v>
      </c>
      <c r="B30" s="210"/>
      <c r="C30" s="225">
        <v>0</v>
      </c>
      <c r="D30" s="225">
        <v>0</v>
      </c>
      <c r="E30" s="225">
        <v>0</v>
      </c>
      <c r="F30" s="225"/>
      <c r="G30" s="225">
        <v>0</v>
      </c>
      <c r="H30" s="225"/>
      <c r="I30" s="225"/>
      <c r="J30" s="225"/>
      <c r="K30" s="225"/>
      <c r="L30" s="225"/>
      <c r="M30" s="225"/>
      <c r="N30" s="225"/>
      <c r="O30" s="225"/>
      <c r="P30" s="225"/>
      <c r="Q30" s="225">
        <v>602113</v>
      </c>
      <c r="R30" s="225">
        <v>544022</v>
      </c>
      <c r="S30" s="225">
        <v>528494</v>
      </c>
      <c r="T30" s="225">
        <v>509228</v>
      </c>
      <c r="U30" s="225">
        <v>501458</v>
      </c>
      <c r="V30" s="225">
        <v>501983</v>
      </c>
      <c r="W30" s="225">
        <v>493827</v>
      </c>
      <c r="X30" s="225">
        <v>482623</v>
      </c>
      <c r="Y30" s="225">
        <v>499748</v>
      </c>
    </row>
    <row r="31" spans="1:25" x14ac:dyDescent="0.35">
      <c r="A31" s="209" t="s">
        <v>325</v>
      </c>
      <c r="B31" s="210"/>
      <c r="C31" s="225">
        <v>0</v>
      </c>
      <c r="D31" s="225">
        <v>0</v>
      </c>
      <c r="E31" s="225">
        <v>0</v>
      </c>
      <c r="F31" s="225"/>
      <c r="G31" s="225">
        <v>0</v>
      </c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>
        <v>0</v>
      </c>
      <c r="Y31" s="225"/>
    </row>
    <row r="32" spans="1:25" x14ac:dyDescent="0.35">
      <c r="A32" s="209" t="s">
        <v>560</v>
      </c>
      <c r="B32" s="210"/>
      <c r="C32" s="225"/>
      <c r="D32" s="225"/>
      <c r="E32" s="225"/>
      <c r="F32" s="225"/>
      <c r="G32" s="225"/>
      <c r="H32" s="225"/>
      <c r="I32" s="225"/>
      <c r="J32" s="225"/>
      <c r="K32" s="225">
        <v>-33713</v>
      </c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>
        <v>0</v>
      </c>
      <c r="Y32" s="225"/>
    </row>
    <row r="33" spans="1:27" x14ac:dyDescent="0.35">
      <c r="A33" s="209" t="s">
        <v>392</v>
      </c>
      <c r="B33" s="210"/>
      <c r="C33" s="225">
        <v>8738</v>
      </c>
      <c r="D33" s="225">
        <v>4480</v>
      </c>
      <c r="E33" s="225">
        <v>4481</v>
      </c>
      <c r="F33" s="225">
        <v>11386</v>
      </c>
      <c r="G33" s="225">
        <v>11384</v>
      </c>
      <c r="H33" s="225">
        <v>15640</v>
      </c>
      <c r="I33" s="225">
        <v>15961</v>
      </c>
      <c r="J33" s="225">
        <v>16192</v>
      </c>
      <c r="K33" s="225">
        <v>16192</v>
      </c>
      <c r="L33" s="225">
        <v>16192</v>
      </c>
      <c r="M33" s="225">
        <v>16192</v>
      </c>
      <c r="N33" s="225">
        <v>17366</v>
      </c>
      <c r="O33" s="225">
        <v>17366</v>
      </c>
      <c r="P33" s="225">
        <v>37016</v>
      </c>
      <c r="Q33" s="225">
        <v>34048</v>
      </c>
      <c r="R33" s="225">
        <v>32627</v>
      </c>
      <c r="S33" s="225">
        <v>31792</v>
      </c>
      <c r="T33" s="225">
        <v>33804</v>
      </c>
      <c r="U33" s="225">
        <v>23800</v>
      </c>
      <c r="V33" s="225">
        <v>21799</v>
      </c>
      <c r="W33" s="225">
        <v>21480</v>
      </c>
      <c r="X33" s="225">
        <v>22073</v>
      </c>
      <c r="Y33" s="225">
        <v>22675</v>
      </c>
    </row>
    <row r="34" spans="1:27" ht="15" thickBot="1" x14ac:dyDescent="0.4">
      <c r="A34" s="212" t="s">
        <v>339</v>
      </c>
      <c r="B34" s="210"/>
      <c r="C34" s="225">
        <v>927857</v>
      </c>
      <c r="D34" s="225">
        <v>940508</v>
      </c>
      <c r="E34" s="225">
        <v>966736</v>
      </c>
      <c r="F34" s="225">
        <v>1009163</v>
      </c>
      <c r="G34" s="225">
        <v>37088</v>
      </c>
      <c r="H34" s="225">
        <v>35356</v>
      </c>
      <c r="I34" s="225">
        <v>35445</v>
      </c>
      <c r="J34" s="225">
        <v>69536</v>
      </c>
      <c r="K34" s="225">
        <v>70269</v>
      </c>
      <c r="L34" s="225">
        <v>70472</v>
      </c>
      <c r="M34" s="225">
        <v>71081</v>
      </c>
      <c r="N34" s="225">
        <v>51718</v>
      </c>
      <c r="O34" s="225">
        <v>53860</v>
      </c>
      <c r="P34" s="225">
        <v>55008</v>
      </c>
      <c r="Q34" s="225">
        <v>57914</v>
      </c>
      <c r="R34" s="225">
        <v>74666</v>
      </c>
      <c r="S34" s="225">
        <v>77103</v>
      </c>
      <c r="T34" s="225">
        <v>87267</v>
      </c>
      <c r="U34" s="225">
        <v>90517</v>
      </c>
      <c r="V34" s="225">
        <v>105767</v>
      </c>
      <c r="W34" s="225">
        <v>115057</v>
      </c>
      <c r="X34" s="225">
        <v>122735</v>
      </c>
      <c r="Y34" s="225">
        <v>144228</v>
      </c>
    </row>
    <row r="35" spans="1:27" ht="15" thickBot="1" x14ac:dyDescent="0.4">
      <c r="A35" s="213" t="s">
        <v>340</v>
      </c>
      <c r="B35" s="206"/>
      <c r="C35" s="214">
        <f t="shared" ref="C35:P35" si="4">SUM(C36:C40)</f>
        <v>43414</v>
      </c>
      <c r="D35" s="214">
        <f t="shared" si="4"/>
        <v>49203</v>
      </c>
      <c r="E35" s="214">
        <f t="shared" si="4"/>
        <v>40468</v>
      </c>
      <c r="F35" s="214">
        <f t="shared" si="4"/>
        <v>42632</v>
      </c>
      <c r="G35" s="214">
        <f t="shared" si="4"/>
        <v>991598</v>
      </c>
      <c r="H35" s="214">
        <f t="shared" si="4"/>
        <v>996589</v>
      </c>
      <c r="I35" s="214">
        <f t="shared" si="4"/>
        <v>1056780</v>
      </c>
      <c r="J35" s="214">
        <f t="shared" si="4"/>
        <v>1089513</v>
      </c>
      <c r="K35" s="214">
        <f t="shared" si="4"/>
        <v>1109622</v>
      </c>
      <c r="L35" s="214">
        <f t="shared" si="4"/>
        <v>1123962</v>
      </c>
      <c r="M35" s="214">
        <f t="shared" si="4"/>
        <v>1125277</v>
      </c>
      <c r="N35" s="214">
        <f t="shared" si="4"/>
        <v>1177543</v>
      </c>
      <c r="O35" s="214">
        <f t="shared" si="4"/>
        <v>1207625</v>
      </c>
      <c r="P35" s="214">
        <f t="shared" si="4"/>
        <v>1245680</v>
      </c>
      <c r="Q35" s="214">
        <f t="shared" ref="Q35:X35" si="5">SUM(Q36:Q40)</f>
        <v>1303120</v>
      </c>
      <c r="R35" s="214">
        <f t="shared" si="5"/>
        <v>1368451</v>
      </c>
      <c r="S35" s="214">
        <f t="shared" si="5"/>
        <v>1406150</v>
      </c>
      <c r="T35" s="214">
        <f t="shared" si="5"/>
        <v>1477364</v>
      </c>
      <c r="U35" s="214">
        <f t="shared" si="5"/>
        <v>1561022</v>
      </c>
      <c r="V35" s="214">
        <f t="shared" si="5"/>
        <v>1658792</v>
      </c>
      <c r="W35" s="214">
        <f t="shared" si="5"/>
        <v>1760062</v>
      </c>
      <c r="X35" s="214">
        <f t="shared" si="5"/>
        <v>1895932</v>
      </c>
      <c r="Y35" s="214">
        <f>SUM(Y36:Y40)</f>
        <v>2013307</v>
      </c>
    </row>
    <row r="36" spans="1:27" x14ac:dyDescent="0.35">
      <c r="A36" s="209" t="s">
        <v>341</v>
      </c>
      <c r="B36" s="210"/>
      <c r="C36" s="225">
        <v>168</v>
      </c>
      <c r="D36" s="225">
        <v>168</v>
      </c>
      <c r="E36" s="225">
        <v>168</v>
      </c>
      <c r="F36" s="225">
        <v>168</v>
      </c>
      <c r="G36" s="225">
        <v>168</v>
      </c>
      <c r="H36" s="225">
        <v>169</v>
      </c>
      <c r="I36" s="225">
        <v>169</v>
      </c>
      <c r="J36" s="225">
        <v>169</v>
      </c>
      <c r="K36" s="225">
        <v>169</v>
      </c>
      <c r="L36" s="225">
        <v>169</v>
      </c>
      <c r="M36" s="225">
        <v>169</v>
      </c>
      <c r="N36" s="225">
        <v>169</v>
      </c>
      <c r="O36" s="225">
        <v>169</v>
      </c>
      <c r="P36" s="225">
        <v>7086</v>
      </c>
      <c r="Q36" s="225">
        <v>7017</v>
      </c>
      <c r="R36" s="225">
        <v>6947</v>
      </c>
      <c r="S36" s="225">
        <v>6878</v>
      </c>
      <c r="T36" s="225">
        <v>6809</v>
      </c>
      <c r="U36" s="225">
        <v>6739</v>
      </c>
      <c r="V36" s="225">
        <v>6670</v>
      </c>
      <c r="W36" s="225">
        <v>6600</v>
      </c>
      <c r="X36" s="225">
        <v>6531</v>
      </c>
      <c r="Y36" s="225">
        <v>6462</v>
      </c>
    </row>
    <row r="37" spans="1:27" x14ac:dyDescent="0.35">
      <c r="A37" s="209" t="s">
        <v>388</v>
      </c>
      <c r="B37" s="210"/>
      <c r="C37" s="225">
        <v>0</v>
      </c>
      <c r="D37" s="225">
        <v>0</v>
      </c>
      <c r="E37" s="225">
        <v>0</v>
      </c>
      <c r="F37" s="225"/>
      <c r="G37" s="225">
        <v>191490</v>
      </c>
      <c r="H37" s="225">
        <v>208781</v>
      </c>
      <c r="I37" s="225">
        <v>281490</v>
      </c>
      <c r="J37" s="225">
        <v>46149</v>
      </c>
      <c r="K37" s="225">
        <v>64653</v>
      </c>
      <c r="L37" s="225">
        <v>94395</v>
      </c>
      <c r="M37" s="225">
        <v>75984</v>
      </c>
      <c r="N37" s="225">
        <v>101353</v>
      </c>
      <c r="O37" s="225">
        <v>136423</v>
      </c>
      <c r="P37" s="225">
        <v>158790</v>
      </c>
      <c r="Q37" s="225">
        <v>198761</v>
      </c>
      <c r="R37" s="225">
        <v>185860</v>
      </c>
      <c r="S37" s="225">
        <v>207008</v>
      </c>
      <c r="T37" s="225">
        <v>216662</v>
      </c>
      <c r="U37" s="225">
        <v>275035</v>
      </c>
      <c r="V37" s="225">
        <v>200977</v>
      </c>
      <c r="W37" s="225">
        <v>378282</v>
      </c>
      <c r="X37" s="225">
        <v>443454</v>
      </c>
      <c r="Y37" s="225">
        <v>441532</v>
      </c>
    </row>
    <row r="38" spans="1:27" x14ac:dyDescent="0.35">
      <c r="A38" s="209" t="s">
        <v>343</v>
      </c>
      <c r="B38" s="210"/>
      <c r="C38" s="225">
        <v>29553</v>
      </c>
      <c r="D38" s="225">
        <v>27883</v>
      </c>
      <c r="E38" s="225">
        <v>29603</v>
      </c>
      <c r="F38" s="225">
        <v>31254</v>
      </c>
      <c r="G38" s="225">
        <v>0</v>
      </c>
      <c r="H38" s="225"/>
      <c r="I38" s="225"/>
      <c r="J38" s="225"/>
      <c r="K38" s="225"/>
      <c r="L38" s="225"/>
      <c r="M38" s="225"/>
      <c r="N38" s="225"/>
      <c r="O38" s="225"/>
      <c r="X38" s="225">
        <v>0</v>
      </c>
      <c r="Y38" s="225"/>
    </row>
    <row r="39" spans="1:27" x14ac:dyDescent="0.35">
      <c r="A39" s="209" t="s">
        <v>345</v>
      </c>
      <c r="B39" s="210"/>
      <c r="C39" s="225"/>
      <c r="D39" s="225"/>
      <c r="E39" s="225"/>
      <c r="F39" s="225"/>
      <c r="G39" s="225"/>
      <c r="H39" s="225"/>
      <c r="I39" s="225"/>
      <c r="J39" s="225"/>
      <c r="K39" s="225">
        <v>3711</v>
      </c>
      <c r="L39" s="225">
        <v>2776</v>
      </c>
      <c r="M39" s="225">
        <v>3527</v>
      </c>
      <c r="N39" s="225">
        <v>3363</v>
      </c>
      <c r="O39" s="225">
        <v>3646</v>
      </c>
      <c r="P39" s="225">
        <v>3556</v>
      </c>
      <c r="Q39" s="225">
        <v>879</v>
      </c>
      <c r="R39" s="225">
        <v>1118</v>
      </c>
      <c r="S39" s="225">
        <v>1035</v>
      </c>
      <c r="T39" s="225">
        <v>967</v>
      </c>
      <c r="U39" s="225">
        <v>881</v>
      </c>
      <c r="V39" s="225">
        <v>926</v>
      </c>
      <c r="W39" s="225">
        <v>836</v>
      </c>
      <c r="X39" s="225">
        <v>646</v>
      </c>
      <c r="Y39" s="225">
        <v>491</v>
      </c>
      <c r="Z39" s="225"/>
    </row>
    <row r="40" spans="1:27" ht="15" thickBot="1" x14ac:dyDescent="0.4">
      <c r="A40" s="209" t="s">
        <v>344</v>
      </c>
      <c r="B40" s="210"/>
      <c r="C40" s="225">
        <v>13693</v>
      </c>
      <c r="D40" s="225">
        <v>21152</v>
      </c>
      <c r="E40" s="225">
        <v>10697</v>
      </c>
      <c r="F40" s="225">
        <v>11210</v>
      </c>
      <c r="G40" s="225">
        <v>799940</v>
      </c>
      <c r="H40" s="225">
        <v>787639</v>
      </c>
      <c r="I40" s="225">
        <v>775121</v>
      </c>
      <c r="J40" s="225">
        <v>1043195</v>
      </c>
      <c r="K40" s="225">
        <v>1041089</v>
      </c>
      <c r="L40" s="225">
        <v>1026622</v>
      </c>
      <c r="M40" s="225">
        <v>1045597</v>
      </c>
      <c r="N40" s="225">
        <v>1072658</v>
      </c>
      <c r="O40" s="225">
        <v>1067387</v>
      </c>
      <c r="P40" s="225">
        <v>1076248</v>
      </c>
      <c r="Q40" s="225">
        <v>1096463</v>
      </c>
      <c r="R40" s="225">
        <v>1174526</v>
      </c>
      <c r="S40" s="225">
        <v>1191229</v>
      </c>
      <c r="T40" s="225">
        <v>1252926</v>
      </c>
      <c r="U40" s="225">
        <v>1278367</v>
      </c>
      <c r="V40" s="225">
        <v>1450219</v>
      </c>
      <c r="W40" s="225">
        <v>1374344</v>
      </c>
      <c r="X40" s="225">
        <v>1445301</v>
      </c>
      <c r="Y40" s="225">
        <v>1564822</v>
      </c>
    </row>
    <row r="41" spans="1:27" ht="15" thickBot="1" x14ac:dyDescent="0.4">
      <c r="A41" s="213" t="s">
        <v>346</v>
      </c>
      <c r="B41" s="206"/>
      <c r="C41" s="214">
        <f t="shared" ref="C41:X41" si="6">C8+C22</f>
        <v>2345678</v>
      </c>
      <c r="D41" s="214">
        <f t="shared" si="6"/>
        <v>2905674</v>
      </c>
      <c r="E41" s="214">
        <f t="shared" si="6"/>
        <v>2954192</v>
      </c>
      <c r="F41" s="214">
        <f t="shared" si="6"/>
        <v>3007356.51058</v>
      </c>
      <c r="G41" s="214">
        <f t="shared" si="6"/>
        <v>3906893.0024600001</v>
      </c>
      <c r="H41" s="214">
        <f t="shared" si="6"/>
        <v>3535166.6301100003</v>
      </c>
      <c r="I41" s="214">
        <f t="shared" si="6"/>
        <v>3740688</v>
      </c>
      <c r="J41" s="214">
        <f t="shared" si="6"/>
        <v>3410794</v>
      </c>
      <c r="K41" s="214">
        <f t="shared" si="6"/>
        <v>3667295</v>
      </c>
      <c r="L41" s="214">
        <f t="shared" si="6"/>
        <v>3678203</v>
      </c>
      <c r="M41" s="214">
        <f t="shared" si="6"/>
        <v>4078714</v>
      </c>
      <c r="N41" s="214">
        <f t="shared" si="6"/>
        <v>4308515</v>
      </c>
      <c r="O41" s="214">
        <f t="shared" si="6"/>
        <v>3431242</v>
      </c>
      <c r="P41" s="214">
        <f t="shared" si="6"/>
        <v>3298229</v>
      </c>
      <c r="Q41" s="214">
        <f t="shared" si="6"/>
        <v>4081225</v>
      </c>
      <c r="R41" s="214">
        <f t="shared" si="6"/>
        <v>4289085</v>
      </c>
      <c r="S41" s="214">
        <f t="shared" si="6"/>
        <v>4224519</v>
      </c>
      <c r="T41" s="214">
        <f t="shared" si="6"/>
        <v>4206987</v>
      </c>
      <c r="U41" s="214">
        <f t="shared" si="6"/>
        <v>4210009</v>
      </c>
      <c r="V41" s="214">
        <f t="shared" si="6"/>
        <v>4041510</v>
      </c>
      <c r="W41" s="214">
        <f t="shared" si="6"/>
        <v>4057874</v>
      </c>
      <c r="X41" s="214">
        <f t="shared" si="6"/>
        <v>4130983</v>
      </c>
      <c r="Y41" s="214">
        <f>Y8+Y22</f>
        <v>4263690</v>
      </c>
    </row>
    <row r="42" spans="1:27" x14ac:dyDescent="0.35">
      <c r="A42" s="209"/>
      <c r="B42" s="210"/>
    </row>
    <row r="43" spans="1:27" ht="15" thickBot="1" x14ac:dyDescent="0.4">
      <c r="A43" s="5" t="s">
        <v>347</v>
      </c>
      <c r="B43" s="204"/>
      <c r="C43" s="573" t="str">
        <f>C7</f>
        <v>1T18</v>
      </c>
      <c r="D43" s="573" t="str">
        <f>D7</f>
        <v>2T18</v>
      </c>
      <c r="E43" s="573" t="s">
        <v>63</v>
      </c>
      <c r="F43" s="573" t="s">
        <v>64</v>
      </c>
      <c r="G43" s="573" t="s">
        <v>65</v>
      </c>
      <c r="H43" s="573" t="s">
        <v>66</v>
      </c>
      <c r="I43" s="573" t="s">
        <v>67</v>
      </c>
      <c r="J43" s="573" t="s">
        <v>68</v>
      </c>
      <c r="K43" s="573" t="str">
        <f t="shared" ref="K43:P43" si="7">K7</f>
        <v>1T20</v>
      </c>
      <c r="L43" s="573" t="str">
        <f t="shared" si="7"/>
        <v>2T20</v>
      </c>
      <c r="M43" s="573" t="str">
        <f t="shared" si="7"/>
        <v>3T20</v>
      </c>
      <c r="N43" s="573" t="str">
        <f t="shared" si="7"/>
        <v>4T20</v>
      </c>
      <c r="O43" s="573" t="str">
        <f t="shared" si="7"/>
        <v>1T21</v>
      </c>
      <c r="P43" s="573" t="str">
        <f t="shared" si="7"/>
        <v>2T21</v>
      </c>
      <c r="Q43" s="573" t="s">
        <v>75</v>
      </c>
      <c r="R43" s="573" t="s">
        <v>76</v>
      </c>
      <c r="S43" s="573" t="s">
        <v>77</v>
      </c>
      <c r="T43" s="573" t="s">
        <v>78</v>
      </c>
      <c r="U43" s="573" t="s">
        <v>79</v>
      </c>
      <c r="V43" s="573" t="str">
        <f>V7</f>
        <v>4T22</v>
      </c>
      <c r="W43" s="573" t="str">
        <f>W7</f>
        <v>1T23</v>
      </c>
      <c r="X43" s="573" t="s">
        <v>82</v>
      </c>
      <c r="Y43" s="573" t="s">
        <v>83</v>
      </c>
    </row>
    <row r="44" spans="1:27" ht="15" thickBot="1" x14ac:dyDescent="0.4">
      <c r="A44" s="205" t="s">
        <v>316</v>
      </c>
      <c r="B44" s="206"/>
      <c r="C44" s="207">
        <f t="shared" ref="C44:X44" si="8">SUM(C45:C62)</f>
        <v>1112868</v>
      </c>
      <c r="D44" s="207">
        <f t="shared" si="8"/>
        <v>1175495</v>
      </c>
      <c r="E44" s="207">
        <f t="shared" si="8"/>
        <v>1436221</v>
      </c>
      <c r="F44" s="207">
        <f t="shared" si="8"/>
        <v>1303390</v>
      </c>
      <c r="G44" s="207">
        <f t="shared" si="8"/>
        <v>952837</v>
      </c>
      <c r="H44" s="207">
        <f t="shared" si="8"/>
        <v>507791</v>
      </c>
      <c r="I44" s="207">
        <f t="shared" si="8"/>
        <v>414933</v>
      </c>
      <c r="J44" s="207">
        <f t="shared" si="8"/>
        <v>606078</v>
      </c>
      <c r="K44" s="207">
        <f t="shared" si="8"/>
        <v>794458</v>
      </c>
      <c r="L44" s="207">
        <f t="shared" si="8"/>
        <v>942565</v>
      </c>
      <c r="M44" s="207">
        <f t="shared" si="8"/>
        <v>1100990</v>
      </c>
      <c r="N44" s="207">
        <f t="shared" si="8"/>
        <v>1300545</v>
      </c>
      <c r="O44" s="207">
        <f t="shared" si="8"/>
        <v>931871</v>
      </c>
      <c r="P44" s="207">
        <f t="shared" si="8"/>
        <v>920712</v>
      </c>
      <c r="Q44" s="207">
        <f t="shared" si="8"/>
        <v>1068262</v>
      </c>
      <c r="R44" s="207">
        <f t="shared" si="8"/>
        <v>1339006</v>
      </c>
      <c r="S44" s="207">
        <f t="shared" si="8"/>
        <v>1090742</v>
      </c>
      <c r="T44" s="207">
        <f t="shared" si="8"/>
        <v>1031968</v>
      </c>
      <c r="U44" s="207">
        <f t="shared" si="8"/>
        <v>1023774</v>
      </c>
      <c r="V44" s="207">
        <f t="shared" si="8"/>
        <v>853522</v>
      </c>
      <c r="W44" s="207">
        <f t="shared" si="8"/>
        <v>827457</v>
      </c>
      <c r="X44" s="207">
        <f t="shared" si="8"/>
        <v>890356</v>
      </c>
      <c r="Y44" s="207">
        <f>SUM(Y45:Y62)</f>
        <v>822072</v>
      </c>
      <c r="AA44" s="114"/>
    </row>
    <row r="45" spans="1:27" x14ac:dyDescent="0.35">
      <c r="A45" s="218" t="s">
        <v>348</v>
      </c>
      <c r="B45" s="219"/>
      <c r="C45" s="225">
        <v>160186</v>
      </c>
      <c r="D45" s="225">
        <v>195084</v>
      </c>
      <c r="E45" s="225">
        <v>333356</v>
      </c>
      <c r="F45" s="225">
        <v>369364</v>
      </c>
      <c r="G45" s="225">
        <v>176979</v>
      </c>
      <c r="H45" s="225">
        <v>139365</v>
      </c>
      <c r="I45" s="225">
        <v>166946</v>
      </c>
      <c r="J45" s="225">
        <v>231544</v>
      </c>
      <c r="K45" s="225">
        <v>185751</v>
      </c>
      <c r="L45" s="225">
        <v>184506</v>
      </c>
      <c r="M45" s="225">
        <v>183941</v>
      </c>
      <c r="N45" s="225">
        <v>273979</v>
      </c>
      <c r="O45" s="225">
        <v>225629</v>
      </c>
      <c r="P45" s="225">
        <v>209677</v>
      </c>
      <c r="Q45" s="225">
        <v>253495</v>
      </c>
      <c r="R45" s="225">
        <v>352751</v>
      </c>
      <c r="S45" s="225">
        <v>240302</v>
      </c>
      <c r="T45" s="225">
        <v>253335</v>
      </c>
      <c r="U45" s="225">
        <v>235069</v>
      </c>
      <c r="V45" s="225">
        <v>301057</v>
      </c>
      <c r="W45" s="225">
        <v>262638</v>
      </c>
      <c r="X45" s="225">
        <v>298500</v>
      </c>
      <c r="Y45" s="225">
        <v>299149</v>
      </c>
    </row>
    <row r="46" spans="1:27" x14ac:dyDescent="0.35">
      <c r="A46" s="218" t="s">
        <v>350</v>
      </c>
      <c r="B46" s="219"/>
      <c r="C46" s="225">
        <v>18945</v>
      </c>
      <c r="D46" s="225">
        <v>21752</v>
      </c>
      <c r="E46" s="225">
        <v>21650</v>
      </c>
      <c r="F46" s="225">
        <v>16948</v>
      </c>
      <c r="G46" s="225">
        <v>15506</v>
      </c>
      <c r="H46" s="225">
        <v>10493</v>
      </c>
      <c r="I46" s="225">
        <v>11481</v>
      </c>
      <c r="J46" s="225">
        <v>8970</v>
      </c>
      <c r="K46" s="225">
        <v>8986</v>
      </c>
      <c r="L46" s="225">
        <v>10099</v>
      </c>
      <c r="M46" s="225">
        <v>11292</v>
      </c>
      <c r="N46" s="225">
        <v>9207</v>
      </c>
      <c r="O46" s="225">
        <v>8078</v>
      </c>
      <c r="P46" s="225">
        <v>8506</v>
      </c>
      <c r="Q46" s="225">
        <v>9145</v>
      </c>
      <c r="R46" s="225">
        <v>8227</v>
      </c>
      <c r="S46" s="225">
        <v>8781</v>
      </c>
      <c r="T46" s="225">
        <v>9603</v>
      </c>
      <c r="U46" s="225">
        <v>10210</v>
      </c>
      <c r="V46" s="225">
        <v>8426</v>
      </c>
      <c r="W46" s="225">
        <v>9521</v>
      </c>
      <c r="X46" s="225">
        <v>9989</v>
      </c>
      <c r="Y46" s="225">
        <v>11126</v>
      </c>
    </row>
    <row r="47" spans="1:27" x14ac:dyDescent="0.35">
      <c r="A47" s="209" t="s">
        <v>367</v>
      </c>
      <c r="B47" s="210"/>
      <c r="C47" s="225">
        <v>348914</v>
      </c>
      <c r="D47" s="225">
        <v>465664</v>
      </c>
      <c r="E47" s="225">
        <v>402922</v>
      </c>
      <c r="F47" s="225">
        <v>225519</v>
      </c>
      <c r="G47" s="225">
        <v>194419</v>
      </c>
      <c r="H47" s="225">
        <v>154032</v>
      </c>
      <c r="I47" s="225">
        <v>108551</v>
      </c>
      <c r="J47" s="225">
        <v>73156</v>
      </c>
      <c r="K47" s="225">
        <v>155286</v>
      </c>
      <c r="L47" s="225">
        <v>242061</v>
      </c>
      <c r="M47" s="225">
        <v>323531</v>
      </c>
      <c r="N47" s="225">
        <v>418296</v>
      </c>
      <c r="O47" s="225">
        <v>386654</v>
      </c>
      <c r="P47" s="225">
        <v>397153</v>
      </c>
      <c r="Q47" s="225">
        <v>397124</v>
      </c>
      <c r="R47" s="225">
        <v>399136</v>
      </c>
      <c r="S47" s="225">
        <v>390103</v>
      </c>
      <c r="T47" s="225">
        <v>395432</v>
      </c>
      <c r="U47" s="225">
        <v>374521</v>
      </c>
      <c r="V47" s="225">
        <v>189655</v>
      </c>
      <c r="W47" s="225">
        <v>198064</v>
      </c>
      <c r="X47" s="225">
        <v>181431</v>
      </c>
      <c r="Y47" s="225">
        <v>45475</v>
      </c>
    </row>
    <row r="48" spans="1:27" x14ac:dyDescent="0.35">
      <c r="A48" s="209" t="s">
        <v>191</v>
      </c>
      <c r="B48" s="210"/>
      <c r="C48" s="225">
        <v>0</v>
      </c>
      <c r="D48" s="225">
        <v>0</v>
      </c>
      <c r="E48" s="225">
        <v>0</v>
      </c>
      <c r="F48" s="225"/>
      <c r="G48" s="225">
        <v>0</v>
      </c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>
        <v>5726</v>
      </c>
      <c r="W48" s="225">
        <v>14894</v>
      </c>
      <c r="X48" s="225">
        <v>6911</v>
      </c>
      <c r="Y48" s="225">
        <v>16097</v>
      </c>
    </row>
    <row r="49" spans="1:25" x14ac:dyDescent="0.35">
      <c r="A49" s="209" t="s">
        <v>554</v>
      </c>
      <c r="B49" s="210"/>
      <c r="C49" s="225">
        <v>143399</v>
      </c>
      <c r="D49" s="225">
        <v>92553</v>
      </c>
      <c r="E49" s="225">
        <v>266912</v>
      </c>
      <c r="F49" s="225">
        <v>271973</v>
      </c>
      <c r="G49" s="225">
        <v>264509</v>
      </c>
      <c r="H49" s="225"/>
      <c r="I49" s="225"/>
      <c r="J49" s="225">
        <v>10077</v>
      </c>
      <c r="K49" s="225">
        <v>32687</v>
      </c>
      <c r="L49" s="225"/>
      <c r="M49" s="225">
        <v>215126</v>
      </c>
      <c r="N49" s="225">
        <v>184479</v>
      </c>
      <c r="O49" s="225"/>
      <c r="P49" s="225"/>
      <c r="Q49" s="225"/>
      <c r="R49" s="225"/>
      <c r="S49" s="225"/>
      <c r="T49" s="225"/>
      <c r="U49" s="225"/>
      <c r="V49" s="225"/>
      <c r="W49" s="225"/>
      <c r="X49" s="225">
        <v>0</v>
      </c>
      <c r="Y49" s="225"/>
    </row>
    <row r="50" spans="1:25" x14ac:dyDescent="0.35">
      <c r="A50" s="209" t="s">
        <v>353</v>
      </c>
      <c r="B50" s="210"/>
      <c r="C50" s="225">
        <v>90974</v>
      </c>
      <c r="D50" s="225">
        <v>89402</v>
      </c>
      <c r="E50" s="225">
        <v>84678</v>
      </c>
      <c r="F50" s="225">
        <v>90976</v>
      </c>
      <c r="G50" s="225">
        <v>82299</v>
      </c>
      <c r="H50" s="225">
        <v>53818</v>
      </c>
      <c r="I50" s="225">
        <v>54945</v>
      </c>
      <c r="J50" s="225">
        <v>73443</v>
      </c>
      <c r="K50" s="225">
        <v>61491</v>
      </c>
      <c r="L50" s="225">
        <v>75658</v>
      </c>
      <c r="M50" s="225">
        <v>68694</v>
      </c>
      <c r="N50" s="225">
        <v>152922</v>
      </c>
      <c r="O50" s="225">
        <v>69038</v>
      </c>
      <c r="P50" s="225">
        <v>27361</v>
      </c>
      <c r="Q50" s="225">
        <v>78455</v>
      </c>
      <c r="R50" s="225">
        <v>80861</v>
      </c>
      <c r="S50" s="225">
        <v>77521</v>
      </c>
      <c r="T50" s="225">
        <v>65864</v>
      </c>
      <c r="U50" s="225">
        <v>53973</v>
      </c>
      <c r="V50" s="225">
        <v>60437</v>
      </c>
      <c r="W50" s="225">
        <v>61427</v>
      </c>
      <c r="X50" s="225">
        <v>63088</v>
      </c>
      <c r="Y50" s="225">
        <v>67568</v>
      </c>
    </row>
    <row r="51" spans="1:25" x14ac:dyDescent="0.35">
      <c r="A51" s="209" t="s">
        <v>394</v>
      </c>
      <c r="B51" s="210"/>
      <c r="C51" s="225">
        <v>0</v>
      </c>
      <c r="D51" s="225">
        <v>0</v>
      </c>
      <c r="E51" s="225">
        <v>0</v>
      </c>
      <c r="F51" s="225">
        <v>9218</v>
      </c>
      <c r="G51" s="225">
        <v>0</v>
      </c>
      <c r="H51" s="225"/>
      <c r="I51" s="225">
        <v>2149</v>
      </c>
      <c r="J51" s="225">
        <v>29395</v>
      </c>
      <c r="K51" s="225">
        <v>25050</v>
      </c>
      <c r="L51" s="225">
        <v>55223</v>
      </c>
      <c r="M51" s="225">
        <v>8793</v>
      </c>
      <c r="N51" s="225">
        <v>8797</v>
      </c>
      <c r="O51" s="225">
        <v>6528</v>
      </c>
      <c r="P51" s="225">
        <v>14948</v>
      </c>
      <c r="Q51" s="225">
        <v>7775</v>
      </c>
      <c r="R51" s="225">
        <v>6668</v>
      </c>
      <c r="S51" s="225">
        <v>4898</v>
      </c>
      <c r="T51" s="225">
        <v>13106</v>
      </c>
      <c r="U51" s="225">
        <v>18442</v>
      </c>
      <c r="V51" s="225">
        <v>27287</v>
      </c>
      <c r="W51" s="225">
        <v>5397</v>
      </c>
      <c r="X51" s="225">
        <v>16860</v>
      </c>
      <c r="Y51" s="225">
        <v>23648</v>
      </c>
    </row>
    <row r="52" spans="1:25" x14ac:dyDescent="0.35">
      <c r="A52" s="209" t="s">
        <v>395</v>
      </c>
      <c r="B52" s="210"/>
      <c r="C52" s="225">
        <v>0</v>
      </c>
      <c r="D52" s="225">
        <v>0</v>
      </c>
      <c r="E52" s="225">
        <v>0</v>
      </c>
      <c r="F52" s="225"/>
      <c r="G52" s="225">
        <v>0</v>
      </c>
      <c r="H52" s="225"/>
      <c r="I52" s="225"/>
      <c r="J52" s="225"/>
      <c r="K52" s="225"/>
      <c r="L52" s="225"/>
      <c r="M52" s="225"/>
      <c r="N52" s="225">
        <v>56946</v>
      </c>
      <c r="O52" s="225">
        <v>56946</v>
      </c>
      <c r="P52" s="225">
        <v>64110</v>
      </c>
      <c r="Q52" s="225">
        <v>64110</v>
      </c>
      <c r="R52" s="225">
        <v>259306</v>
      </c>
      <c r="S52" s="225">
        <v>179536</v>
      </c>
      <c r="T52" s="225">
        <v>179529</v>
      </c>
      <c r="U52" s="225">
        <v>179529</v>
      </c>
      <c r="V52" s="225">
        <v>69481</v>
      </c>
      <c r="W52" s="225">
        <v>69348</v>
      </c>
      <c r="X52" s="225">
        <v>69348</v>
      </c>
      <c r="Y52" s="225">
        <v>118048</v>
      </c>
    </row>
    <row r="53" spans="1:25" x14ac:dyDescent="0.35">
      <c r="A53" s="209" t="s">
        <v>572</v>
      </c>
      <c r="B53" s="210"/>
      <c r="C53" s="225">
        <v>25469</v>
      </c>
      <c r="D53" s="225">
        <v>29451</v>
      </c>
      <c r="E53" s="225">
        <v>46778</v>
      </c>
      <c r="F53" s="225">
        <v>64694</v>
      </c>
      <c r="G53" s="225">
        <v>3876</v>
      </c>
      <c r="H53" s="225">
        <v>9928</v>
      </c>
      <c r="I53" s="225"/>
      <c r="J53" s="225">
        <v>21887</v>
      </c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>
        <v>0</v>
      </c>
      <c r="Y53" s="225"/>
    </row>
    <row r="54" spans="1:25" x14ac:dyDescent="0.35">
      <c r="A54" s="209" t="s">
        <v>357</v>
      </c>
      <c r="B54" s="210"/>
      <c r="C54" s="225">
        <v>45513</v>
      </c>
      <c r="D54" s="225">
        <v>47522</v>
      </c>
      <c r="E54" s="225">
        <v>48927</v>
      </c>
      <c r="F54" s="225">
        <v>53010</v>
      </c>
      <c r="G54" s="225">
        <v>52804</v>
      </c>
      <c r="H54" s="225">
        <v>48265</v>
      </c>
      <c r="I54" s="225">
        <v>20245</v>
      </c>
      <c r="J54" s="225"/>
      <c r="K54" s="225">
        <v>19914</v>
      </c>
      <c r="L54" s="225">
        <v>18566</v>
      </c>
      <c r="M54" s="225">
        <v>19826</v>
      </c>
      <c r="N54" s="225">
        <v>22069</v>
      </c>
      <c r="O54" s="225">
        <v>24578</v>
      </c>
      <c r="P54" s="225">
        <v>23608</v>
      </c>
      <c r="Q54" s="225">
        <v>25926</v>
      </c>
      <c r="R54" s="225">
        <v>33102</v>
      </c>
      <c r="S54" s="225">
        <v>36759</v>
      </c>
      <c r="T54" s="225">
        <v>24532</v>
      </c>
      <c r="U54" s="225">
        <v>22702</v>
      </c>
      <c r="V54" s="225">
        <v>22742</v>
      </c>
      <c r="W54" s="225">
        <v>21952</v>
      </c>
      <c r="X54" s="225">
        <v>16634</v>
      </c>
      <c r="Y54" s="225">
        <v>11943</v>
      </c>
    </row>
    <row r="55" spans="1:25" x14ac:dyDescent="0.35">
      <c r="A55" s="209" t="s">
        <v>555</v>
      </c>
      <c r="B55" s="210"/>
      <c r="C55" s="225">
        <v>0</v>
      </c>
      <c r="D55" s="225">
        <v>0</v>
      </c>
      <c r="E55" s="225">
        <v>0</v>
      </c>
      <c r="F55" s="225">
        <v>12841</v>
      </c>
      <c r="G55" s="225">
        <v>0</v>
      </c>
      <c r="H55" s="225">
        <v>11622</v>
      </c>
      <c r="I55" s="225">
        <v>13524</v>
      </c>
      <c r="J55" s="225">
        <v>45279</v>
      </c>
      <c r="K55" s="225">
        <v>48290</v>
      </c>
      <c r="L55" s="225">
        <v>50248</v>
      </c>
      <c r="M55" s="225">
        <v>50480</v>
      </c>
      <c r="N55" s="225">
        <v>73276</v>
      </c>
      <c r="O55" s="225">
        <v>77251</v>
      </c>
      <c r="P55" s="225">
        <v>111734</v>
      </c>
      <c r="Q55" s="225">
        <v>68172</v>
      </c>
      <c r="R55" s="225">
        <v>61767</v>
      </c>
      <c r="S55" s="225">
        <v>62537</v>
      </c>
      <c r="T55" s="225">
        <v>51404</v>
      </c>
      <c r="U55" s="225">
        <v>47583</v>
      </c>
      <c r="V55" s="225">
        <v>63922</v>
      </c>
      <c r="W55" s="225">
        <v>64900</v>
      </c>
      <c r="X55" s="225">
        <v>64649</v>
      </c>
      <c r="Y55" s="225">
        <v>50490</v>
      </c>
    </row>
    <row r="56" spans="1:25" x14ac:dyDescent="0.35">
      <c r="A56" s="209" t="s">
        <v>359</v>
      </c>
      <c r="B56" s="210"/>
      <c r="C56" s="225">
        <v>0</v>
      </c>
      <c r="D56" s="225">
        <v>0</v>
      </c>
      <c r="E56" s="225">
        <v>0</v>
      </c>
      <c r="F56" s="225"/>
      <c r="G56" s="225">
        <v>0</v>
      </c>
      <c r="H56" s="225"/>
      <c r="I56" s="225">
        <v>5371</v>
      </c>
      <c r="J56" s="225">
        <v>10741</v>
      </c>
      <c r="K56" s="225">
        <v>12945</v>
      </c>
      <c r="L56" s="225">
        <v>6590</v>
      </c>
      <c r="M56" s="225">
        <v>7159</v>
      </c>
      <c r="N56" s="225">
        <v>9363</v>
      </c>
      <c r="O56" s="225">
        <v>11392</v>
      </c>
      <c r="P56" s="225">
        <v>5462</v>
      </c>
      <c r="Q56" s="225">
        <v>7490</v>
      </c>
      <c r="R56" s="225">
        <v>9918</v>
      </c>
      <c r="S56" s="225">
        <v>12154</v>
      </c>
      <c r="T56" s="225">
        <v>8155</v>
      </c>
      <c r="U56" s="225">
        <v>9731</v>
      </c>
      <c r="V56" s="225">
        <v>12019</v>
      </c>
      <c r="W56" s="225">
        <v>6287</v>
      </c>
      <c r="X56" s="225">
        <v>5522</v>
      </c>
      <c r="Y56" s="225">
        <v>7874</v>
      </c>
    </row>
    <row r="57" spans="1:25" x14ac:dyDescent="0.35">
      <c r="A57" s="209" t="s">
        <v>384</v>
      </c>
      <c r="B57" s="210"/>
      <c r="C57" s="225">
        <v>0</v>
      </c>
      <c r="D57" s="225">
        <v>0</v>
      </c>
      <c r="E57" s="225">
        <v>0</v>
      </c>
      <c r="F57" s="225"/>
      <c r="G57" s="225">
        <v>0</v>
      </c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>
        <v>0</v>
      </c>
      <c r="Y57" s="225"/>
    </row>
    <row r="58" spans="1:25" x14ac:dyDescent="0.35">
      <c r="A58" s="209" t="s">
        <v>325</v>
      </c>
      <c r="B58" s="210"/>
      <c r="C58" s="225">
        <v>0</v>
      </c>
      <c r="D58" s="225">
        <v>0</v>
      </c>
      <c r="E58" s="225">
        <v>0</v>
      </c>
      <c r="F58" s="225"/>
      <c r="G58" s="225">
        <v>0</v>
      </c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>
        <v>69</v>
      </c>
      <c r="W58" s="225">
        <v>203</v>
      </c>
      <c r="X58" s="225">
        <v>0</v>
      </c>
      <c r="Y58" s="225">
        <v>213</v>
      </c>
    </row>
    <row r="59" spans="1:25" x14ac:dyDescent="0.35">
      <c r="A59" s="209" t="s">
        <v>363</v>
      </c>
      <c r="B59" s="210"/>
      <c r="C59" s="225"/>
      <c r="D59" s="225"/>
      <c r="E59" s="225"/>
      <c r="F59" s="225"/>
      <c r="G59" s="225"/>
      <c r="H59" s="225"/>
      <c r="I59" s="225"/>
      <c r="J59" s="225">
        <v>19024</v>
      </c>
      <c r="K59" s="225">
        <v>157168</v>
      </c>
      <c r="L59" s="225">
        <v>209520</v>
      </c>
      <c r="M59" s="225">
        <v>122281</v>
      </c>
      <c r="N59" s="225"/>
      <c r="O59" s="225"/>
      <c r="P59" s="225"/>
      <c r="Q59" s="225">
        <v>87842</v>
      </c>
      <c r="R59" s="225">
        <v>48788</v>
      </c>
      <c r="S59" s="225">
        <v>9732</v>
      </c>
      <c r="T59" s="225"/>
      <c r="U59" s="225"/>
      <c r="V59" s="225"/>
      <c r="W59" s="225"/>
      <c r="X59" s="225">
        <v>310</v>
      </c>
      <c r="Y59" s="225">
        <v>42</v>
      </c>
    </row>
    <row r="60" spans="1:25" x14ac:dyDescent="0.35">
      <c r="A60" s="209" t="s">
        <v>396</v>
      </c>
      <c r="B60" s="210"/>
      <c r="C60" s="225">
        <v>252000</v>
      </c>
      <c r="D60" s="225">
        <v>208000</v>
      </c>
      <c r="E60" s="225">
        <v>208000</v>
      </c>
      <c r="F60" s="225">
        <v>168000</v>
      </c>
      <c r="G60" s="225">
        <v>146651</v>
      </c>
      <c r="H60" s="225">
        <v>72000</v>
      </c>
      <c r="I60" s="225">
        <v>471</v>
      </c>
      <c r="J60" s="225">
        <v>50370</v>
      </c>
      <c r="K60" s="225">
        <v>46574</v>
      </c>
      <c r="L60" s="225">
        <v>43034</v>
      </c>
      <c r="M60" s="225">
        <v>41731</v>
      </c>
      <c r="N60" s="225">
        <v>48069</v>
      </c>
      <c r="O60" s="225">
        <v>45909</v>
      </c>
      <c r="P60" s="225">
        <v>36163</v>
      </c>
      <c r="Q60" s="225">
        <v>28171</v>
      </c>
      <c r="R60" s="225">
        <v>19067</v>
      </c>
      <c r="S60" s="225">
        <v>17130</v>
      </c>
      <c r="T60" s="225">
        <v>11496</v>
      </c>
      <c r="U60" s="225">
        <v>10312</v>
      </c>
      <c r="V60" s="225">
        <v>10596</v>
      </c>
      <c r="W60" s="225">
        <v>11646</v>
      </c>
      <c r="X60" s="225">
        <v>10903</v>
      </c>
      <c r="Y60" s="225">
        <v>10613</v>
      </c>
    </row>
    <row r="61" spans="1:25" x14ac:dyDescent="0.35">
      <c r="A61" s="209" t="s">
        <v>364</v>
      </c>
      <c r="B61" s="210"/>
      <c r="C61" s="225"/>
      <c r="D61" s="225"/>
      <c r="E61" s="225"/>
      <c r="F61" s="225"/>
      <c r="G61" s="225"/>
      <c r="H61" s="225"/>
      <c r="I61" s="225"/>
      <c r="J61" s="225">
        <v>292</v>
      </c>
      <c r="K61" s="225">
        <v>1921</v>
      </c>
      <c r="L61" s="225">
        <v>1855</v>
      </c>
      <c r="M61" s="225">
        <v>1152</v>
      </c>
      <c r="N61" s="225">
        <v>1364</v>
      </c>
      <c r="O61" s="225">
        <v>1239</v>
      </c>
      <c r="P61" s="225">
        <v>1074</v>
      </c>
      <c r="Q61" s="225">
        <v>248</v>
      </c>
      <c r="R61" s="225">
        <v>327</v>
      </c>
      <c r="S61" s="225">
        <v>328</v>
      </c>
      <c r="T61" s="225">
        <v>326</v>
      </c>
      <c r="U61" s="225">
        <v>325</v>
      </c>
      <c r="V61" s="225">
        <v>362</v>
      </c>
      <c r="W61" s="225">
        <v>349</v>
      </c>
      <c r="X61" s="225">
        <v>290</v>
      </c>
      <c r="Y61" s="225">
        <v>249</v>
      </c>
    </row>
    <row r="62" spans="1:25" ht="15" thickBot="1" x14ac:dyDescent="0.4">
      <c r="A62" s="209" t="s">
        <v>366</v>
      </c>
      <c r="B62" s="210"/>
      <c r="C62" s="225">
        <v>27468</v>
      </c>
      <c r="D62" s="225">
        <v>26067</v>
      </c>
      <c r="E62" s="225">
        <v>22998</v>
      </c>
      <c r="F62" s="225">
        <v>20847</v>
      </c>
      <c r="G62" s="225">
        <v>15794</v>
      </c>
      <c r="H62" s="225">
        <v>8268</v>
      </c>
      <c r="I62" s="225">
        <v>31250</v>
      </c>
      <c r="J62" s="225">
        <v>31900</v>
      </c>
      <c r="K62" s="225">
        <v>38395</v>
      </c>
      <c r="L62" s="225">
        <v>45205</v>
      </c>
      <c r="M62" s="225">
        <v>46984</v>
      </c>
      <c r="N62" s="225">
        <v>41778</v>
      </c>
      <c r="O62" s="225">
        <v>18629</v>
      </c>
      <c r="P62" s="225">
        <v>20916</v>
      </c>
      <c r="Q62" s="225">
        <v>40309</v>
      </c>
      <c r="R62" s="225">
        <v>59088</v>
      </c>
      <c r="S62" s="225">
        <v>50961</v>
      </c>
      <c r="T62" s="225">
        <v>19186</v>
      </c>
      <c r="U62" s="225">
        <v>61377</v>
      </c>
      <c r="V62" s="225">
        <v>81743</v>
      </c>
      <c r="W62" s="225">
        <v>100831</v>
      </c>
      <c r="X62" s="225">
        <v>145921</v>
      </c>
      <c r="Y62" s="225">
        <v>159537</v>
      </c>
    </row>
    <row r="63" spans="1:25" ht="15" thickBot="1" x14ac:dyDescent="0.4">
      <c r="A63" s="213" t="s">
        <v>333</v>
      </c>
      <c r="B63" s="206"/>
      <c r="C63" s="214">
        <f>SUM(C64:C79)</f>
        <v>2339702</v>
      </c>
      <c r="D63" s="214">
        <f>SUM(D64:D79)</f>
        <v>2576569.4275000002</v>
      </c>
      <c r="E63" s="214">
        <f>SUM(E64:E79)</f>
        <v>2551708</v>
      </c>
      <c r="F63" s="214">
        <f>SUM(F64:F79)</f>
        <v>2734786</v>
      </c>
      <c r="G63" s="214">
        <f>SUM(G64:G79)</f>
        <v>3356930</v>
      </c>
      <c r="H63" s="214">
        <f t="shared" ref="H63:W63" si="9">SUM(H64:H79)</f>
        <v>3415517</v>
      </c>
      <c r="I63" s="214">
        <f t="shared" si="9"/>
        <v>3674351</v>
      </c>
      <c r="J63" s="214">
        <f t="shared" si="9"/>
        <v>3096184</v>
      </c>
      <c r="K63" s="214">
        <f t="shared" si="9"/>
        <v>3131848</v>
      </c>
      <c r="L63" s="214">
        <f t="shared" si="9"/>
        <v>2955870</v>
      </c>
      <c r="M63" s="214">
        <f t="shared" si="9"/>
        <v>3054438</v>
      </c>
      <c r="N63" s="214">
        <f t="shared" si="9"/>
        <v>2877446</v>
      </c>
      <c r="O63" s="214">
        <f t="shared" si="9"/>
        <v>2302374</v>
      </c>
      <c r="P63" s="214">
        <f t="shared" si="9"/>
        <v>2016028</v>
      </c>
      <c r="Q63" s="214">
        <f t="shared" si="9"/>
        <v>1914352</v>
      </c>
      <c r="R63" s="214">
        <f t="shared" si="9"/>
        <v>1894458</v>
      </c>
      <c r="S63" s="214">
        <f t="shared" si="9"/>
        <v>1924429</v>
      </c>
      <c r="T63" s="214">
        <f t="shared" si="9"/>
        <v>1867939</v>
      </c>
      <c r="U63" s="214">
        <f t="shared" si="9"/>
        <v>1802880</v>
      </c>
      <c r="V63" s="214">
        <f t="shared" si="9"/>
        <v>2041883</v>
      </c>
      <c r="W63" s="214">
        <f t="shared" si="9"/>
        <v>2001411</v>
      </c>
      <c r="X63" s="214">
        <f>SUM(X64:X79)</f>
        <v>1936368</v>
      </c>
      <c r="Y63" s="214">
        <f>SUM(Y64:Y79)</f>
        <v>2039899</v>
      </c>
    </row>
    <row r="64" spans="1:25" x14ac:dyDescent="0.35">
      <c r="A64" s="209" t="s">
        <v>367</v>
      </c>
      <c r="B64" s="210"/>
      <c r="C64" s="237">
        <v>1709233</v>
      </c>
      <c r="D64" s="237">
        <v>1695136</v>
      </c>
      <c r="E64" s="237">
        <v>1779181</v>
      </c>
      <c r="F64" s="237">
        <v>2248995</v>
      </c>
      <c r="G64" s="237">
        <v>2690214</v>
      </c>
      <c r="H64" s="237">
        <v>2682148</v>
      </c>
      <c r="I64" s="237">
        <v>2673499</v>
      </c>
      <c r="J64" s="237">
        <v>2123362</v>
      </c>
      <c r="K64" s="237">
        <v>2301026</v>
      </c>
      <c r="L64" s="237">
        <v>2221980</v>
      </c>
      <c r="M64" s="237">
        <v>2231012</v>
      </c>
      <c r="N64" s="237">
        <v>2195769</v>
      </c>
      <c r="O64" s="237">
        <v>1569188</v>
      </c>
      <c r="P64" s="237">
        <v>1469917</v>
      </c>
      <c r="Q64" s="237">
        <v>1381800</v>
      </c>
      <c r="R64" s="237">
        <v>1410923</v>
      </c>
      <c r="S64" s="237">
        <v>1441060</v>
      </c>
      <c r="T64" s="237">
        <v>1365108</v>
      </c>
      <c r="U64" s="237">
        <v>1300797</v>
      </c>
      <c r="V64" s="237">
        <v>1274829</v>
      </c>
      <c r="W64" s="237">
        <v>1225957</v>
      </c>
      <c r="X64" s="237">
        <v>1151887</v>
      </c>
      <c r="Y64" s="237">
        <v>1264016</v>
      </c>
    </row>
    <row r="65" spans="1:25" x14ac:dyDescent="0.35">
      <c r="A65" s="209" t="s">
        <v>191</v>
      </c>
      <c r="B65" s="210"/>
      <c r="C65" s="237">
        <v>0</v>
      </c>
      <c r="D65" s="237">
        <v>0</v>
      </c>
      <c r="E65" s="237">
        <v>0</v>
      </c>
      <c r="F65" s="237"/>
      <c r="G65" s="237">
        <v>0</v>
      </c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>
        <v>297444</v>
      </c>
      <c r="W65" s="237">
        <v>299806</v>
      </c>
      <c r="X65" s="237">
        <v>301137</v>
      </c>
      <c r="Y65" s="237">
        <v>301500</v>
      </c>
    </row>
    <row r="66" spans="1:25" x14ac:dyDescent="0.35">
      <c r="A66" s="209" t="s">
        <v>353</v>
      </c>
      <c r="B66" s="210"/>
      <c r="C66" s="237">
        <v>31586</v>
      </c>
      <c r="D66" s="237">
        <v>158322</v>
      </c>
      <c r="E66" s="237">
        <v>194662</v>
      </c>
      <c r="F66" s="237">
        <v>23797</v>
      </c>
      <c r="G66" s="237">
        <v>180221</v>
      </c>
      <c r="H66" s="237">
        <v>179863</v>
      </c>
      <c r="I66" s="237">
        <v>275515.00000000006</v>
      </c>
      <c r="J66" s="237">
        <v>9209</v>
      </c>
      <c r="K66" s="237">
        <v>8876</v>
      </c>
      <c r="L66" s="237">
        <v>7749</v>
      </c>
      <c r="M66" s="237">
        <v>29160</v>
      </c>
      <c r="N66" s="237">
        <v>37514</v>
      </c>
      <c r="O66" s="237">
        <v>34404</v>
      </c>
      <c r="P66" s="237">
        <v>31339</v>
      </c>
      <c r="Q66" s="237">
        <v>28239</v>
      </c>
      <c r="R66" s="237">
        <v>25201</v>
      </c>
      <c r="S66" s="237">
        <v>22514</v>
      </c>
      <c r="T66" s="237">
        <v>20560</v>
      </c>
      <c r="U66" s="237">
        <v>18577</v>
      </c>
      <c r="V66" s="237">
        <v>16494</v>
      </c>
      <c r="W66" s="237">
        <v>14314</v>
      </c>
      <c r="X66" s="237">
        <v>12048</v>
      </c>
      <c r="Y66" s="237">
        <v>9694</v>
      </c>
    </row>
    <row r="67" spans="1:25" x14ac:dyDescent="0.35">
      <c r="A67" s="209" t="s">
        <v>578</v>
      </c>
      <c r="B67" s="210"/>
      <c r="C67" s="237"/>
      <c r="D67" s="237"/>
      <c r="E67" s="237"/>
      <c r="F67" s="237"/>
      <c r="G67" s="237"/>
      <c r="H67" s="237"/>
      <c r="I67" s="237"/>
      <c r="J67" s="237"/>
      <c r="K67" s="237">
        <v>159487</v>
      </c>
      <c r="L67" s="237">
        <v>159487</v>
      </c>
      <c r="M67" s="237">
        <v>159487</v>
      </c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>
        <v>0</v>
      </c>
      <c r="Y67" s="237"/>
    </row>
    <row r="68" spans="1:25" x14ac:dyDescent="0.35">
      <c r="A68" s="209" t="s">
        <v>391</v>
      </c>
      <c r="B68" s="210"/>
      <c r="C68" s="237">
        <v>97872</v>
      </c>
      <c r="D68" s="237">
        <v>249469</v>
      </c>
      <c r="E68" s="237">
        <v>144986</v>
      </c>
      <c r="F68" s="237">
        <v>228645</v>
      </c>
      <c r="G68" s="237">
        <v>242495</v>
      </c>
      <c r="H68" s="237">
        <v>277377</v>
      </c>
      <c r="I68" s="237">
        <v>280912</v>
      </c>
      <c r="J68" s="237">
        <f>34839+159487</f>
        <v>194326</v>
      </c>
      <c r="K68" s="237">
        <v>34839</v>
      </c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>
        <v>0</v>
      </c>
      <c r="Y68" s="237"/>
    </row>
    <row r="69" spans="1:25" x14ac:dyDescent="0.35">
      <c r="A69" s="209" t="s">
        <v>325</v>
      </c>
      <c r="B69" s="210"/>
      <c r="C69" s="237">
        <v>0</v>
      </c>
      <c r="D69" s="237">
        <v>0</v>
      </c>
      <c r="E69" s="237">
        <v>0</v>
      </c>
      <c r="F69" s="237"/>
      <c r="G69" s="237">
        <v>0</v>
      </c>
      <c r="H69" s="237"/>
      <c r="I69" s="237">
        <v>168076</v>
      </c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>
        <v>6251</v>
      </c>
      <c r="W69" s="237">
        <v>15012</v>
      </c>
      <c r="X69" s="237">
        <v>26535</v>
      </c>
      <c r="Y69" s="237">
        <v>21020</v>
      </c>
    </row>
    <row r="70" spans="1:25" x14ac:dyDescent="0.35">
      <c r="A70" s="209" t="s">
        <v>396</v>
      </c>
      <c r="B70" s="210"/>
      <c r="C70" s="237">
        <v>195503</v>
      </c>
      <c r="D70" s="237">
        <v>156489</v>
      </c>
      <c r="E70" s="237">
        <v>111203</v>
      </c>
      <c r="F70" s="237">
        <v>117839</v>
      </c>
      <c r="G70" s="237">
        <v>125896</v>
      </c>
      <c r="H70" s="237">
        <v>129474</v>
      </c>
      <c r="I70" s="237">
        <v>127175</v>
      </c>
      <c r="J70" s="237">
        <v>223934</v>
      </c>
      <c r="K70" s="237">
        <v>218988</v>
      </c>
      <c r="L70" s="237">
        <v>212060</v>
      </c>
      <c r="M70" s="237">
        <v>196655</v>
      </c>
      <c r="N70" s="237">
        <v>176995</v>
      </c>
      <c r="O70" s="237">
        <v>172811</v>
      </c>
      <c r="P70" s="237">
        <v>174705</v>
      </c>
      <c r="Q70" s="237">
        <v>172109</v>
      </c>
      <c r="R70" s="237">
        <v>149473</v>
      </c>
      <c r="S70" s="237">
        <v>153227</v>
      </c>
      <c r="T70" s="237">
        <v>157422</v>
      </c>
      <c r="U70" s="237">
        <v>152920</v>
      </c>
      <c r="V70" s="237">
        <v>154676</v>
      </c>
      <c r="W70" s="237">
        <v>156650</v>
      </c>
      <c r="X70" s="237">
        <v>158704</v>
      </c>
      <c r="Y70" s="237">
        <v>156887</v>
      </c>
    </row>
    <row r="71" spans="1:25" x14ac:dyDescent="0.35">
      <c r="A71" s="209" t="s">
        <v>554</v>
      </c>
      <c r="B71" s="210"/>
      <c r="C71" s="237">
        <v>0</v>
      </c>
      <c r="D71" s="237">
        <v>0</v>
      </c>
      <c r="E71" s="237">
        <v>0</v>
      </c>
      <c r="F71" s="237"/>
      <c r="G71" s="237">
        <v>0</v>
      </c>
      <c r="H71" s="237"/>
      <c r="I71" s="237"/>
      <c r="J71" s="237"/>
      <c r="K71" s="237"/>
      <c r="L71" s="237"/>
      <c r="M71" s="237"/>
      <c r="N71" s="237"/>
      <c r="O71" s="237">
        <v>58481</v>
      </c>
      <c r="P71" s="237">
        <v>15700</v>
      </c>
      <c r="Q71" s="237"/>
      <c r="R71" s="237"/>
      <c r="S71" s="237"/>
      <c r="T71" s="237">
        <v>12452</v>
      </c>
      <c r="U71" s="237">
        <v>18385</v>
      </c>
      <c r="V71" s="237">
        <v>3910</v>
      </c>
      <c r="W71" s="237">
        <v>452</v>
      </c>
      <c r="X71" s="237">
        <v>0</v>
      </c>
      <c r="Y71" s="237"/>
    </row>
    <row r="72" spans="1:25" x14ac:dyDescent="0.35">
      <c r="A72" s="209" t="s">
        <v>384</v>
      </c>
      <c r="B72" s="210"/>
      <c r="C72" s="237">
        <v>0</v>
      </c>
      <c r="D72" s="237">
        <v>0</v>
      </c>
      <c r="E72" s="237">
        <v>0</v>
      </c>
      <c r="F72" s="237"/>
      <c r="G72" s="237">
        <v>0</v>
      </c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>
        <v>0</v>
      </c>
      <c r="Y72" s="237"/>
    </row>
    <row r="73" spans="1:25" x14ac:dyDescent="0.35">
      <c r="A73" s="209" t="s">
        <v>357</v>
      </c>
      <c r="B73" s="210"/>
      <c r="C73" s="237">
        <v>0</v>
      </c>
      <c r="D73" s="237">
        <v>0</v>
      </c>
      <c r="E73" s="237">
        <v>0</v>
      </c>
      <c r="F73" s="237"/>
      <c r="G73" s="237">
        <v>0</v>
      </c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>
        <v>0</v>
      </c>
      <c r="Y73" s="237"/>
    </row>
    <row r="74" spans="1:25" x14ac:dyDescent="0.35">
      <c r="A74" s="209" t="s">
        <v>555</v>
      </c>
      <c r="B74" s="210"/>
      <c r="C74" s="237">
        <v>32828</v>
      </c>
      <c r="D74" s="237">
        <v>41287</v>
      </c>
      <c r="E74" s="237">
        <v>42429</v>
      </c>
      <c r="F74" s="237">
        <v>45552</v>
      </c>
      <c r="G74" s="237">
        <v>47772</v>
      </c>
      <c r="H74" s="237">
        <v>50985</v>
      </c>
      <c r="I74" s="237">
        <v>52479</v>
      </c>
      <c r="J74" s="237">
        <v>25833</v>
      </c>
      <c r="K74" s="237">
        <v>26114</v>
      </c>
      <c r="L74" s="237">
        <v>26325</v>
      </c>
      <c r="M74" s="237">
        <v>26460</v>
      </c>
      <c r="N74" s="237">
        <v>7997</v>
      </c>
      <c r="O74" s="237">
        <v>7395</v>
      </c>
      <c r="P74" s="237">
        <v>7459</v>
      </c>
      <c r="Q74" s="237"/>
      <c r="R74" s="237">
        <v>7560</v>
      </c>
      <c r="S74" s="237">
        <v>9004</v>
      </c>
      <c r="T74" s="237">
        <v>16232</v>
      </c>
      <c r="U74" s="237"/>
      <c r="V74" s="237">
        <v>5149</v>
      </c>
      <c r="W74" s="237">
        <v>7224</v>
      </c>
      <c r="X74" s="237">
        <v>7214</v>
      </c>
      <c r="Y74" s="237">
        <v>8585</v>
      </c>
    </row>
    <row r="75" spans="1:25" x14ac:dyDescent="0.35">
      <c r="A75" s="209" t="s">
        <v>363</v>
      </c>
      <c r="B75" s="210"/>
      <c r="C75" s="237"/>
      <c r="D75" s="237"/>
      <c r="E75" s="237"/>
      <c r="F75" s="237"/>
      <c r="G75" s="237"/>
      <c r="H75" s="237"/>
      <c r="I75" s="237"/>
      <c r="J75" s="237">
        <v>271210</v>
      </c>
      <c r="K75" s="237">
        <v>137949</v>
      </c>
      <c r="L75" s="237">
        <v>87598</v>
      </c>
      <c r="M75" s="237">
        <v>176067</v>
      </c>
      <c r="N75" s="237">
        <v>299236</v>
      </c>
      <c r="O75" s="237">
        <v>299750</v>
      </c>
      <c r="P75" s="237">
        <v>153621</v>
      </c>
      <c r="Q75" s="237">
        <v>153821</v>
      </c>
      <c r="R75" s="237">
        <v>154005</v>
      </c>
      <c r="S75" s="237">
        <v>154280</v>
      </c>
      <c r="T75" s="237">
        <v>154619</v>
      </c>
      <c r="U75" s="237">
        <v>155010</v>
      </c>
      <c r="V75" s="237">
        <v>155388</v>
      </c>
      <c r="W75" s="237">
        <v>155772</v>
      </c>
      <c r="X75" s="237">
        <v>153510</v>
      </c>
      <c r="Y75" s="237">
        <v>154008</v>
      </c>
    </row>
    <row r="76" spans="1:25" x14ac:dyDescent="0.35">
      <c r="A76" s="209" t="s">
        <v>399</v>
      </c>
      <c r="B76" s="210"/>
      <c r="C76" s="237">
        <v>183004</v>
      </c>
      <c r="D76" s="237">
        <v>185873</v>
      </c>
      <c r="E76" s="237">
        <v>188825</v>
      </c>
      <c r="F76" s="237"/>
      <c r="G76" s="237">
        <v>0</v>
      </c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>
        <v>0</v>
      </c>
      <c r="Y76" s="237"/>
    </row>
    <row r="77" spans="1:25" x14ac:dyDescent="0.35">
      <c r="A77" s="209" t="s">
        <v>401</v>
      </c>
      <c r="B77" s="210"/>
      <c r="C77" s="237">
        <v>54468</v>
      </c>
      <c r="D77" s="237">
        <v>54468.427499999998</v>
      </c>
      <c r="E77" s="237">
        <v>54468</v>
      </c>
      <c r="F77" s="237">
        <v>33733</v>
      </c>
      <c r="G77" s="237">
        <v>33733</v>
      </c>
      <c r="H77" s="237">
        <v>33733</v>
      </c>
      <c r="I77" s="237">
        <v>33733</v>
      </c>
      <c r="J77" s="237">
        <v>93605</v>
      </c>
      <c r="K77" s="237">
        <v>93605</v>
      </c>
      <c r="L77" s="237">
        <v>93605</v>
      </c>
      <c r="M77" s="237">
        <v>93605</v>
      </c>
      <c r="N77" s="237">
        <v>105241</v>
      </c>
      <c r="O77" s="237">
        <v>105241</v>
      </c>
      <c r="P77" s="237">
        <v>105241</v>
      </c>
      <c r="Q77" s="237">
        <v>105241</v>
      </c>
      <c r="R77" s="237">
        <v>94622</v>
      </c>
      <c r="S77" s="237">
        <v>94622</v>
      </c>
      <c r="T77" s="237">
        <v>94622</v>
      </c>
      <c r="U77" s="237">
        <v>94622</v>
      </c>
      <c r="V77" s="237">
        <v>86191</v>
      </c>
      <c r="W77" s="237">
        <v>87398</v>
      </c>
      <c r="X77" s="237">
        <v>88604</v>
      </c>
      <c r="Y77" s="237">
        <v>89811</v>
      </c>
    </row>
    <row r="78" spans="1:25" x14ac:dyDescent="0.35">
      <c r="A78" s="209" t="s">
        <v>366</v>
      </c>
      <c r="B78" s="210"/>
      <c r="C78" s="237">
        <v>35208</v>
      </c>
      <c r="D78" s="237">
        <v>35525</v>
      </c>
      <c r="E78" s="237">
        <v>35954</v>
      </c>
      <c r="F78" s="237">
        <v>36225</v>
      </c>
      <c r="G78" s="237">
        <v>36599</v>
      </c>
      <c r="H78" s="237">
        <v>61937</v>
      </c>
      <c r="I78" s="237">
        <v>62962</v>
      </c>
      <c r="J78" s="237">
        <v>154052</v>
      </c>
      <c r="K78" s="237">
        <v>145927</v>
      </c>
      <c r="L78" s="237">
        <v>142472</v>
      </c>
      <c r="M78" s="237">
        <v>139618</v>
      </c>
      <c r="N78" s="237">
        <v>52695</v>
      </c>
      <c r="O78" s="237">
        <v>52697</v>
      </c>
      <c r="P78" s="237">
        <v>55403</v>
      </c>
      <c r="Q78" s="237">
        <v>72444</v>
      </c>
      <c r="R78" s="237">
        <v>51805</v>
      </c>
      <c r="S78" s="237">
        <v>48934</v>
      </c>
      <c r="T78" s="237">
        <v>46207</v>
      </c>
      <c r="U78" s="237">
        <v>61940</v>
      </c>
      <c r="V78" s="237">
        <v>40917</v>
      </c>
      <c r="W78" s="237">
        <v>38271</v>
      </c>
      <c r="X78" s="237">
        <v>36322</v>
      </c>
      <c r="Y78" s="237">
        <v>34057</v>
      </c>
    </row>
    <row r="79" spans="1:25" ht="15" thickBot="1" x14ac:dyDescent="0.4">
      <c r="A79" s="209" t="s">
        <v>364</v>
      </c>
      <c r="B79" s="210"/>
      <c r="C79" s="237"/>
      <c r="D79" s="237"/>
      <c r="E79" s="237"/>
      <c r="F79" s="237"/>
      <c r="G79" s="237"/>
      <c r="H79" s="237"/>
      <c r="I79" s="237"/>
      <c r="J79" s="237">
        <v>653</v>
      </c>
      <c r="K79" s="237">
        <v>5037</v>
      </c>
      <c r="L79" s="237">
        <v>4594</v>
      </c>
      <c r="M79" s="237">
        <v>2374</v>
      </c>
      <c r="N79" s="237">
        <v>1999</v>
      </c>
      <c r="O79" s="237">
        <v>2407</v>
      </c>
      <c r="P79" s="237">
        <v>2643</v>
      </c>
      <c r="Q79" s="237">
        <v>698</v>
      </c>
      <c r="R79" s="237">
        <v>869</v>
      </c>
      <c r="S79" s="237">
        <v>788</v>
      </c>
      <c r="T79" s="237">
        <v>717</v>
      </c>
      <c r="U79" s="237">
        <v>629</v>
      </c>
      <c r="V79" s="237">
        <v>634</v>
      </c>
      <c r="W79" s="237">
        <v>555</v>
      </c>
      <c r="X79" s="237">
        <v>407</v>
      </c>
      <c r="Y79" s="237">
        <v>321</v>
      </c>
    </row>
    <row r="80" spans="1:25" ht="15" thickBot="1" x14ac:dyDescent="0.4">
      <c r="A80" s="213" t="s">
        <v>371</v>
      </c>
      <c r="B80" s="206"/>
      <c r="C80" s="214">
        <f>SUM(C81:C87)</f>
        <v>-1106892</v>
      </c>
      <c r="D80" s="214">
        <f>SUM(D81:D87)</f>
        <v>-846390</v>
      </c>
      <c r="E80" s="214">
        <f>SUM(E81:E87)</f>
        <v>-1033737</v>
      </c>
      <c r="F80" s="214">
        <f>SUM(F81:F87)</f>
        <v>-1030819</v>
      </c>
      <c r="G80" s="214">
        <f>SUM(G81:G87)</f>
        <v>-402874</v>
      </c>
      <c r="H80" s="214">
        <f t="shared" ref="H80:X80" si="10">SUM(H81:H87)</f>
        <v>-388141</v>
      </c>
      <c r="I80" s="214">
        <f t="shared" si="10"/>
        <v>-348596</v>
      </c>
      <c r="J80" s="214">
        <f t="shared" si="10"/>
        <v>-291468</v>
      </c>
      <c r="K80" s="214">
        <f t="shared" si="10"/>
        <v>-259011</v>
      </c>
      <c r="L80" s="214">
        <f t="shared" si="10"/>
        <v>-220232</v>
      </c>
      <c r="M80" s="214">
        <f t="shared" si="10"/>
        <v>-76714</v>
      </c>
      <c r="N80" s="214">
        <f t="shared" si="10"/>
        <v>130524</v>
      </c>
      <c r="O80" s="214">
        <f t="shared" si="10"/>
        <v>196997</v>
      </c>
      <c r="P80" s="214">
        <f t="shared" si="10"/>
        <v>361489</v>
      </c>
      <c r="Q80" s="214">
        <f t="shared" si="10"/>
        <v>1098611</v>
      </c>
      <c r="R80" s="214">
        <f t="shared" si="10"/>
        <v>1055621</v>
      </c>
      <c r="S80" s="214">
        <f t="shared" si="10"/>
        <v>1209348</v>
      </c>
      <c r="T80" s="214">
        <f t="shared" si="10"/>
        <v>1307080</v>
      </c>
      <c r="U80" s="214">
        <f t="shared" si="10"/>
        <v>1383355</v>
      </c>
      <c r="V80" s="214">
        <f t="shared" si="10"/>
        <v>1146105</v>
      </c>
      <c r="W80" s="214">
        <f t="shared" si="10"/>
        <v>1229006</v>
      </c>
      <c r="X80" s="214">
        <f t="shared" si="10"/>
        <v>1304259</v>
      </c>
      <c r="Y80" s="214">
        <f>SUM(Y81:Y87)</f>
        <v>1401719</v>
      </c>
    </row>
    <row r="81" spans="1:25" x14ac:dyDescent="0.35">
      <c r="A81" s="209" t="s">
        <v>402</v>
      </c>
      <c r="B81" s="210"/>
      <c r="C81" s="225">
        <v>734754</v>
      </c>
      <c r="D81" s="225">
        <v>734754</v>
      </c>
      <c r="E81" s="225">
        <v>734754</v>
      </c>
      <c r="F81" s="225">
        <v>734754</v>
      </c>
      <c r="G81" s="225">
        <v>1280574</v>
      </c>
      <c r="H81" s="225">
        <v>1284321</v>
      </c>
      <c r="I81" s="225">
        <v>1284825</v>
      </c>
      <c r="J81" s="225">
        <v>1284825</v>
      </c>
      <c r="K81" s="225">
        <v>1284825</v>
      </c>
      <c r="L81" s="225">
        <v>1284825</v>
      </c>
      <c r="M81" s="225">
        <v>1284825</v>
      </c>
      <c r="N81" s="225">
        <v>164672</v>
      </c>
      <c r="O81" s="225">
        <v>1000</v>
      </c>
      <c r="P81" s="225">
        <v>296227</v>
      </c>
      <c r="Q81" s="225">
        <v>296227</v>
      </c>
      <c r="R81" s="225">
        <v>296227</v>
      </c>
      <c r="S81" s="225">
        <v>296227</v>
      </c>
      <c r="T81" s="225">
        <v>605780</v>
      </c>
      <c r="U81" s="225">
        <v>605780</v>
      </c>
      <c r="V81" s="225">
        <v>605780</v>
      </c>
      <c r="W81" s="225">
        <v>605780</v>
      </c>
      <c r="X81" s="225">
        <v>605780</v>
      </c>
      <c r="Y81" s="225">
        <v>605780</v>
      </c>
    </row>
    <row r="82" spans="1:25" x14ac:dyDescent="0.35">
      <c r="A82" s="209" t="s">
        <v>570</v>
      </c>
      <c r="B82" s="210"/>
      <c r="C82" s="225">
        <v>0</v>
      </c>
      <c r="D82" s="225">
        <v>0</v>
      </c>
      <c r="E82" s="225">
        <v>0</v>
      </c>
      <c r="F82" s="225"/>
      <c r="G82" s="225">
        <v>0</v>
      </c>
      <c r="H82" s="225"/>
      <c r="I82" s="225"/>
      <c r="J82" s="225"/>
      <c r="K82" s="225"/>
      <c r="L82" s="225"/>
      <c r="M82" s="225"/>
      <c r="N82" s="225">
        <v>6720</v>
      </c>
      <c r="O82" s="225">
        <v>9125</v>
      </c>
      <c r="P82" s="225">
        <v>8518</v>
      </c>
      <c r="Q82" s="225">
        <v>9431</v>
      </c>
      <c r="R82" s="225"/>
      <c r="S82" s="225"/>
      <c r="T82" s="225"/>
      <c r="U82" s="225"/>
      <c r="V82" s="225"/>
      <c r="W82" s="225"/>
      <c r="X82" s="225">
        <v>0</v>
      </c>
      <c r="Y82" s="225"/>
    </row>
    <row r="83" spans="1:25" x14ac:dyDescent="0.35">
      <c r="A83" s="209" t="s">
        <v>376</v>
      </c>
      <c r="B83" s="210"/>
      <c r="C83" s="225">
        <v>0</v>
      </c>
      <c r="D83" s="225">
        <v>0</v>
      </c>
      <c r="E83" s="225">
        <v>0</v>
      </c>
      <c r="F83" s="225"/>
      <c r="G83" s="225">
        <v>0</v>
      </c>
      <c r="H83" s="225">
        <v>93111</v>
      </c>
      <c r="I83" s="225"/>
      <c r="J83" s="225"/>
      <c r="K83" s="225"/>
      <c r="L83" s="225"/>
      <c r="M83" s="225"/>
      <c r="N83" s="225">
        <v>138719</v>
      </c>
      <c r="O83" s="225">
        <v>302391</v>
      </c>
      <c r="P83" s="225"/>
      <c r="Q83" s="225"/>
      <c r="R83" s="225">
        <v>925385</v>
      </c>
      <c r="S83" s="225">
        <v>1005540</v>
      </c>
      <c r="T83" s="225">
        <v>696470</v>
      </c>
      <c r="U83" s="225">
        <v>696958</v>
      </c>
      <c r="V83" s="225">
        <v>691509</v>
      </c>
      <c r="W83" s="225">
        <v>691726</v>
      </c>
      <c r="X83" s="225">
        <v>691946</v>
      </c>
      <c r="Y83" s="225">
        <v>643616</v>
      </c>
    </row>
    <row r="84" spans="1:25" x14ac:dyDescent="0.35">
      <c r="A84" s="209" t="s">
        <v>575</v>
      </c>
      <c r="B84" s="210"/>
      <c r="C84" s="225">
        <v>-73352</v>
      </c>
      <c r="D84" s="225">
        <v>-73352</v>
      </c>
      <c r="E84" s="225">
        <v>-73352</v>
      </c>
      <c r="F84" s="225"/>
      <c r="G84" s="225">
        <v>-40972</v>
      </c>
      <c r="H84" s="225">
        <v>-113569</v>
      </c>
      <c r="I84" s="225">
        <v>-72597</v>
      </c>
      <c r="J84" s="225">
        <v>-198515</v>
      </c>
      <c r="K84" s="225">
        <v>-198515</v>
      </c>
      <c r="L84" s="225">
        <v>-198515</v>
      </c>
      <c r="M84" s="225">
        <v>-198515</v>
      </c>
      <c r="N84" s="225">
        <v>-179587</v>
      </c>
      <c r="O84" s="225">
        <v>-179587</v>
      </c>
      <c r="P84" s="225">
        <v>-179587</v>
      </c>
      <c r="Q84" s="225">
        <v>-179587</v>
      </c>
      <c r="R84" s="225"/>
      <c r="S84" s="225"/>
      <c r="T84" s="225"/>
      <c r="U84" s="225">
        <v>-165991</v>
      </c>
      <c r="V84" s="225">
        <v>-151184</v>
      </c>
      <c r="W84" s="225">
        <v>-154194</v>
      </c>
      <c r="X84" s="225">
        <v>-156670</v>
      </c>
      <c r="Y84" s="225">
        <v>-127410</v>
      </c>
    </row>
    <row r="85" spans="1:25" x14ac:dyDescent="0.35">
      <c r="A85" s="209" t="s">
        <v>403</v>
      </c>
      <c r="B85" s="210"/>
      <c r="C85" s="225">
        <v>-1768294</v>
      </c>
      <c r="D85" s="225">
        <v>-1507792</v>
      </c>
      <c r="E85" s="225">
        <v>-1695139</v>
      </c>
      <c r="F85" s="225">
        <v>-1765573</v>
      </c>
      <c r="G85" s="225">
        <v>-1642476</v>
      </c>
      <c r="H85" s="225">
        <v>-1652004</v>
      </c>
      <c r="I85" s="225">
        <v>-1652003</v>
      </c>
      <c r="J85" s="225">
        <v>-1377778</v>
      </c>
      <c r="K85" s="225">
        <v>-1377778</v>
      </c>
      <c r="L85" s="225">
        <v>-1377779</v>
      </c>
      <c r="M85" s="225">
        <v>-1377778</v>
      </c>
      <c r="N85" s="225"/>
      <c r="O85" s="225"/>
      <c r="P85" s="225"/>
      <c r="Q85" s="225"/>
      <c r="R85" s="225"/>
      <c r="S85" s="225"/>
      <c r="T85" s="225"/>
      <c r="U85" s="225">
        <v>246608</v>
      </c>
      <c r="V85" s="225"/>
      <c r="W85" s="225"/>
      <c r="X85" s="225">
        <v>0</v>
      </c>
      <c r="Y85" s="225"/>
    </row>
    <row r="86" spans="1:25" x14ac:dyDescent="0.35">
      <c r="A86" s="209" t="s">
        <v>579</v>
      </c>
      <c r="B86" s="210"/>
      <c r="C86" s="225"/>
      <c r="D86" s="225"/>
      <c r="E86" s="225"/>
      <c r="F86" s="225"/>
      <c r="G86" s="225"/>
      <c r="H86" s="225"/>
      <c r="I86" s="225">
        <v>-40972</v>
      </c>
      <c r="J86" s="225"/>
      <c r="K86" s="225"/>
      <c r="L86" s="225"/>
      <c r="M86" s="225"/>
      <c r="N86" s="225"/>
      <c r="O86" s="225"/>
      <c r="P86" s="225"/>
      <c r="Q86" s="225"/>
      <c r="R86" s="225">
        <v>-165991</v>
      </c>
      <c r="S86" s="225">
        <v>-165991</v>
      </c>
      <c r="T86" s="225">
        <v>-165991</v>
      </c>
      <c r="U86" s="225"/>
      <c r="V86" s="225"/>
      <c r="W86" s="225"/>
      <c r="X86" s="225">
        <v>0</v>
      </c>
      <c r="Y86" s="225"/>
    </row>
    <row r="87" spans="1:25" ht="15" thickBot="1" x14ac:dyDescent="0.4">
      <c r="A87" s="209" t="s">
        <v>576</v>
      </c>
      <c r="B87" s="210"/>
      <c r="C87" s="225"/>
      <c r="D87" s="225"/>
      <c r="E87" s="225"/>
      <c r="F87" s="225"/>
      <c r="G87" s="225"/>
      <c r="H87" s="225"/>
      <c r="I87" s="225">
        <v>132151</v>
      </c>
      <c r="J87" s="225"/>
      <c r="K87" s="225">
        <v>32457</v>
      </c>
      <c r="L87" s="225">
        <v>71237</v>
      </c>
      <c r="M87" s="225">
        <v>214754</v>
      </c>
      <c r="N87" s="225"/>
      <c r="O87" s="225">
        <v>64068</v>
      </c>
      <c r="P87" s="225">
        <v>236331</v>
      </c>
      <c r="Q87" s="225">
        <v>972540</v>
      </c>
      <c r="R87" s="225"/>
      <c r="S87" s="225">
        <v>73572</v>
      </c>
      <c r="T87" s="225">
        <v>170821</v>
      </c>
      <c r="U87" s="225"/>
      <c r="V87" s="225"/>
      <c r="W87" s="225">
        <v>85694</v>
      </c>
      <c r="X87" s="225">
        <v>163203</v>
      </c>
      <c r="Y87" s="225">
        <v>279733</v>
      </c>
    </row>
    <row r="88" spans="1:25" ht="15" thickBot="1" x14ac:dyDescent="0.4">
      <c r="A88" s="213" t="s">
        <v>380</v>
      </c>
      <c r="B88" s="206"/>
      <c r="C88" s="214">
        <f t="shared" ref="C88:W88" si="11">C80+C63+C44</f>
        <v>2345678</v>
      </c>
      <c r="D88" s="214">
        <f t="shared" si="11"/>
        <v>2905674.4275000002</v>
      </c>
      <c r="E88" s="214">
        <f t="shared" si="11"/>
        <v>2954192</v>
      </c>
      <c r="F88" s="214">
        <f t="shared" si="11"/>
        <v>3007357</v>
      </c>
      <c r="G88" s="214">
        <f t="shared" si="11"/>
        <v>3906893</v>
      </c>
      <c r="H88" s="214">
        <f t="shared" si="11"/>
        <v>3535167</v>
      </c>
      <c r="I88" s="214">
        <f t="shared" si="11"/>
        <v>3740688</v>
      </c>
      <c r="J88" s="214">
        <f t="shared" si="11"/>
        <v>3410794</v>
      </c>
      <c r="K88" s="214">
        <f t="shared" si="11"/>
        <v>3667295</v>
      </c>
      <c r="L88" s="214">
        <f t="shared" si="11"/>
        <v>3678203</v>
      </c>
      <c r="M88" s="214">
        <f t="shared" si="11"/>
        <v>4078714</v>
      </c>
      <c r="N88" s="214">
        <f t="shared" si="11"/>
        <v>4308515</v>
      </c>
      <c r="O88" s="214">
        <f t="shared" si="11"/>
        <v>3431242</v>
      </c>
      <c r="P88" s="214">
        <f t="shared" si="11"/>
        <v>3298229</v>
      </c>
      <c r="Q88" s="214">
        <f t="shared" si="11"/>
        <v>4081225</v>
      </c>
      <c r="R88" s="214">
        <f t="shared" si="11"/>
        <v>4289085</v>
      </c>
      <c r="S88" s="214">
        <f t="shared" si="11"/>
        <v>4224519</v>
      </c>
      <c r="T88" s="214">
        <f t="shared" si="11"/>
        <v>4206987</v>
      </c>
      <c r="U88" s="214">
        <f t="shared" si="11"/>
        <v>4210009</v>
      </c>
      <c r="V88" s="214">
        <f t="shared" si="11"/>
        <v>4041510</v>
      </c>
      <c r="W88" s="214">
        <f t="shared" si="11"/>
        <v>4057874</v>
      </c>
      <c r="X88" s="214">
        <f>X80+X63+X44</f>
        <v>4130983</v>
      </c>
      <c r="Y88" s="214">
        <f>Y80+Y63+Y44</f>
        <v>4263690</v>
      </c>
    </row>
    <row r="89" spans="1:25" x14ac:dyDescent="0.35">
      <c r="C89" s="381"/>
      <c r="D89" s="381"/>
      <c r="E89" s="381"/>
      <c r="F89" s="381"/>
      <c r="G89" s="381"/>
      <c r="H89" s="381"/>
      <c r="I89" s="225">
        <f t="shared" ref="I89:U89" si="12">+I88-I41</f>
        <v>0</v>
      </c>
      <c r="J89" s="225">
        <f t="shared" si="12"/>
        <v>0</v>
      </c>
      <c r="K89" s="225">
        <f t="shared" si="12"/>
        <v>0</v>
      </c>
      <c r="L89" s="225">
        <f t="shared" si="12"/>
        <v>0</v>
      </c>
      <c r="M89" s="225">
        <f t="shared" si="12"/>
        <v>0</v>
      </c>
      <c r="N89" s="225">
        <f t="shared" si="12"/>
        <v>0</v>
      </c>
      <c r="O89" s="225">
        <f t="shared" si="12"/>
        <v>0</v>
      </c>
      <c r="P89" s="225">
        <f t="shared" si="12"/>
        <v>0</v>
      </c>
      <c r="Q89" s="225">
        <f t="shared" si="12"/>
        <v>0</v>
      </c>
      <c r="R89" s="225">
        <f t="shared" si="12"/>
        <v>0</v>
      </c>
      <c r="S89" s="225">
        <f t="shared" si="12"/>
        <v>0</v>
      </c>
      <c r="T89" s="225">
        <f t="shared" si="12"/>
        <v>0</v>
      </c>
      <c r="U89" s="225">
        <f t="shared" si="12"/>
        <v>0</v>
      </c>
      <c r="V89" s="225">
        <f>+V88-V41</f>
        <v>0</v>
      </c>
      <c r="W89" s="225">
        <f>+W88-W41</f>
        <v>0</v>
      </c>
      <c r="X89" s="225">
        <f>+X88-X41</f>
        <v>0</v>
      </c>
      <c r="Y89" s="225">
        <f>+Y88-Y41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4721-F7A0-4109-8AAB-129C7EC1B451}">
  <sheetPr>
    <tabColor theme="9" tint="0.79998168889431442"/>
  </sheetPr>
  <dimension ref="A6:XFD91"/>
  <sheetViews>
    <sheetView showGridLines="0" zoomScale="85" zoomScaleNormal="85" workbookViewId="0">
      <pane xSplit="2" ySplit="8" topLeftCell="C9" activePane="bottomRight" state="frozen"/>
      <selection activeCell="J5" sqref="J5"/>
      <selection pane="topRight" activeCell="J5" sqref="J5"/>
      <selection pane="bottomLeft" activeCell="J5" sqref="J5"/>
      <selection pane="bottomRight" activeCell="C1" sqref="C1:D1048576"/>
    </sheetView>
  </sheetViews>
  <sheetFormatPr defaultColWidth="9.1796875" defaultRowHeight="14.5" outlineLevelCol="1" x14ac:dyDescent="0.35"/>
  <cols>
    <col min="1" max="1" width="47.54296875" style="37" bestFit="1" customWidth="1"/>
    <col min="2" max="2" width="3.26953125" customWidth="1"/>
    <col min="3" max="4" width="9.54296875" style="37" hidden="1" customWidth="1" outlineLevel="1"/>
    <col min="5" max="5" width="9.54296875" style="37" bestFit="1" customWidth="1" collapsed="1"/>
    <col min="6" max="11" width="9.54296875" style="37" bestFit="1" customWidth="1"/>
    <col min="12" max="16384" width="9.1796875" style="37"/>
  </cols>
  <sheetData>
    <row r="6" spans="1:11" x14ac:dyDescent="0.35">
      <c r="A6" s="41" t="s">
        <v>5</v>
      </c>
      <c r="B6" s="168"/>
      <c r="C6" s="41"/>
      <c r="D6" s="41"/>
      <c r="E6" s="41"/>
      <c r="F6" s="41"/>
      <c r="G6" s="41"/>
      <c r="H6" s="41"/>
      <c r="I6" s="41"/>
      <c r="J6" s="41"/>
      <c r="K6" s="41"/>
    </row>
    <row r="7" spans="1:11" ht="15" thickBot="1" x14ac:dyDescent="0.4">
      <c r="A7" s="5" t="s">
        <v>315</v>
      </c>
      <c r="B7" s="204"/>
      <c r="C7" s="573" t="s">
        <v>75</v>
      </c>
      <c r="D7" s="573" t="s">
        <v>76</v>
      </c>
      <c r="E7" s="573" t="s">
        <v>77</v>
      </c>
      <c r="F7" s="573" t="s">
        <v>78</v>
      </c>
      <c r="G7" s="573" t="s">
        <v>79</v>
      </c>
      <c r="H7" s="573" t="s">
        <v>80</v>
      </c>
      <c r="I7" s="573" t="s">
        <v>81</v>
      </c>
      <c r="J7" s="573" t="s">
        <v>82</v>
      </c>
      <c r="K7" s="573" t="s">
        <v>83</v>
      </c>
    </row>
    <row r="8" spans="1:11" ht="15" thickBot="1" x14ac:dyDescent="0.4">
      <c r="A8" s="205" t="s">
        <v>316</v>
      </c>
      <c r="B8" s="206"/>
      <c r="C8" s="207">
        <f t="shared" ref="C8:J8" si="0">SUM(C9:C21)</f>
        <v>2859385</v>
      </c>
      <c r="D8" s="207">
        <f t="shared" si="0"/>
        <v>2589164</v>
      </c>
      <c r="E8" s="207">
        <f t="shared" si="0"/>
        <v>2632316</v>
      </c>
      <c r="F8" s="207">
        <f t="shared" si="0"/>
        <v>2400473</v>
      </c>
      <c r="G8" s="207">
        <f t="shared" si="0"/>
        <v>2057528</v>
      </c>
      <c r="H8" s="207">
        <f t="shared" si="0"/>
        <v>2476477</v>
      </c>
      <c r="I8" s="207">
        <f t="shared" si="0"/>
        <v>2476010</v>
      </c>
      <c r="J8" s="207">
        <f t="shared" si="0"/>
        <v>2867573</v>
      </c>
      <c r="K8" s="207">
        <f>SUM(K9:K21)</f>
        <v>2809110</v>
      </c>
    </row>
    <row r="9" spans="1:11" x14ac:dyDescent="0.35">
      <c r="A9" s="209" t="s">
        <v>317</v>
      </c>
      <c r="B9" s="210"/>
      <c r="C9" s="225">
        <v>140185</v>
      </c>
      <c r="D9" s="225">
        <v>516741</v>
      </c>
      <c r="E9" s="225">
        <v>182023</v>
      </c>
      <c r="F9" s="225">
        <v>249313</v>
      </c>
      <c r="G9" s="225">
        <v>322895</v>
      </c>
      <c r="H9" s="225">
        <v>415107</v>
      </c>
      <c r="I9" s="225">
        <v>418544</v>
      </c>
      <c r="J9" s="225">
        <v>975429</v>
      </c>
      <c r="K9" s="225">
        <v>875272</v>
      </c>
    </row>
    <row r="10" spans="1:11" x14ac:dyDescent="0.35">
      <c r="A10" s="209" t="s">
        <v>382</v>
      </c>
      <c r="B10" s="210"/>
      <c r="C10" s="225">
        <v>1253815</v>
      </c>
      <c r="D10" s="225">
        <v>495712</v>
      </c>
      <c r="E10" s="225">
        <v>466998</v>
      </c>
      <c r="F10" s="225">
        <v>628997</v>
      </c>
      <c r="G10" s="225">
        <v>268933</v>
      </c>
      <c r="H10" s="225">
        <v>576205</v>
      </c>
      <c r="I10" s="225">
        <v>451727</v>
      </c>
      <c r="J10" s="225">
        <v>480894</v>
      </c>
      <c r="K10" s="225">
        <v>421626</v>
      </c>
    </row>
    <row r="11" spans="1:11" x14ac:dyDescent="0.35">
      <c r="A11" s="209" t="s">
        <v>319</v>
      </c>
      <c r="B11" s="210"/>
      <c r="C11" s="225">
        <v>1690033</v>
      </c>
      <c r="D11" s="225">
        <v>1883013</v>
      </c>
      <c r="E11" s="225">
        <v>2122042</v>
      </c>
      <c r="F11" s="225">
        <v>1842727</v>
      </c>
      <c r="G11" s="225">
        <v>980174</v>
      </c>
      <c r="H11" s="225">
        <v>934536</v>
      </c>
      <c r="I11" s="225">
        <v>1119476</v>
      </c>
      <c r="J11" s="225">
        <v>881554.00000000012</v>
      </c>
      <c r="K11" s="225">
        <v>863189</v>
      </c>
    </row>
    <row r="12" spans="1:11" x14ac:dyDescent="0.35">
      <c r="A12" s="209" t="s">
        <v>580</v>
      </c>
      <c r="B12" s="210"/>
      <c r="C12" s="225">
        <v>-484</v>
      </c>
      <c r="D12" s="225">
        <v>0</v>
      </c>
      <c r="E12" s="225">
        <v>0</v>
      </c>
      <c r="F12" s="225">
        <v>10915</v>
      </c>
      <c r="G12" s="225"/>
      <c r="H12" s="225"/>
      <c r="I12" s="225"/>
      <c r="J12" s="225">
        <v>0</v>
      </c>
      <c r="K12" s="225"/>
    </row>
    <row r="13" spans="1:11" x14ac:dyDescent="0.35">
      <c r="A13" s="209" t="s">
        <v>560</v>
      </c>
      <c r="B13" s="210"/>
      <c r="C13" s="225">
        <v>-895552</v>
      </c>
      <c r="D13" s="225">
        <v>-959336</v>
      </c>
      <c r="E13" s="225">
        <v>-997209</v>
      </c>
      <c r="F13" s="225">
        <v>-846516</v>
      </c>
      <c r="G13" s="225"/>
      <c r="H13" s="225"/>
      <c r="I13" s="225"/>
      <c r="J13" s="225">
        <v>0</v>
      </c>
      <c r="K13" s="225"/>
    </row>
    <row r="14" spans="1:11" x14ac:dyDescent="0.35">
      <c r="A14" s="209" t="s">
        <v>320</v>
      </c>
      <c r="B14" s="210"/>
      <c r="C14" s="225"/>
      <c r="D14" s="225"/>
      <c r="E14" s="225"/>
      <c r="F14" s="225"/>
      <c r="G14" s="225"/>
      <c r="H14" s="225"/>
      <c r="I14" s="225"/>
      <c r="J14" s="225">
        <v>0</v>
      </c>
      <c r="K14" s="225"/>
    </row>
    <row r="15" spans="1:11" x14ac:dyDescent="0.35">
      <c r="A15" s="209" t="s">
        <v>322</v>
      </c>
      <c r="B15" s="210"/>
      <c r="C15" s="225">
        <v>30134</v>
      </c>
      <c r="D15" s="225">
        <v>32133</v>
      </c>
      <c r="E15" s="225">
        <v>34240</v>
      </c>
      <c r="F15" s="225">
        <v>36739</v>
      </c>
      <c r="G15" s="225">
        <v>48606</v>
      </c>
      <c r="H15" s="225">
        <v>41080</v>
      </c>
      <c r="I15" s="225">
        <v>38097</v>
      </c>
      <c r="J15" s="225">
        <v>40825</v>
      </c>
      <c r="K15" s="225">
        <v>53813</v>
      </c>
    </row>
    <row r="16" spans="1:11" x14ac:dyDescent="0.35">
      <c r="A16" s="209" t="s">
        <v>336</v>
      </c>
      <c r="B16" s="210"/>
      <c r="C16" s="225"/>
      <c r="D16" s="225"/>
      <c r="E16" s="225"/>
      <c r="F16" s="225"/>
      <c r="G16" s="225"/>
      <c r="H16" s="225"/>
      <c r="I16" s="225"/>
      <c r="J16" s="225">
        <v>3069</v>
      </c>
      <c r="K16" s="225">
        <v>3184</v>
      </c>
    </row>
    <row r="17" spans="1:11" x14ac:dyDescent="0.35">
      <c r="A17" s="209" t="s">
        <v>383</v>
      </c>
      <c r="B17" s="210"/>
      <c r="C17" s="225">
        <v>276700</v>
      </c>
      <c r="D17" s="225">
        <v>152734</v>
      </c>
      <c r="E17" s="225">
        <v>8082</v>
      </c>
      <c r="F17" s="225">
        <v>43409</v>
      </c>
      <c r="G17" s="225">
        <v>33747</v>
      </c>
      <c r="H17" s="225">
        <v>50912</v>
      </c>
      <c r="I17" s="225"/>
      <c r="J17" s="225">
        <v>0</v>
      </c>
      <c r="K17" s="225"/>
    </row>
    <row r="18" spans="1:11" x14ac:dyDescent="0.35">
      <c r="A18" s="209" t="s">
        <v>385</v>
      </c>
      <c r="B18" s="210"/>
      <c r="C18" s="225">
        <v>14503</v>
      </c>
      <c r="D18" s="225">
        <v>15233</v>
      </c>
      <c r="E18" s="225">
        <v>15359</v>
      </c>
      <c r="F18" s="225">
        <v>18433</v>
      </c>
      <c r="G18" s="225">
        <v>28466</v>
      </c>
      <c r="H18" s="225">
        <v>44850</v>
      </c>
      <c r="I18" s="225">
        <v>30304</v>
      </c>
      <c r="J18" s="225">
        <v>27633</v>
      </c>
      <c r="K18" s="225">
        <v>18277</v>
      </c>
    </row>
    <row r="19" spans="1:11" x14ac:dyDescent="0.35">
      <c r="A19" s="209" t="s">
        <v>327</v>
      </c>
      <c r="B19" s="210"/>
      <c r="C19" s="225">
        <v>279511</v>
      </c>
      <c r="D19" s="225">
        <v>326801</v>
      </c>
      <c r="E19" s="225">
        <v>676942</v>
      </c>
      <c r="F19" s="225">
        <v>321199</v>
      </c>
      <c r="G19" s="225">
        <v>277708</v>
      </c>
      <c r="H19" s="225">
        <v>282769</v>
      </c>
      <c r="I19" s="225">
        <v>284142</v>
      </c>
      <c r="J19" s="225">
        <v>279916</v>
      </c>
      <c r="K19" s="225">
        <v>387029</v>
      </c>
    </row>
    <row r="20" spans="1:11" x14ac:dyDescent="0.35">
      <c r="A20" s="209" t="s">
        <v>328</v>
      </c>
      <c r="B20" s="210"/>
      <c r="C20" s="225">
        <v>10451</v>
      </c>
      <c r="D20" s="225">
        <v>8994</v>
      </c>
      <c r="E20" s="225">
        <v>9494</v>
      </c>
      <c r="F20" s="225">
        <v>19873</v>
      </c>
      <c r="G20" s="225">
        <v>26421</v>
      </c>
      <c r="H20" s="225">
        <v>32483</v>
      </c>
      <c r="I20" s="225">
        <v>45018</v>
      </c>
      <c r="J20" s="225">
        <v>59853</v>
      </c>
      <c r="K20" s="225">
        <v>74142</v>
      </c>
    </row>
    <row r="21" spans="1:11" ht="15" thickBot="1" x14ac:dyDescent="0.4">
      <c r="A21" s="212" t="s">
        <v>392</v>
      </c>
      <c r="B21" s="210"/>
      <c r="C21" s="225">
        <v>60089</v>
      </c>
      <c r="D21" s="225">
        <v>117139</v>
      </c>
      <c r="E21" s="225">
        <v>114345</v>
      </c>
      <c r="F21" s="225">
        <v>75384</v>
      </c>
      <c r="G21" s="225">
        <v>70578</v>
      </c>
      <c r="H21" s="225">
        <v>98535</v>
      </c>
      <c r="I21" s="225">
        <v>88702</v>
      </c>
      <c r="J21" s="225">
        <v>118400</v>
      </c>
      <c r="K21" s="225">
        <v>112578</v>
      </c>
    </row>
    <row r="22" spans="1:11" ht="15" thickBot="1" x14ac:dyDescent="0.4">
      <c r="A22" s="213" t="s">
        <v>333</v>
      </c>
      <c r="B22" s="206"/>
      <c r="C22" s="214">
        <f t="shared" ref="C22:J22" si="1">C23+C36</f>
        <v>3638289</v>
      </c>
      <c r="D22" s="214">
        <f t="shared" si="1"/>
        <v>4154580</v>
      </c>
      <c r="E22" s="214">
        <f t="shared" si="1"/>
        <v>3579540</v>
      </c>
      <c r="F22" s="214">
        <f t="shared" si="1"/>
        <v>3861036</v>
      </c>
      <c r="G22" s="214">
        <f t="shared" si="1"/>
        <v>4165776</v>
      </c>
      <c r="H22" s="214">
        <f t="shared" si="1"/>
        <v>4363481</v>
      </c>
      <c r="I22" s="214">
        <f t="shared" si="1"/>
        <v>4498326</v>
      </c>
      <c r="J22" s="214">
        <f t="shared" si="1"/>
        <v>4634633</v>
      </c>
      <c r="K22" s="214">
        <f>K23+K36</f>
        <v>4626626</v>
      </c>
    </row>
    <row r="23" spans="1:11" ht="15" thickBot="1" x14ac:dyDescent="0.4">
      <c r="A23" s="213" t="s">
        <v>334</v>
      </c>
      <c r="B23" s="206"/>
      <c r="C23" s="214">
        <f t="shared" ref="C23:J23" si="2">SUM(C24:C35)</f>
        <v>1394699</v>
      </c>
      <c r="D23" s="214">
        <f t="shared" si="2"/>
        <v>1829354</v>
      </c>
      <c r="E23" s="214">
        <f t="shared" si="2"/>
        <v>1229257</v>
      </c>
      <c r="F23" s="214">
        <f t="shared" si="2"/>
        <v>1411976</v>
      </c>
      <c r="G23" s="214">
        <f t="shared" si="2"/>
        <v>1050222</v>
      </c>
      <c r="H23" s="214">
        <f t="shared" si="2"/>
        <v>1510107</v>
      </c>
      <c r="I23" s="214">
        <f t="shared" si="2"/>
        <v>1473003</v>
      </c>
      <c r="J23" s="214">
        <f t="shared" si="2"/>
        <v>1462799</v>
      </c>
      <c r="K23" s="214">
        <f>SUM(K24:K35)</f>
        <v>1332478</v>
      </c>
    </row>
    <row r="24" spans="1:11" x14ac:dyDescent="0.35">
      <c r="A24" s="209" t="s">
        <v>319</v>
      </c>
      <c r="B24" s="210"/>
      <c r="C24" s="225">
        <v>169782</v>
      </c>
      <c r="D24" s="225">
        <v>179781</v>
      </c>
      <c r="E24" s="225">
        <v>184478</v>
      </c>
      <c r="F24" s="225">
        <v>84604</v>
      </c>
      <c r="G24" s="225">
        <v>152997</v>
      </c>
      <c r="H24" s="225">
        <v>151925</v>
      </c>
      <c r="I24" s="225">
        <v>150049</v>
      </c>
      <c r="J24" s="225">
        <v>146127</v>
      </c>
      <c r="K24" s="225">
        <v>142752</v>
      </c>
    </row>
    <row r="25" spans="1:11" x14ac:dyDescent="0.35">
      <c r="A25" s="209" t="s">
        <v>383</v>
      </c>
      <c r="B25" s="210"/>
      <c r="C25" s="225">
        <v>61679</v>
      </c>
      <c r="D25" s="225">
        <v>266090</v>
      </c>
      <c r="E25" s="225">
        <v>55326</v>
      </c>
      <c r="F25" s="225"/>
      <c r="G25" s="225"/>
      <c r="H25" s="225"/>
      <c r="I25" s="225"/>
      <c r="J25" s="225">
        <v>0</v>
      </c>
      <c r="K25" s="225"/>
    </row>
    <row r="26" spans="1:11" x14ac:dyDescent="0.35">
      <c r="A26" s="209" t="s">
        <v>551</v>
      </c>
      <c r="B26" s="210"/>
      <c r="C26" s="225"/>
      <c r="D26" s="225"/>
      <c r="E26" s="225"/>
      <c r="F26" s="225"/>
      <c r="G26" s="225"/>
      <c r="H26" s="225">
        <v>18934</v>
      </c>
      <c r="I26" s="225">
        <v>18934</v>
      </c>
      <c r="J26" s="225">
        <v>18934</v>
      </c>
      <c r="K26" s="225">
        <v>18934</v>
      </c>
    </row>
    <row r="27" spans="1:11" x14ac:dyDescent="0.35">
      <c r="A27" s="209" t="s">
        <v>336</v>
      </c>
      <c r="B27" s="210"/>
      <c r="C27" s="225"/>
      <c r="D27" s="225">
        <v>200196</v>
      </c>
      <c r="E27" s="225">
        <v>203853</v>
      </c>
      <c r="F27" s="225">
        <v>191971</v>
      </c>
      <c r="G27" s="225">
        <v>206475</v>
      </c>
      <c r="H27" s="225">
        <v>208918</v>
      </c>
      <c r="I27" s="225">
        <v>216169</v>
      </c>
      <c r="J27" s="225">
        <v>222309</v>
      </c>
      <c r="K27" s="225">
        <v>226947</v>
      </c>
    </row>
    <row r="28" spans="1:11" x14ac:dyDescent="0.35">
      <c r="A28" s="209" t="s">
        <v>327</v>
      </c>
      <c r="B28" s="210"/>
      <c r="C28" s="225"/>
      <c r="D28" s="225"/>
      <c r="E28" s="225"/>
      <c r="F28" s="225"/>
      <c r="G28" s="225">
        <v>688875</v>
      </c>
      <c r="H28" s="225">
        <v>643291</v>
      </c>
      <c r="I28" s="225">
        <v>576538</v>
      </c>
      <c r="J28" s="225">
        <v>534228</v>
      </c>
      <c r="K28" s="225">
        <v>378756</v>
      </c>
    </row>
    <row r="29" spans="1:11" x14ac:dyDescent="0.35">
      <c r="A29" s="209" t="s">
        <v>328</v>
      </c>
      <c r="B29" s="210"/>
      <c r="C29" s="225">
        <v>622573</v>
      </c>
      <c r="D29" s="225">
        <v>734485</v>
      </c>
      <c r="E29" s="225">
        <v>348845</v>
      </c>
      <c r="F29" s="225">
        <v>670539</v>
      </c>
      <c r="G29" s="225"/>
      <c r="H29" s="225"/>
      <c r="I29" s="225"/>
      <c r="J29" s="225">
        <v>0</v>
      </c>
      <c r="K29" s="225"/>
    </row>
    <row r="30" spans="1:11" x14ac:dyDescent="0.35">
      <c r="A30" s="209" t="s">
        <v>391</v>
      </c>
      <c r="B30" s="210"/>
      <c r="C30" s="225"/>
      <c r="D30" s="225"/>
      <c r="E30" s="225"/>
      <c r="F30" s="225"/>
      <c r="G30" s="225"/>
      <c r="H30" s="225"/>
      <c r="I30" s="225"/>
      <c r="J30" s="225">
        <v>0</v>
      </c>
      <c r="K30" s="225"/>
    </row>
    <row r="31" spans="1:11" x14ac:dyDescent="0.35">
      <c r="A31" s="209" t="s">
        <v>325</v>
      </c>
      <c r="B31" s="210"/>
      <c r="C31" s="225">
        <v>14680</v>
      </c>
      <c r="D31" s="225">
        <v>20455</v>
      </c>
      <c r="E31" s="225"/>
      <c r="F31" s="225"/>
      <c r="G31" s="225"/>
      <c r="H31" s="225"/>
      <c r="I31" s="225">
        <v>4412</v>
      </c>
      <c r="J31" s="225">
        <v>0</v>
      </c>
      <c r="K31" s="225">
        <v>6612</v>
      </c>
    </row>
    <row r="32" spans="1:11" x14ac:dyDescent="0.35">
      <c r="A32" s="209" t="s">
        <v>560</v>
      </c>
      <c r="B32" s="210"/>
      <c r="C32" s="225"/>
      <c r="D32" s="225"/>
      <c r="E32" s="225"/>
      <c r="F32" s="225"/>
      <c r="G32" s="225"/>
      <c r="H32" s="225"/>
      <c r="I32" s="225"/>
      <c r="J32" s="225">
        <v>0</v>
      </c>
      <c r="K32" s="225"/>
    </row>
    <row r="33" spans="1:11 16384:16384" x14ac:dyDescent="0.35">
      <c r="A33" s="209" t="s">
        <v>581</v>
      </c>
      <c r="B33" s="210"/>
      <c r="C33" s="225">
        <v>167447</v>
      </c>
      <c r="D33" s="225"/>
      <c r="E33" s="225"/>
      <c r="F33" s="225"/>
      <c r="G33" s="225"/>
      <c r="H33" s="225"/>
      <c r="I33" s="225"/>
      <c r="J33" s="225">
        <v>0</v>
      </c>
      <c r="K33" s="225"/>
    </row>
    <row r="34" spans="1:11 16384:16384" x14ac:dyDescent="0.35">
      <c r="A34" s="209" t="s">
        <v>392</v>
      </c>
      <c r="B34" s="210"/>
      <c r="C34" s="225">
        <v>1871</v>
      </c>
      <c r="D34" s="225">
        <v>1874</v>
      </c>
      <c r="E34" s="225">
        <v>1877</v>
      </c>
      <c r="F34" s="225">
        <v>1875</v>
      </c>
      <c r="G34" s="225">
        <v>1875</v>
      </c>
      <c r="H34" s="225">
        <v>1937</v>
      </c>
      <c r="I34" s="225">
        <v>17</v>
      </c>
      <c r="J34" s="225">
        <v>0</v>
      </c>
      <c r="K34" s="225"/>
    </row>
    <row r="35" spans="1:11 16384:16384" ht="15" thickBot="1" x14ac:dyDescent="0.4">
      <c r="A35" s="212" t="s">
        <v>339</v>
      </c>
      <c r="B35" s="210"/>
      <c r="C35" s="225">
        <v>356667</v>
      </c>
      <c r="D35" s="225">
        <v>426473</v>
      </c>
      <c r="E35" s="225">
        <v>434878</v>
      </c>
      <c r="F35" s="225">
        <v>462987</v>
      </c>
      <c r="G35" s="225"/>
      <c r="H35" s="225">
        <v>485102</v>
      </c>
      <c r="I35" s="225">
        <v>506884</v>
      </c>
      <c r="J35" s="225">
        <v>541201</v>
      </c>
      <c r="K35" s="225">
        <v>558477</v>
      </c>
    </row>
    <row r="36" spans="1:11 16384:16384" ht="15" thickBot="1" x14ac:dyDescent="0.4">
      <c r="A36" s="213" t="s">
        <v>340</v>
      </c>
      <c r="B36" s="206"/>
      <c r="C36" s="214">
        <f t="shared" ref="C36:J36" si="3">SUM(C37:C41)</f>
        <v>2243590</v>
      </c>
      <c r="D36" s="214">
        <f t="shared" si="3"/>
        <v>2325226</v>
      </c>
      <c r="E36" s="214">
        <f t="shared" si="3"/>
        <v>2350283</v>
      </c>
      <c r="F36" s="214">
        <f t="shared" si="3"/>
        <v>2449060</v>
      </c>
      <c r="G36" s="214">
        <f t="shared" si="3"/>
        <v>3115554</v>
      </c>
      <c r="H36" s="214">
        <f t="shared" si="3"/>
        <v>2853374</v>
      </c>
      <c r="I36" s="214">
        <f t="shared" si="3"/>
        <v>3025323</v>
      </c>
      <c r="J36" s="214">
        <f t="shared" si="3"/>
        <v>3171834</v>
      </c>
      <c r="K36" s="214">
        <f>SUM(K37:K41)</f>
        <v>3294148</v>
      </c>
    </row>
    <row r="37" spans="1:11 16384:16384" x14ac:dyDescent="0.35">
      <c r="A37" s="209" t="s">
        <v>341</v>
      </c>
      <c r="B37" s="210"/>
      <c r="C37" s="225">
        <v>838</v>
      </c>
      <c r="D37" s="225">
        <v>635</v>
      </c>
      <c r="E37" s="225">
        <v>635</v>
      </c>
      <c r="F37" s="225">
        <v>635</v>
      </c>
      <c r="G37" s="225">
        <v>635</v>
      </c>
      <c r="H37" s="225">
        <v>635</v>
      </c>
      <c r="I37" s="225">
        <v>635</v>
      </c>
      <c r="J37" s="225">
        <v>0</v>
      </c>
      <c r="K37" s="225">
        <v>0</v>
      </c>
    </row>
    <row r="38" spans="1:11 16384:16384" x14ac:dyDescent="0.35">
      <c r="A38" s="209" t="s">
        <v>388</v>
      </c>
      <c r="B38" s="210"/>
      <c r="C38" s="225">
        <v>59996</v>
      </c>
      <c r="D38" s="225">
        <v>120128</v>
      </c>
      <c r="E38" s="225">
        <v>170555</v>
      </c>
      <c r="F38" s="225">
        <v>336889</v>
      </c>
      <c r="G38" s="225">
        <v>1028660</v>
      </c>
      <c r="H38" s="225">
        <v>691921</v>
      </c>
      <c r="I38" s="225">
        <v>810904</v>
      </c>
      <c r="J38" s="225">
        <v>1067411</v>
      </c>
      <c r="K38" s="225">
        <v>1205723</v>
      </c>
    </row>
    <row r="39" spans="1:11 16384:16384" x14ac:dyDescent="0.35">
      <c r="A39" s="209" t="s">
        <v>343</v>
      </c>
      <c r="B39" s="210"/>
      <c r="C39" s="225">
        <v>122019</v>
      </c>
      <c r="D39" s="225">
        <v>69292</v>
      </c>
      <c r="E39" s="225">
        <v>70929</v>
      </c>
      <c r="F39" s="225"/>
      <c r="G39" s="225">
        <v>1349</v>
      </c>
      <c r="H39" s="225"/>
      <c r="I39" s="225"/>
      <c r="J39" s="225">
        <v>0</v>
      </c>
      <c r="K39" s="225"/>
    </row>
    <row r="40" spans="1:11 16384:16384" x14ac:dyDescent="0.35">
      <c r="A40" s="209" t="s">
        <v>345</v>
      </c>
      <c r="B40" s="210"/>
      <c r="C40" s="225">
        <v>36648</v>
      </c>
      <c r="D40" s="225">
        <v>31490</v>
      </c>
      <c r="E40" s="225">
        <v>26579</v>
      </c>
      <c r="F40" s="225">
        <v>21801</v>
      </c>
      <c r="G40" s="225">
        <v>17048</v>
      </c>
      <c r="H40" s="225">
        <v>12294</v>
      </c>
      <c r="I40" s="225">
        <v>9248</v>
      </c>
      <c r="J40" s="225">
        <v>7057</v>
      </c>
      <c r="K40" s="225">
        <v>3324</v>
      </c>
    </row>
    <row r="41" spans="1:11 16384:16384" ht="15" thickBot="1" x14ac:dyDescent="0.4">
      <c r="A41" s="209" t="s">
        <v>344</v>
      </c>
      <c r="B41" s="210"/>
      <c r="C41" s="225">
        <v>2024089</v>
      </c>
      <c r="D41" s="225">
        <v>2103681</v>
      </c>
      <c r="E41" s="225">
        <v>2081585</v>
      </c>
      <c r="F41" s="225">
        <v>2089735</v>
      </c>
      <c r="G41" s="225">
        <v>2067862</v>
      </c>
      <c r="H41" s="225">
        <v>2148524</v>
      </c>
      <c r="I41" s="225">
        <v>2204536</v>
      </c>
      <c r="J41" s="225">
        <v>2097366</v>
      </c>
      <c r="K41" s="225">
        <v>2085101</v>
      </c>
    </row>
    <row r="42" spans="1:11 16384:16384" ht="15" thickBot="1" x14ac:dyDescent="0.4">
      <c r="A42" s="213" t="s">
        <v>346</v>
      </c>
      <c r="B42" s="206"/>
      <c r="C42" s="214">
        <f t="shared" ref="C42:J42" si="4">C8+C22</f>
        <v>6497674</v>
      </c>
      <c r="D42" s="214">
        <f t="shared" si="4"/>
        <v>6743744</v>
      </c>
      <c r="E42" s="214">
        <f t="shared" si="4"/>
        <v>6211856</v>
      </c>
      <c r="F42" s="214">
        <f t="shared" si="4"/>
        <v>6261509</v>
      </c>
      <c r="G42" s="214">
        <f t="shared" si="4"/>
        <v>6223304</v>
      </c>
      <c r="H42" s="214">
        <f t="shared" si="4"/>
        <v>6839958</v>
      </c>
      <c r="I42" s="214">
        <f t="shared" si="4"/>
        <v>6974336</v>
      </c>
      <c r="J42" s="214">
        <f t="shared" si="4"/>
        <v>7502206</v>
      </c>
      <c r="K42" s="214">
        <f>K8+K22</f>
        <v>7435736</v>
      </c>
      <c r="XFD42" s="214"/>
    </row>
    <row r="43" spans="1:11 16384:16384" x14ac:dyDescent="0.35">
      <c r="A43" s="209"/>
      <c r="B43" s="210"/>
    </row>
    <row r="44" spans="1:11 16384:16384" ht="15" thickBot="1" x14ac:dyDescent="0.4">
      <c r="A44" s="5" t="s">
        <v>347</v>
      </c>
      <c r="B44" s="204"/>
      <c r="C44" s="573" t="s">
        <v>75</v>
      </c>
      <c r="D44" s="573" t="str">
        <f>D7</f>
        <v>4T21</v>
      </c>
      <c r="E44" s="573" t="str">
        <f>E7</f>
        <v>1T22</v>
      </c>
      <c r="F44" s="573" t="str">
        <f>F7</f>
        <v>2T22</v>
      </c>
      <c r="G44" s="573" t="s">
        <v>79</v>
      </c>
      <c r="H44" s="573" t="str">
        <f>H7</f>
        <v>4T22</v>
      </c>
      <c r="I44" s="573" t="str">
        <f>I7</f>
        <v>1T23</v>
      </c>
      <c r="J44" s="573" t="s">
        <v>82</v>
      </c>
      <c r="K44" s="573" t="s">
        <v>83</v>
      </c>
    </row>
    <row r="45" spans="1:11 16384:16384" ht="15" thickBot="1" x14ac:dyDescent="0.4">
      <c r="A45" s="205" t="s">
        <v>316</v>
      </c>
      <c r="B45" s="206"/>
      <c r="C45" s="207">
        <f t="shared" ref="C45:J45" si="5">SUM(C46:C64)</f>
        <v>2211298</v>
      </c>
      <c r="D45" s="207">
        <f t="shared" si="5"/>
        <v>2232518</v>
      </c>
      <c r="E45" s="207">
        <f t="shared" si="5"/>
        <v>1665690</v>
      </c>
      <c r="F45" s="207">
        <f t="shared" si="5"/>
        <v>1612044</v>
      </c>
      <c r="G45" s="207">
        <f t="shared" si="5"/>
        <v>2055144</v>
      </c>
      <c r="H45" s="207">
        <f t="shared" si="5"/>
        <v>2154302</v>
      </c>
      <c r="I45" s="207">
        <f t="shared" si="5"/>
        <v>2110464</v>
      </c>
      <c r="J45" s="207">
        <f t="shared" si="5"/>
        <v>2424789</v>
      </c>
      <c r="K45" s="207">
        <f>SUM(K46:K64)</f>
        <v>3090830</v>
      </c>
    </row>
    <row r="46" spans="1:11 16384:16384" x14ac:dyDescent="0.35">
      <c r="A46" s="218" t="s">
        <v>348</v>
      </c>
      <c r="B46" s="219"/>
      <c r="C46" s="225">
        <v>505816</v>
      </c>
      <c r="D46" s="225">
        <v>576912</v>
      </c>
      <c r="E46" s="225">
        <v>391997</v>
      </c>
      <c r="F46" s="225">
        <v>458878</v>
      </c>
      <c r="G46" s="225">
        <v>521297</v>
      </c>
      <c r="H46" s="225">
        <v>579822</v>
      </c>
      <c r="I46" s="225">
        <v>462409</v>
      </c>
      <c r="J46" s="225">
        <v>457347.00000000006</v>
      </c>
      <c r="K46" s="225">
        <v>477009</v>
      </c>
    </row>
    <row r="47" spans="1:11 16384:16384" x14ac:dyDescent="0.35">
      <c r="A47" s="218" t="s">
        <v>350</v>
      </c>
      <c r="B47" s="219"/>
      <c r="C47" s="225">
        <v>242816</v>
      </c>
      <c r="D47" s="225">
        <v>116600</v>
      </c>
      <c r="E47" s="225">
        <v>103595</v>
      </c>
      <c r="F47" s="225">
        <v>111707</v>
      </c>
      <c r="G47" s="225">
        <v>103222</v>
      </c>
      <c r="H47" s="225">
        <v>89847</v>
      </c>
      <c r="I47" s="225">
        <v>45074</v>
      </c>
      <c r="J47" s="225">
        <v>37310</v>
      </c>
      <c r="K47" s="225">
        <v>40722</v>
      </c>
    </row>
    <row r="48" spans="1:11 16384:16384" x14ac:dyDescent="0.35">
      <c r="A48" s="209" t="s">
        <v>367</v>
      </c>
      <c r="B48" s="210"/>
      <c r="C48" s="225">
        <v>569626</v>
      </c>
      <c r="D48" s="225">
        <v>566018</v>
      </c>
      <c r="E48" s="225">
        <v>170519</v>
      </c>
      <c r="F48" s="225">
        <v>154831</v>
      </c>
      <c r="G48" s="225">
        <v>258400</v>
      </c>
      <c r="H48" s="225">
        <v>267472</v>
      </c>
      <c r="I48" s="225">
        <v>274957</v>
      </c>
      <c r="J48" s="225">
        <v>247223</v>
      </c>
      <c r="K48" s="225">
        <v>946732</v>
      </c>
    </row>
    <row r="49" spans="1:11" x14ac:dyDescent="0.35">
      <c r="A49" s="209" t="s">
        <v>191</v>
      </c>
      <c r="B49" s="210"/>
      <c r="C49" s="225">
        <v>9533</v>
      </c>
      <c r="D49" s="225">
        <v>39178</v>
      </c>
      <c r="E49" s="225">
        <v>17790</v>
      </c>
      <c r="F49" s="225">
        <v>62023</v>
      </c>
      <c r="G49" s="225">
        <v>323556</v>
      </c>
      <c r="H49" s="225">
        <v>371875</v>
      </c>
      <c r="I49" s="225">
        <v>326159</v>
      </c>
      <c r="J49" s="225">
        <v>369395</v>
      </c>
      <c r="K49" s="225">
        <v>323846</v>
      </c>
    </row>
    <row r="50" spans="1:11" x14ac:dyDescent="0.35">
      <c r="A50" s="209" t="s">
        <v>554</v>
      </c>
      <c r="B50" s="210"/>
      <c r="C50" s="225"/>
      <c r="D50" s="225"/>
      <c r="E50" s="225"/>
      <c r="F50" s="225">
        <v>22</v>
      </c>
      <c r="G50" s="225"/>
      <c r="H50" s="225"/>
      <c r="I50" s="225">
        <v>107963</v>
      </c>
      <c r="J50" s="225">
        <v>274491</v>
      </c>
      <c r="K50" s="225">
        <v>374203</v>
      </c>
    </row>
    <row r="51" spans="1:11" x14ac:dyDescent="0.35">
      <c r="A51" s="209" t="s">
        <v>353</v>
      </c>
      <c r="B51" s="210"/>
      <c r="C51" s="225">
        <v>264627</v>
      </c>
      <c r="D51" s="225">
        <v>292154</v>
      </c>
      <c r="E51" s="225">
        <v>280069</v>
      </c>
      <c r="F51" s="225">
        <v>275389</v>
      </c>
      <c r="G51" s="225">
        <v>276108</v>
      </c>
      <c r="H51" s="225">
        <v>259011</v>
      </c>
      <c r="I51" s="225">
        <v>294536</v>
      </c>
      <c r="J51" s="225">
        <v>261991</v>
      </c>
      <c r="K51" s="225">
        <v>262969</v>
      </c>
    </row>
    <row r="52" spans="1:11" x14ac:dyDescent="0.35">
      <c r="A52" s="209" t="s">
        <v>394</v>
      </c>
      <c r="B52" s="210"/>
      <c r="C52" s="225">
        <v>628</v>
      </c>
      <c r="D52" s="225">
        <v>606</v>
      </c>
      <c r="E52" s="225">
        <v>1085</v>
      </c>
      <c r="F52" s="225">
        <v>2829</v>
      </c>
      <c r="G52" s="225">
        <v>763</v>
      </c>
      <c r="H52" s="225">
        <v>842</v>
      </c>
      <c r="I52" s="225">
        <v>692</v>
      </c>
      <c r="J52" s="225">
        <v>234</v>
      </c>
      <c r="K52" s="225">
        <v>364</v>
      </c>
    </row>
    <row r="53" spans="1:11" x14ac:dyDescent="0.35">
      <c r="A53" s="209" t="s">
        <v>395</v>
      </c>
      <c r="B53" s="210"/>
      <c r="C53" s="225"/>
      <c r="D53" s="225"/>
      <c r="E53" s="225"/>
      <c r="F53" s="225"/>
      <c r="G53" s="225"/>
      <c r="H53" s="225"/>
      <c r="I53" s="225"/>
      <c r="J53" s="225">
        <v>0</v>
      </c>
      <c r="K53" s="225"/>
    </row>
    <row r="54" spans="1:11" x14ac:dyDescent="0.35">
      <c r="A54" s="209" t="s">
        <v>572</v>
      </c>
      <c r="B54" s="210"/>
      <c r="C54" s="225"/>
      <c r="D54" s="225"/>
      <c r="E54" s="225"/>
      <c r="F54" s="225"/>
      <c r="G54" s="225"/>
      <c r="H54" s="225"/>
      <c r="I54" s="225"/>
      <c r="J54" s="225">
        <v>0</v>
      </c>
      <c r="K54" s="225"/>
    </row>
    <row r="55" spans="1:11" x14ac:dyDescent="0.35">
      <c r="A55" s="209" t="s">
        <v>357</v>
      </c>
      <c r="B55" s="210"/>
      <c r="C55" s="225"/>
      <c r="D55" s="225"/>
      <c r="E55" s="225"/>
      <c r="F55" s="225"/>
      <c r="G55" s="225"/>
      <c r="H55" s="225"/>
      <c r="I55" s="225"/>
      <c r="J55" s="225">
        <v>19984</v>
      </c>
      <c r="K55" s="225">
        <v>29479</v>
      </c>
    </row>
    <row r="56" spans="1:11" x14ac:dyDescent="0.35">
      <c r="A56" s="209" t="s">
        <v>555</v>
      </c>
      <c r="B56" s="210"/>
      <c r="C56" s="225">
        <v>291269</v>
      </c>
      <c r="D56" s="225">
        <v>103253</v>
      </c>
      <c r="E56" s="225">
        <v>112191</v>
      </c>
      <c r="F56" s="225">
        <v>108779</v>
      </c>
      <c r="G56" s="225">
        <v>111658</v>
      </c>
      <c r="H56" s="225">
        <v>50823</v>
      </c>
      <c r="I56" s="225">
        <v>52040</v>
      </c>
      <c r="J56" s="225">
        <v>44266</v>
      </c>
      <c r="K56" s="225">
        <v>44445</v>
      </c>
    </row>
    <row r="57" spans="1:11" x14ac:dyDescent="0.35">
      <c r="A57" s="209" t="s">
        <v>359</v>
      </c>
      <c r="B57" s="210"/>
      <c r="C57" s="225"/>
      <c r="D57" s="225"/>
      <c r="E57" s="225"/>
      <c r="F57" s="225"/>
      <c r="G57" s="225"/>
      <c r="H57" s="225"/>
      <c r="I57" s="225"/>
      <c r="J57" s="225">
        <v>3569</v>
      </c>
      <c r="K57" s="225">
        <v>3935</v>
      </c>
    </row>
    <row r="58" spans="1:11" x14ac:dyDescent="0.35">
      <c r="A58" s="209" t="s">
        <v>384</v>
      </c>
      <c r="B58" s="210"/>
      <c r="C58" s="225"/>
      <c r="D58" s="225">
        <v>734</v>
      </c>
      <c r="E58" s="225">
        <v>30</v>
      </c>
      <c r="F58" s="225"/>
      <c r="G58" s="225"/>
      <c r="H58" s="225"/>
      <c r="I58" s="225">
        <v>21250</v>
      </c>
      <c r="J58" s="225">
        <v>31226</v>
      </c>
      <c r="K58" s="225"/>
    </row>
    <row r="59" spans="1:11" x14ac:dyDescent="0.35">
      <c r="A59" s="209" t="s">
        <v>325</v>
      </c>
      <c r="B59" s="210"/>
      <c r="C59" s="225"/>
      <c r="D59" s="225">
        <v>5069</v>
      </c>
      <c r="E59" s="225">
        <v>32538</v>
      </c>
      <c r="F59" s="225">
        <v>260</v>
      </c>
      <c r="G59" s="225">
        <v>75</v>
      </c>
      <c r="H59" s="225">
        <v>254</v>
      </c>
      <c r="I59" s="225">
        <v>126</v>
      </c>
      <c r="J59" s="225">
        <v>26980</v>
      </c>
      <c r="K59" s="225">
        <v>24717</v>
      </c>
    </row>
    <row r="60" spans="1:11" x14ac:dyDescent="0.35">
      <c r="A60" s="209" t="s">
        <v>363</v>
      </c>
      <c r="B60" s="210"/>
      <c r="C60" s="225"/>
      <c r="D60" s="225"/>
      <c r="E60" s="225"/>
      <c r="F60" s="225"/>
      <c r="G60" s="225"/>
      <c r="H60" s="225"/>
      <c r="I60" s="225"/>
      <c r="J60" s="225">
        <v>114182</v>
      </c>
      <c r="K60" s="225">
        <v>35300</v>
      </c>
    </row>
    <row r="61" spans="1:11" x14ac:dyDescent="0.35">
      <c r="A61" s="209" t="s">
        <v>396</v>
      </c>
      <c r="B61" s="210"/>
      <c r="C61" s="225">
        <v>58654</v>
      </c>
      <c r="D61" s="225">
        <v>282486</v>
      </c>
      <c r="E61" s="225">
        <v>282486</v>
      </c>
      <c r="F61" s="225">
        <v>282486</v>
      </c>
      <c r="G61" s="225">
        <v>336083</v>
      </c>
      <c r="H61" s="225">
        <v>376954</v>
      </c>
      <c r="I61" s="225">
        <v>384294</v>
      </c>
      <c r="J61" s="225">
        <v>369869</v>
      </c>
      <c r="K61" s="225">
        <v>350929</v>
      </c>
    </row>
    <row r="62" spans="1:11" x14ac:dyDescent="0.35">
      <c r="A62" s="209" t="s">
        <v>401</v>
      </c>
      <c r="B62" s="210"/>
      <c r="C62" s="225"/>
      <c r="D62" s="225"/>
      <c r="E62" s="225"/>
      <c r="F62" s="225">
        <v>53641</v>
      </c>
      <c r="G62" s="225">
        <v>42066</v>
      </c>
      <c r="H62" s="225">
        <v>71249</v>
      </c>
      <c r="I62" s="225">
        <v>60601</v>
      </c>
      <c r="J62" s="225">
        <v>77903</v>
      </c>
      <c r="K62" s="225">
        <v>76170</v>
      </c>
    </row>
    <row r="63" spans="1:11" x14ac:dyDescent="0.35">
      <c r="A63" s="209" t="s">
        <v>364</v>
      </c>
      <c r="B63" s="210"/>
      <c r="C63" s="225">
        <v>15338</v>
      </c>
      <c r="D63" s="225">
        <v>20466</v>
      </c>
      <c r="E63" s="225">
        <v>18697</v>
      </c>
      <c r="F63" s="225">
        <v>16018</v>
      </c>
      <c r="G63" s="225">
        <v>13097</v>
      </c>
      <c r="H63" s="225">
        <v>9516</v>
      </c>
      <c r="I63" s="225">
        <v>6673</v>
      </c>
      <c r="J63" s="225">
        <v>4793</v>
      </c>
      <c r="K63" s="225">
        <v>616</v>
      </c>
    </row>
    <row r="64" spans="1:11" ht="15" thickBot="1" x14ac:dyDescent="0.4">
      <c r="A64" s="209" t="s">
        <v>366</v>
      </c>
      <c r="B64" s="210"/>
      <c r="C64" s="225">
        <v>252991</v>
      </c>
      <c r="D64" s="225">
        <v>229042</v>
      </c>
      <c r="E64" s="225">
        <v>254693</v>
      </c>
      <c r="F64" s="225">
        <v>85181</v>
      </c>
      <c r="G64" s="225">
        <v>68819</v>
      </c>
      <c r="H64" s="225">
        <v>76637</v>
      </c>
      <c r="I64" s="225">
        <v>73690</v>
      </c>
      <c r="J64" s="225">
        <v>84026</v>
      </c>
      <c r="K64" s="225">
        <v>99394</v>
      </c>
    </row>
    <row r="65" spans="1:11" ht="15" thickBot="1" x14ac:dyDescent="0.4">
      <c r="A65" s="213" t="s">
        <v>333</v>
      </c>
      <c r="B65" s="206"/>
      <c r="C65" s="214">
        <f t="shared" ref="C65:J65" si="6">SUM(C66:C81)</f>
        <v>7354049</v>
      </c>
      <c r="D65" s="214">
        <f t="shared" si="6"/>
        <v>7169069</v>
      </c>
      <c r="E65" s="214">
        <f t="shared" si="6"/>
        <v>7195238</v>
      </c>
      <c r="F65" s="214">
        <f t="shared" si="6"/>
        <v>7407387</v>
      </c>
      <c r="G65" s="214">
        <f t="shared" si="6"/>
        <v>6940177</v>
      </c>
      <c r="H65" s="214">
        <f t="shared" si="6"/>
        <v>7430313</v>
      </c>
      <c r="I65" s="214">
        <f t="shared" si="6"/>
        <v>7567392</v>
      </c>
      <c r="J65" s="214">
        <f t="shared" si="6"/>
        <v>7949145</v>
      </c>
      <c r="K65" s="214">
        <f>SUM(K66:K81)</f>
        <v>7310443</v>
      </c>
    </row>
    <row r="66" spans="1:11" x14ac:dyDescent="0.35">
      <c r="A66" s="209" t="s">
        <v>367</v>
      </c>
      <c r="B66" s="210"/>
      <c r="C66" s="237">
        <v>1021911</v>
      </c>
      <c r="D66" s="237">
        <v>1052891</v>
      </c>
      <c r="E66" s="237">
        <v>983612</v>
      </c>
      <c r="F66" s="237">
        <v>1046338</v>
      </c>
      <c r="G66" s="237">
        <v>824020</v>
      </c>
      <c r="H66" s="237">
        <v>1235888</v>
      </c>
      <c r="I66" s="237">
        <v>1252724</v>
      </c>
      <c r="J66" s="237">
        <v>1844249</v>
      </c>
      <c r="K66" s="237">
        <v>1428510</v>
      </c>
    </row>
    <row r="67" spans="1:11" x14ac:dyDescent="0.35">
      <c r="A67" s="209" t="s">
        <v>191</v>
      </c>
      <c r="B67" s="210"/>
      <c r="C67" s="237">
        <v>1492905</v>
      </c>
      <c r="D67" s="237">
        <v>1504849</v>
      </c>
      <c r="E67" s="237">
        <v>1512476</v>
      </c>
      <c r="F67" s="237">
        <v>1522008</v>
      </c>
      <c r="G67" s="237">
        <v>1219745</v>
      </c>
      <c r="H67" s="237">
        <v>1473928</v>
      </c>
      <c r="I67" s="237">
        <v>1487245</v>
      </c>
      <c r="J67" s="237">
        <v>1494768</v>
      </c>
      <c r="K67" s="237">
        <v>1377382</v>
      </c>
    </row>
    <row r="68" spans="1:11" x14ac:dyDescent="0.35">
      <c r="A68" s="209" t="s">
        <v>353</v>
      </c>
      <c r="B68" s="210"/>
      <c r="C68" s="237">
        <v>2253865</v>
      </c>
      <c r="D68" s="237">
        <v>2259142</v>
      </c>
      <c r="E68" s="237">
        <v>2281384</v>
      </c>
      <c r="F68" s="237">
        <v>2307447</v>
      </c>
      <c r="G68" s="237">
        <v>2341337</v>
      </c>
      <c r="H68" s="237">
        <v>2378522</v>
      </c>
      <c r="I68" s="237">
        <v>2415348</v>
      </c>
      <c r="J68" s="237">
        <v>2452333</v>
      </c>
      <c r="K68" s="237">
        <v>2491439</v>
      </c>
    </row>
    <row r="69" spans="1:11" x14ac:dyDescent="0.35">
      <c r="A69" s="209" t="s">
        <v>578</v>
      </c>
      <c r="B69" s="210"/>
      <c r="C69" s="237"/>
      <c r="D69" s="237"/>
      <c r="E69" s="237"/>
      <c r="F69" s="237"/>
      <c r="G69" s="237"/>
      <c r="H69" s="237"/>
      <c r="I69" s="237"/>
      <c r="J69" s="237">
        <v>0</v>
      </c>
      <c r="K69" s="237"/>
    </row>
    <row r="70" spans="1:11" x14ac:dyDescent="0.35">
      <c r="A70" s="209" t="s">
        <v>391</v>
      </c>
      <c r="B70" s="210"/>
      <c r="C70" s="237"/>
      <c r="D70" s="237"/>
      <c r="E70" s="237"/>
      <c r="F70" s="237"/>
      <c r="G70" s="237"/>
      <c r="H70" s="237"/>
      <c r="I70" s="237"/>
      <c r="J70" s="237">
        <v>0</v>
      </c>
      <c r="K70" s="237"/>
    </row>
    <row r="71" spans="1:11" x14ac:dyDescent="0.35">
      <c r="A71" s="209" t="s">
        <v>325</v>
      </c>
      <c r="B71" s="210"/>
      <c r="C71" s="237"/>
      <c r="D71" s="237"/>
      <c r="E71" s="237">
        <v>36851</v>
      </c>
      <c r="F71" s="237">
        <v>39478</v>
      </c>
      <c r="G71" s="237">
        <v>25121</v>
      </c>
      <c r="H71" s="237">
        <v>36153</v>
      </c>
      <c r="I71" s="237">
        <v>42279</v>
      </c>
      <c r="J71" s="237">
        <v>48216</v>
      </c>
      <c r="K71" s="237">
        <v>0</v>
      </c>
    </row>
    <row r="72" spans="1:11" x14ac:dyDescent="0.35">
      <c r="A72" s="209" t="s">
        <v>396</v>
      </c>
      <c r="B72" s="210"/>
      <c r="C72" s="237">
        <v>707398</v>
      </c>
      <c r="D72" s="237">
        <v>491200</v>
      </c>
      <c r="E72" s="237">
        <v>516407</v>
      </c>
      <c r="F72" s="237">
        <v>518509</v>
      </c>
      <c r="G72" s="237">
        <v>466325</v>
      </c>
      <c r="H72" s="237">
        <v>428566</v>
      </c>
      <c r="I72" s="237">
        <v>439041</v>
      </c>
      <c r="J72" s="237">
        <v>468748</v>
      </c>
      <c r="K72" s="237">
        <v>482744</v>
      </c>
    </row>
    <row r="73" spans="1:11" x14ac:dyDescent="0.35">
      <c r="A73" s="209" t="s">
        <v>554</v>
      </c>
      <c r="B73" s="210"/>
      <c r="C73" s="237"/>
      <c r="D73" s="237"/>
      <c r="E73" s="237"/>
      <c r="F73" s="237">
        <v>99172</v>
      </c>
      <c r="G73" s="237">
        <v>181136</v>
      </c>
      <c r="H73" s="237">
        <v>184594</v>
      </c>
      <c r="I73" s="237">
        <v>300677</v>
      </c>
      <c r="J73" s="237">
        <v>200774</v>
      </c>
      <c r="K73" s="237">
        <v>63978</v>
      </c>
    </row>
    <row r="74" spans="1:11" x14ac:dyDescent="0.35">
      <c r="A74" s="209" t="s">
        <v>384</v>
      </c>
      <c r="B74" s="210"/>
      <c r="C74" s="237"/>
      <c r="D74" s="237"/>
      <c r="E74" s="237"/>
      <c r="F74" s="237"/>
      <c r="G74" s="237"/>
      <c r="H74" s="237"/>
      <c r="I74" s="237"/>
      <c r="J74" s="237">
        <v>0</v>
      </c>
      <c r="K74" s="237"/>
    </row>
    <row r="75" spans="1:11" x14ac:dyDescent="0.35">
      <c r="A75" s="209" t="s">
        <v>357</v>
      </c>
      <c r="B75" s="210"/>
      <c r="C75" s="237"/>
      <c r="D75" s="237"/>
      <c r="E75" s="237"/>
      <c r="F75" s="237"/>
      <c r="G75" s="237"/>
      <c r="H75" s="237"/>
      <c r="I75" s="237"/>
      <c r="J75" s="237">
        <v>0</v>
      </c>
      <c r="K75" s="237"/>
    </row>
    <row r="76" spans="1:11" x14ac:dyDescent="0.35">
      <c r="A76" s="209" t="s">
        <v>555</v>
      </c>
      <c r="B76" s="210"/>
      <c r="C76" s="237">
        <v>21170</v>
      </c>
      <c r="D76" s="237">
        <v>26781</v>
      </c>
      <c r="E76" s="237">
        <v>31543</v>
      </c>
      <c r="F76" s="237">
        <v>35683</v>
      </c>
      <c r="G76" s="237">
        <v>38700</v>
      </c>
      <c r="H76" s="237">
        <v>108265</v>
      </c>
      <c r="I76" s="237">
        <v>114835</v>
      </c>
      <c r="J76" s="237">
        <v>120760</v>
      </c>
      <c r="K76" s="237">
        <v>127801</v>
      </c>
    </row>
    <row r="77" spans="1:11" x14ac:dyDescent="0.35">
      <c r="A77" s="209" t="s">
        <v>363</v>
      </c>
      <c r="B77" s="210"/>
      <c r="C77" s="237">
        <v>795227</v>
      </c>
      <c r="D77" s="237">
        <v>836997</v>
      </c>
      <c r="E77" s="237">
        <v>817793</v>
      </c>
      <c r="F77" s="237">
        <v>804057</v>
      </c>
      <c r="G77" s="237">
        <v>792464</v>
      </c>
      <c r="H77" s="237">
        <v>754774</v>
      </c>
      <c r="I77" s="237">
        <v>668430</v>
      </c>
      <c r="J77" s="237">
        <v>484137</v>
      </c>
      <c r="K77" s="237">
        <v>497352</v>
      </c>
    </row>
    <row r="78" spans="1:11" x14ac:dyDescent="0.35">
      <c r="A78" s="209" t="s">
        <v>399</v>
      </c>
      <c r="B78" s="210"/>
      <c r="C78" s="237"/>
      <c r="D78" s="237"/>
      <c r="E78" s="237"/>
      <c r="F78" s="237"/>
      <c r="G78" s="237"/>
      <c r="H78" s="237"/>
      <c r="I78" s="237"/>
      <c r="J78" s="237">
        <v>0</v>
      </c>
      <c r="K78" s="237"/>
    </row>
    <row r="79" spans="1:11" x14ac:dyDescent="0.35">
      <c r="A79" s="209" t="s">
        <v>401</v>
      </c>
      <c r="B79" s="210"/>
      <c r="C79" s="237">
        <v>1001513</v>
      </c>
      <c r="D79" s="237">
        <v>926446</v>
      </c>
      <c r="E79" s="237">
        <v>947723</v>
      </c>
      <c r="F79" s="237">
        <v>969606</v>
      </c>
      <c r="G79" s="237">
        <v>988437</v>
      </c>
      <c r="H79" s="237">
        <v>787802</v>
      </c>
      <c r="I79" s="237">
        <v>804353</v>
      </c>
      <c r="J79" s="237">
        <v>792736</v>
      </c>
      <c r="K79" s="237">
        <v>798386</v>
      </c>
    </row>
    <row r="80" spans="1:11" x14ac:dyDescent="0.35">
      <c r="A80" s="209" t="s">
        <v>366</v>
      </c>
      <c r="B80" s="210"/>
      <c r="C80" s="237">
        <v>36037</v>
      </c>
      <c r="D80" s="237">
        <v>57084</v>
      </c>
      <c r="E80" s="237">
        <v>57083</v>
      </c>
      <c r="F80" s="237">
        <v>57084</v>
      </c>
      <c r="G80" s="237">
        <v>57084</v>
      </c>
      <c r="H80" s="237">
        <v>37658</v>
      </c>
      <c r="I80" s="237">
        <v>38768</v>
      </c>
      <c r="J80" s="237">
        <v>39211</v>
      </c>
      <c r="K80" s="237">
        <v>40126</v>
      </c>
    </row>
    <row r="81" spans="1:11" ht="15" thickBot="1" x14ac:dyDescent="0.4">
      <c r="A81" s="209" t="s">
        <v>364</v>
      </c>
      <c r="B81" s="210"/>
      <c r="C81" s="237">
        <v>24023</v>
      </c>
      <c r="D81" s="237">
        <v>13679</v>
      </c>
      <c r="E81" s="237">
        <v>10366</v>
      </c>
      <c r="F81" s="237">
        <v>8005</v>
      </c>
      <c r="G81" s="237">
        <v>5808</v>
      </c>
      <c r="H81" s="237">
        <v>4163</v>
      </c>
      <c r="I81" s="237">
        <v>3692</v>
      </c>
      <c r="J81" s="237">
        <v>3213</v>
      </c>
      <c r="K81" s="237">
        <v>2725</v>
      </c>
    </row>
    <row r="82" spans="1:11" ht="15" thickBot="1" x14ac:dyDescent="0.4">
      <c r="A82" s="213" t="s">
        <v>371</v>
      </c>
      <c r="B82" s="206"/>
      <c r="C82" s="214">
        <f t="shared" ref="C82:J82" si="7">SUM(C83:C89)</f>
        <v>-3067673</v>
      </c>
      <c r="D82" s="214">
        <f t="shared" si="7"/>
        <v>-2657843</v>
      </c>
      <c r="E82" s="214">
        <f t="shared" si="7"/>
        <v>-2649072</v>
      </c>
      <c r="F82" s="214">
        <f t="shared" si="7"/>
        <v>-2757922</v>
      </c>
      <c r="G82" s="214">
        <f t="shared" si="7"/>
        <v>-2772017</v>
      </c>
      <c r="H82" s="214">
        <f t="shared" si="7"/>
        <v>-2744657</v>
      </c>
      <c r="I82" s="214">
        <f t="shared" si="7"/>
        <v>-2703520</v>
      </c>
      <c r="J82" s="214">
        <f t="shared" si="7"/>
        <v>-2871728</v>
      </c>
      <c r="K82" s="214">
        <f>SUM(K83:K89)</f>
        <v>-2965537</v>
      </c>
    </row>
    <row r="83" spans="1:11" x14ac:dyDescent="0.35">
      <c r="A83" s="209" t="s">
        <v>402</v>
      </c>
      <c r="B83" s="210"/>
      <c r="C83" s="225">
        <v>3385861</v>
      </c>
      <c r="D83" s="225">
        <v>3385861</v>
      </c>
      <c r="E83" s="225">
        <v>3385861</v>
      </c>
      <c r="F83" s="225">
        <v>3385861</v>
      </c>
      <c r="G83" s="225">
        <v>3385861</v>
      </c>
      <c r="H83" s="225">
        <v>3385861</v>
      </c>
      <c r="I83" s="225">
        <v>3385861</v>
      </c>
      <c r="J83" s="225">
        <v>3385861</v>
      </c>
      <c r="K83" s="225">
        <v>3385861</v>
      </c>
    </row>
    <row r="84" spans="1:11" x14ac:dyDescent="0.35">
      <c r="A84" s="209" t="s">
        <v>570</v>
      </c>
      <c r="B84" s="210"/>
      <c r="C84" s="225"/>
      <c r="D84" s="225"/>
      <c r="E84" s="225"/>
      <c r="F84" s="225"/>
      <c r="G84" s="225"/>
      <c r="H84" s="225"/>
      <c r="I84" s="225"/>
      <c r="J84" s="225">
        <v>0</v>
      </c>
      <c r="K84" s="225"/>
    </row>
    <row r="85" spans="1:11" x14ac:dyDescent="0.35">
      <c r="A85" s="209" t="s">
        <v>376</v>
      </c>
      <c r="B85" s="210"/>
      <c r="C85" s="225"/>
      <c r="D85" s="225"/>
      <c r="E85" s="225">
        <v>51</v>
      </c>
      <c r="F85" s="225">
        <v>274</v>
      </c>
      <c r="G85" s="225">
        <v>498</v>
      </c>
      <c r="H85" s="225">
        <v>722</v>
      </c>
      <c r="I85" s="225">
        <v>919</v>
      </c>
      <c r="J85" s="225">
        <v>1113</v>
      </c>
      <c r="K85" s="225">
        <v>1171</v>
      </c>
    </row>
    <row r="86" spans="1:11" x14ac:dyDescent="0.35">
      <c r="A86" s="209" t="s">
        <v>575</v>
      </c>
      <c r="B86" s="210"/>
      <c r="C86" s="225">
        <v>-1330320</v>
      </c>
      <c r="D86" s="225"/>
      <c r="E86" s="225"/>
      <c r="F86" s="225"/>
      <c r="G86" s="225">
        <v>-1290692</v>
      </c>
      <c r="H86" s="225">
        <v>-1090718</v>
      </c>
      <c r="I86" s="225"/>
      <c r="J86" s="225">
        <v>0</v>
      </c>
      <c r="K86" s="225"/>
    </row>
    <row r="87" spans="1:11" x14ac:dyDescent="0.35">
      <c r="A87" s="209" t="s">
        <v>403</v>
      </c>
      <c r="B87" s="210"/>
      <c r="C87" s="225">
        <v>-5123214</v>
      </c>
      <c r="D87" s="225">
        <v>-4712822</v>
      </c>
      <c r="E87" s="225">
        <v>-4774350</v>
      </c>
      <c r="F87" s="225">
        <v>-4774350</v>
      </c>
      <c r="G87" s="225">
        <v>-4867684</v>
      </c>
      <c r="H87" s="225">
        <v>-4774350</v>
      </c>
      <c r="I87" s="225">
        <v>-5040522</v>
      </c>
      <c r="J87" s="225">
        <v>-5040524</v>
      </c>
      <c r="K87" s="225">
        <v>-5040523</v>
      </c>
    </row>
    <row r="88" spans="1:11" x14ac:dyDescent="0.35">
      <c r="A88" s="209" t="s">
        <v>373</v>
      </c>
      <c r="B88" s="210"/>
      <c r="C88" s="225"/>
      <c r="D88" s="225">
        <v>-1269351</v>
      </c>
      <c r="E88" s="225">
        <v>-1277060</v>
      </c>
      <c r="F88" s="225">
        <v>-1285100</v>
      </c>
      <c r="G88" s="225"/>
      <c r="H88" s="225"/>
      <c r="I88" s="225">
        <v>-1090765</v>
      </c>
      <c r="J88" s="225">
        <v>-1099719</v>
      </c>
      <c r="K88" s="225">
        <v>-1091442</v>
      </c>
    </row>
    <row r="89" spans="1:11" ht="15" thickBot="1" x14ac:dyDescent="0.4">
      <c r="A89" s="209" t="s">
        <v>576</v>
      </c>
      <c r="B89" s="210"/>
      <c r="C89" s="225"/>
      <c r="D89" s="225">
        <v>-61531</v>
      </c>
      <c r="E89" s="225">
        <v>16426</v>
      </c>
      <c r="F89" s="225">
        <v>-84607</v>
      </c>
      <c r="G89" s="225"/>
      <c r="H89" s="225">
        <v>-266172</v>
      </c>
      <c r="I89" s="225">
        <v>40987</v>
      </c>
      <c r="J89" s="225">
        <v>-118459</v>
      </c>
      <c r="K89" s="225">
        <v>-220604</v>
      </c>
    </row>
    <row r="90" spans="1:11" ht="15" thickBot="1" x14ac:dyDescent="0.4">
      <c r="A90" s="213" t="s">
        <v>380</v>
      </c>
      <c r="B90" s="206"/>
      <c r="C90" s="214">
        <f t="shared" ref="C90:J90" si="8">C82+C65+C45</f>
        <v>6497674</v>
      </c>
      <c r="D90" s="214">
        <f t="shared" si="8"/>
        <v>6743744</v>
      </c>
      <c r="E90" s="214">
        <f t="shared" si="8"/>
        <v>6211856</v>
      </c>
      <c r="F90" s="214">
        <f t="shared" si="8"/>
        <v>6261509</v>
      </c>
      <c r="G90" s="214">
        <f t="shared" si="8"/>
        <v>6223304</v>
      </c>
      <c r="H90" s="214">
        <f t="shared" si="8"/>
        <v>6839958</v>
      </c>
      <c r="I90" s="214">
        <f t="shared" si="8"/>
        <v>6974336</v>
      </c>
      <c r="J90" s="214">
        <f t="shared" si="8"/>
        <v>7502206</v>
      </c>
      <c r="K90" s="214">
        <f>K82+K65+K45</f>
        <v>7435736</v>
      </c>
    </row>
    <row r="91" spans="1:11" x14ac:dyDescent="0.35">
      <c r="C91" s="225">
        <f t="shared" ref="C91:J91" si="9">C90-C42</f>
        <v>0</v>
      </c>
      <c r="D91" s="225">
        <f t="shared" si="9"/>
        <v>0</v>
      </c>
      <c r="E91" s="225">
        <f t="shared" si="9"/>
        <v>0</v>
      </c>
      <c r="F91" s="225">
        <f t="shared" si="9"/>
        <v>0</v>
      </c>
      <c r="G91" s="225">
        <f t="shared" si="9"/>
        <v>0</v>
      </c>
      <c r="H91" s="225">
        <f t="shared" si="9"/>
        <v>0</v>
      </c>
      <c r="I91" s="225">
        <f t="shared" si="9"/>
        <v>0</v>
      </c>
      <c r="J91" s="225">
        <f t="shared" si="9"/>
        <v>0</v>
      </c>
      <c r="K91" s="225">
        <f>K90-K42</f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02FF0-592F-45FA-8B1E-F4F5CDFD6DBD}">
  <sheetPr>
    <tabColor theme="9" tint="0.79998168889431442"/>
  </sheetPr>
  <dimension ref="A6:XFA72"/>
  <sheetViews>
    <sheetView showGridLines="0" zoomScale="85" zoomScaleNormal="85" workbookViewId="0">
      <pane xSplit="1" ySplit="7" topLeftCell="B8" activePane="bottomRight" state="frozen"/>
      <selection activeCell="J5" sqref="J5"/>
      <selection pane="topRight" activeCell="J5" sqref="J5"/>
      <selection pane="bottomLeft" activeCell="J5" sqref="J5"/>
      <selection pane="bottomRight" activeCell="D10" sqref="D10"/>
    </sheetView>
  </sheetViews>
  <sheetFormatPr defaultColWidth="9.1796875" defaultRowHeight="14.5" x14ac:dyDescent="0.35"/>
  <cols>
    <col min="1" max="1" width="47.54296875" style="37" bestFit="1" customWidth="1"/>
    <col min="2" max="2" width="3.26953125" customWidth="1"/>
    <col min="3" max="8" width="9.54296875" style="37" bestFit="1" customWidth="1"/>
    <col min="9" max="16384" width="9.1796875" style="37"/>
  </cols>
  <sheetData>
    <row r="6" spans="1:8" x14ac:dyDescent="0.35">
      <c r="A6" s="41" t="s">
        <v>6</v>
      </c>
      <c r="B6" s="168"/>
      <c r="C6" s="41"/>
      <c r="D6" s="41"/>
      <c r="E6" s="41"/>
      <c r="F6" s="41"/>
      <c r="G6" s="41"/>
      <c r="H6" s="41"/>
    </row>
    <row r="7" spans="1:8" ht="15" thickBot="1" x14ac:dyDescent="0.4">
      <c r="A7" s="5" t="s">
        <v>315</v>
      </c>
      <c r="B7" s="204"/>
      <c r="C7" s="573" t="s">
        <v>78</v>
      </c>
      <c r="D7" s="573" t="s">
        <v>79</v>
      </c>
      <c r="E7" s="573" t="s">
        <v>80</v>
      </c>
      <c r="F7" s="573" t="s">
        <v>81</v>
      </c>
      <c r="G7" s="573" t="s">
        <v>82</v>
      </c>
      <c r="H7" s="573" t="s">
        <v>83</v>
      </c>
    </row>
    <row r="8" spans="1:8" ht="15" thickBot="1" x14ac:dyDescent="0.4">
      <c r="A8" s="205" t="s">
        <v>316</v>
      </c>
      <c r="B8" s="206"/>
      <c r="C8" s="207">
        <f t="shared" ref="C8:H8" si="0">SUM(C9:C20)</f>
        <v>1114917</v>
      </c>
      <c r="D8" s="207">
        <f t="shared" si="0"/>
        <v>623544</v>
      </c>
      <c r="E8" s="207">
        <f t="shared" si="0"/>
        <v>561543</v>
      </c>
      <c r="F8" s="207">
        <f t="shared" si="0"/>
        <v>685697</v>
      </c>
      <c r="G8" s="207">
        <f t="shared" si="0"/>
        <v>559430</v>
      </c>
      <c r="H8" s="207">
        <f t="shared" si="0"/>
        <v>589061</v>
      </c>
    </row>
    <row r="9" spans="1:8" x14ac:dyDescent="0.35">
      <c r="A9" s="209" t="s">
        <v>317</v>
      </c>
      <c r="B9" s="210"/>
      <c r="C9" s="225">
        <v>46736</v>
      </c>
      <c r="D9" s="225">
        <v>26665</v>
      </c>
      <c r="E9" s="225">
        <v>25620</v>
      </c>
      <c r="F9" s="225">
        <v>3976</v>
      </c>
      <c r="G9" s="225">
        <v>16737</v>
      </c>
      <c r="H9" s="225">
        <v>53810</v>
      </c>
    </row>
    <row r="10" spans="1:8" x14ac:dyDescent="0.35">
      <c r="A10" s="209" t="s">
        <v>382</v>
      </c>
      <c r="B10" s="210"/>
      <c r="C10" s="225">
        <v>767369</v>
      </c>
      <c r="D10" s="225">
        <v>326635</v>
      </c>
      <c r="E10" s="225">
        <v>112091</v>
      </c>
      <c r="F10" s="225">
        <v>260595</v>
      </c>
      <c r="G10" s="225">
        <v>107154</v>
      </c>
      <c r="H10" s="225">
        <v>99597</v>
      </c>
    </row>
    <row r="11" spans="1:8" x14ac:dyDescent="0.35">
      <c r="A11" s="209" t="s">
        <v>319</v>
      </c>
      <c r="B11" s="210"/>
      <c r="C11" s="225">
        <v>294395</v>
      </c>
      <c r="D11" s="225">
        <v>201812</v>
      </c>
      <c r="E11" s="225">
        <v>251208</v>
      </c>
      <c r="F11" s="225">
        <v>271599</v>
      </c>
      <c r="G11" s="225">
        <v>302883.00000000006</v>
      </c>
      <c r="H11" s="225">
        <v>306057</v>
      </c>
    </row>
    <row r="12" spans="1:8" x14ac:dyDescent="0.35">
      <c r="A12" s="209" t="s">
        <v>580</v>
      </c>
      <c r="B12" s="210"/>
      <c r="C12" s="225">
        <v>1672</v>
      </c>
      <c r="D12" s="225"/>
      <c r="E12" s="225"/>
      <c r="F12" s="225"/>
      <c r="G12" s="225">
        <v>0</v>
      </c>
      <c r="H12" s="225"/>
    </row>
    <row r="13" spans="1:8" x14ac:dyDescent="0.35">
      <c r="A13" s="209" t="s">
        <v>560</v>
      </c>
      <c r="B13" s="210"/>
      <c r="C13" s="225">
        <v>-91311</v>
      </c>
      <c r="D13" s="225"/>
      <c r="E13" s="225"/>
      <c r="F13" s="225"/>
      <c r="G13" s="225">
        <v>0</v>
      </c>
      <c r="H13" s="225"/>
    </row>
    <row r="14" spans="1:8" x14ac:dyDescent="0.35">
      <c r="A14" s="209" t="s">
        <v>321</v>
      </c>
      <c r="B14" s="210"/>
      <c r="C14" s="225"/>
      <c r="D14" s="225"/>
      <c r="E14" s="225">
        <v>11354</v>
      </c>
      <c r="F14" s="225">
        <v>9232</v>
      </c>
      <c r="G14" s="225">
        <v>8460</v>
      </c>
      <c r="H14" s="225">
        <v>9827</v>
      </c>
    </row>
    <row r="15" spans="1:8" x14ac:dyDescent="0.35">
      <c r="A15" s="209" t="s">
        <v>322</v>
      </c>
      <c r="B15" s="210"/>
      <c r="C15" s="225">
        <v>4285</v>
      </c>
      <c r="D15" s="225">
        <v>7246</v>
      </c>
      <c r="E15" s="225">
        <v>8029</v>
      </c>
      <c r="F15" s="225">
        <v>8758</v>
      </c>
      <c r="G15" s="225">
        <v>7094</v>
      </c>
      <c r="H15" s="225">
        <v>11434</v>
      </c>
    </row>
    <row r="16" spans="1:8" x14ac:dyDescent="0.35">
      <c r="A16" s="209" t="s">
        <v>383</v>
      </c>
      <c r="B16" s="210"/>
      <c r="C16" s="225">
        <v>2023</v>
      </c>
      <c r="D16" s="225"/>
      <c r="E16" s="225"/>
      <c r="F16" s="225"/>
      <c r="G16" s="225">
        <v>1347</v>
      </c>
      <c r="H16" s="225">
        <v>4420</v>
      </c>
    </row>
    <row r="17" spans="1:8" x14ac:dyDescent="0.35">
      <c r="A17" s="209" t="s">
        <v>385</v>
      </c>
      <c r="B17" s="210"/>
      <c r="C17" s="225">
        <v>2004</v>
      </c>
      <c r="D17" s="225">
        <v>4211</v>
      </c>
      <c r="E17" s="225">
        <v>5005</v>
      </c>
      <c r="F17" s="225">
        <v>5509</v>
      </c>
      <c r="G17" s="225">
        <v>5149</v>
      </c>
      <c r="H17" s="225">
        <v>6633</v>
      </c>
    </row>
    <row r="18" spans="1:8" x14ac:dyDescent="0.35">
      <c r="A18" s="209" t="s">
        <v>327</v>
      </c>
      <c r="B18" s="210"/>
      <c r="C18" s="225">
        <v>13709</v>
      </c>
      <c r="D18" s="225">
        <v>33399</v>
      </c>
      <c r="E18" s="225">
        <v>85585</v>
      </c>
      <c r="F18" s="225">
        <v>83722</v>
      </c>
      <c r="G18" s="225">
        <v>66939</v>
      </c>
      <c r="H18" s="225">
        <v>19811</v>
      </c>
    </row>
    <row r="19" spans="1:8" x14ac:dyDescent="0.35">
      <c r="A19" s="209" t="s">
        <v>328</v>
      </c>
      <c r="B19" s="210"/>
      <c r="C19" s="225">
        <v>12875</v>
      </c>
      <c r="D19" s="225">
        <v>16939</v>
      </c>
      <c r="E19" s="225">
        <v>31911</v>
      </c>
      <c r="F19" s="225">
        <v>11604</v>
      </c>
      <c r="G19" s="225">
        <v>11707</v>
      </c>
      <c r="H19" s="225">
        <v>20423</v>
      </c>
    </row>
    <row r="20" spans="1:8" ht="15" thickBot="1" x14ac:dyDescent="0.4">
      <c r="A20" s="209" t="s">
        <v>392</v>
      </c>
      <c r="B20" s="210"/>
      <c r="C20" s="225">
        <v>61160</v>
      </c>
      <c r="D20" s="225">
        <v>6637</v>
      </c>
      <c r="E20" s="225">
        <v>30740</v>
      </c>
      <c r="F20" s="225">
        <v>30702</v>
      </c>
      <c r="G20" s="225">
        <v>31960</v>
      </c>
      <c r="H20" s="225">
        <v>57049</v>
      </c>
    </row>
    <row r="21" spans="1:8" ht="15" thickBot="1" x14ac:dyDescent="0.4">
      <c r="A21" s="213" t="s">
        <v>333</v>
      </c>
      <c r="B21" s="206"/>
      <c r="C21" s="214">
        <f t="shared" ref="C21:H21" si="1">C22+C28</f>
        <v>567015</v>
      </c>
      <c r="D21" s="214">
        <f t="shared" si="1"/>
        <v>801854</v>
      </c>
      <c r="E21" s="214">
        <f t="shared" si="1"/>
        <v>860877</v>
      </c>
      <c r="F21" s="214">
        <f t="shared" si="1"/>
        <v>965252</v>
      </c>
      <c r="G21" s="214">
        <f t="shared" si="1"/>
        <v>1101021</v>
      </c>
      <c r="H21" s="214">
        <f t="shared" si="1"/>
        <v>1204407</v>
      </c>
    </row>
    <row r="22" spans="1:8" ht="15" thickBot="1" x14ac:dyDescent="0.4">
      <c r="A22" s="213" t="s">
        <v>334</v>
      </c>
      <c r="B22" s="206"/>
      <c r="C22" s="214">
        <f t="shared" ref="C22:H22" si="2">SUM(C23:C27)</f>
        <v>181901</v>
      </c>
      <c r="D22" s="214">
        <f t="shared" si="2"/>
        <v>236047</v>
      </c>
      <c r="E22" s="214">
        <f t="shared" si="2"/>
        <v>170484</v>
      </c>
      <c r="F22" s="214">
        <f t="shared" si="2"/>
        <v>179740</v>
      </c>
      <c r="G22" s="214">
        <f t="shared" si="2"/>
        <v>227564</v>
      </c>
      <c r="H22" s="214">
        <f t="shared" si="2"/>
        <v>242164</v>
      </c>
    </row>
    <row r="23" spans="1:8" x14ac:dyDescent="0.35">
      <c r="A23" s="209" t="s">
        <v>319</v>
      </c>
      <c r="B23" s="210"/>
      <c r="C23" s="225">
        <v>49407</v>
      </c>
      <c r="D23" s="225">
        <v>54608</v>
      </c>
      <c r="E23" s="225">
        <v>51482</v>
      </c>
      <c r="F23" s="225">
        <v>52999</v>
      </c>
      <c r="G23" s="225">
        <v>54580</v>
      </c>
      <c r="H23" s="225">
        <v>65534</v>
      </c>
    </row>
    <row r="24" spans="1:8" x14ac:dyDescent="0.35">
      <c r="A24" s="209" t="s">
        <v>336</v>
      </c>
      <c r="B24" s="210"/>
      <c r="C24" s="225">
        <v>3457</v>
      </c>
      <c r="D24" s="225">
        <v>3673</v>
      </c>
      <c r="E24" s="225">
        <v>3748</v>
      </c>
      <c r="F24" s="225">
        <v>3866</v>
      </c>
      <c r="G24" s="225">
        <v>3423</v>
      </c>
      <c r="H24" s="225">
        <v>3639</v>
      </c>
    </row>
    <row r="25" spans="1:8" x14ac:dyDescent="0.35">
      <c r="A25" s="209" t="s">
        <v>328</v>
      </c>
      <c r="B25" s="210"/>
      <c r="C25" s="225">
        <v>68499</v>
      </c>
      <c r="D25" s="225">
        <v>166444</v>
      </c>
      <c r="E25" s="225">
        <v>101674</v>
      </c>
      <c r="F25" s="225">
        <v>109468</v>
      </c>
      <c r="G25" s="225">
        <v>135387</v>
      </c>
      <c r="H25" s="225">
        <v>138657</v>
      </c>
    </row>
    <row r="26" spans="1:8" x14ac:dyDescent="0.35">
      <c r="A26" s="209" t="s">
        <v>392</v>
      </c>
      <c r="B26" s="210"/>
      <c r="C26" s="225">
        <v>49278</v>
      </c>
      <c r="D26" s="225">
        <v>199</v>
      </c>
      <c r="E26" s="225">
        <v>2748</v>
      </c>
      <c r="F26" s="225">
        <v>2044</v>
      </c>
      <c r="G26" s="225">
        <v>2036</v>
      </c>
      <c r="H26" s="225">
        <v>2059</v>
      </c>
    </row>
    <row r="27" spans="1:8" ht="15" thickBot="1" x14ac:dyDescent="0.4">
      <c r="A27" s="212" t="s">
        <v>339</v>
      </c>
      <c r="B27" s="210"/>
      <c r="C27" s="225">
        <v>11260</v>
      </c>
      <c r="D27" s="225">
        <v>11123</v>
      </c>
      <c r="E27" s="225">
        <v>10832</v>
      </c>
      <c r="F27" s="225">
        <v>11363</v>
      </c>
      <c r="G27" s="225">
        <v>32137.999999999996</v>
      </c>
      <c r="H27" s="225">
        <v>32275</v>
      </c>
    </row>
    <row r="28" spans="1:8" ht="15" thickBot="1" x14ac:dyDescent="0.4">
      <c r="A28" s="213" t="s">
        <v>340</v>
      </c>
      <c r="B28" s="206"/>
      <c r="C28" s="214">
        <f t="shared" ref="C28:H28" si="3">SUM(C29:C33)</f>
        <v>385114</v>
      </c>
      <c r="D28" s="214">
        <f t="shared" si="3"/>
        <v>565807</v>
      </c>
      <c r="E28" s="214">
        <f t="shared" si="3"/>
        <v>690393</v>
      </c>
      <c r="F28" s="214">
        <f t="shared" si="3"/>
        <v>785512</v>
      </c>
      <c r="G28" s="214">
        <f t="shared" si="3"/>
        <v>873457</v>
      </c>
      <c r="H28" s="214">
        <f t="shared" si="3"/>
        <v>962243</v>
      </c>
    </row>
    <row r="29" spans="1:8" x14ac:dyDescent="0.35">
      <c r="A29" s="209" t="s">
        <v>341</v>
      </c>
      <c r="B29" s="210"/>
      <c r="C29" s="225"/>
      <c r="D29" s="225"/>
      <c r="E29" s="225"/>
      <c r="F29" s="225"/>
      <c r="G29" s="225">
        <v>0</v>
      </c>
      <c r="H29" s="225"/>
    </row>
    <row r="30" spans="1:8" x14ac:dyDescent="0.35">
      <c r="A30" s="209" t="s">
        <v>388</v>
      </c>
      <c r="B30" s="210"/>
      <c r="C30" s="225">
        <v>105956</v>
      </c>
      <c r="D30" s="225">
        <v>213828</v>
      </c>
      <c r="E30" s="225">
        <v>343432</v>
      </c>
      <c r="F30" s="225">
        <v>426233</v>
      </c>
      <c r="G30" s="225">
        <v>175470</v>
      </c>
      <c r="H30" s="225">
        <v>257810</v>
      </c>
    </row>
    <row r="31" spans="1:8" x14ac:dyDescent="0.35">
      <c r="A31" s="209" t="s">
        <v>343</v>
      </c>
      <c r="B31" s="210"/>
      <c r="C31" s="225"/>
      <c r="D31" s="225"/>
      <c r="E31" s="225"/>
      <c r="F31" s="225"/>
      <c r="G31" s="225">
        <v>0</v>
      </c>
      <c r="H31" s="225"/>
    </row>
    <row r="32" spans="1:8" x14ac:dyDescent="0.35">
      <c r="A32" s="209" t="s">
        <v>345</v>
      </c>
      <c r="B32" s="210"/>
      <c r="C32" s="225">
        <v>441</v>
      </c>
      <c r="D32" s="225"/>
      <c r="E32" s="225"/>
      <c r="F32" s="225"/>
      <c r="G32" s="225">
        <v>0</v>
      </c>
      <c r="H32" s="225"/>
    </row>
    <row r="33" spans="1:9 16381:16381" ht="15" thickBot="1" x14ac:dyDescent="0.4">
      <c r="A33" s="209" t="s">
        <v>344</v>
      </c>
      <c r="B33" s="210"/>
      <c r="C33" s="225">
        <v>278717</v>
      </c>
      <c r="D33" s="225">
        <v>351979</v>
      </c>
      <c r="E33" s="225">
        <v>346961</v>
      </c>
      <c r="F33" s="225">
        <v>359279</v>
      </c>
      <c r="G33" s="225">
        <v>697987</v>
      </c>
      <c r="H33" s="225">
        <v>704433</v>
      </c>
    </row>
    <row r="34" spans="1:9 16381:16381" ht="15" thickBot="1" x14ac:dyDescent="0.4">
      <c r="A34" s="213" t="s">
        <v>346</v>
      </c>
      <c r="B34" s="206"/>
      <c r="C34" s="214">
        <f t="shared" ref="C34:H34" si="4">C8+C21</f>
        <v>1681932</v>
      </c>
      <c r="D34" s="214">
        <f t="shared" si="4"/>
        <v>1425398</v>
      </c>
      <c r="E34" s="214">
        <f t="shared" si="4"/>
        <v>1422420</v>
      </c>
      <c r="F34" s="214">
        <f t="shared" si="4"/>
        <v>1650949</v>
      </c>
      <c r="G34" s="214">
        <f t="shared" si="4"/>
        <v>1660451</v>
      </c>
      <c r="H34" s="214">
        <f t="shared" si="4"/>
        <v>1793468</v>
      </c>
      <c r="XFA34" s="214"/>
    </row>
    <row r="35" spans="1:9 16381:16381" x14ac:dyDescent="0.35">
      <c r="A35" s="209"/>
      <c r="B35" s="210"/>
    </row>
    <row r="36" spans="1:9 16381:16381" ht="15" thickBot="1" x14ac:dyDescent="0.4">
      <c r="A36" s="5" t="s">
        <v>347</v>
      </c>
      <c r="B36" s="204"/>
      <c r="C36" s="573" t="str">
        <f>C7</f>
        <v>2T22</v>
      </c>
      <c r="D36" s="573" t="s">
        <v>79</v>
      </c>
      <c r="E36" s="573" t="str">
        <f>E7</f>
        <v>4T22</v>
      </c>
      <c r="F36" s="573" t="str">
        <f>F7</f>
        <v>1T23</v>
      </c>
      <c r="G36" s="573" t="s">
        <v>82</v>
      </c>
      <c r="H36" s="573" t="s">
        <v>83</v>
      </c>
    </row>
    <row r="37" spans="1:9 16381:16381" ht="15" thickBot="1" x14ac:dyDescent="0.4">
      <c r="A37" s="205" t="s">
        <v>316</v>
      </c>
      <c r="B37" s="206"/>
      <c r="C37" s="207">
        <f t="shared" ref="C37:H37" si="5">SUM(C38:C51)</f>
        <v>1166815</v>
      </c>
      <c r="D37" s="207">
        <f t="shared" si="5"/>
        <v>909935</v>
      </c>
      <c r="E37" s="207">
        <f t="shared" si="5"/>
        <v>916609</v>
      </c>
      <c r="F37" s="207">
        <f t="shared" si="5"/>
        <v>819420</v>
      </c>
      <c r="G37" s="207">
        <f t="shared" si="5"/>
        <v>855831</v>
      </c>
      <c r="H37" s="207">
        <f t="shared" si="5"/>
        <v>687116</v>
      </c>
      <c r="I37" s="114"/>
    </row>
    <row r="38" spans="1:9 16381:16381" x14ac:dyDescent="0.35">
      <c r="A38" s="218" t="s">
        <v>348</v>
      </c>
      <c r="B38" s="219"/>
      <c r="C38" s="225">
        <v>495853</v>
      </c>
      <c r="D38" s="225">
        <v>181959</v>
      </c>
      <c r="E38" s="225">
        <v>239868</v>
      </c>
      <c r="F38" s="225">
        <v>185019</v>
      </c>
      <c r="G38" s="225">
        <v>205453.99999999997</v>
      </c>
      <c r="H38" s="225">
        <v>182133</v>
      </c>
    </row>
    <row r="39" spans="1:9 16381:16381" x14ac:dyDescent="0.35">
      <c r="A39" s="218" t="s">
        <v>350</v>
      </c>
      <c r="B39" s="219"/>
      <c r="C39" s="225">
        <v>5037</v>
      </c>
      <c r="D39" s="225">
        <v>4832</v>
      </c>
      <c r="E39" s="225">
        <v>3617</v>
      </c>
      <c r="F39" s="225">
        <v>5036</v>
      </c>
      <c r="G39" s="225">
        <v>5241</v>
      </c>
      <c r="H39" s="225">
        <v>5752</v>
      </c>
    </row>
    <row r="40" spans="1:9 16381:16381" x14ac:dyDescent="0.35">
      <c r="A40" s="209" t="s">
        <v>367</v>
      </c>
      <c r="B40" s="210"/>
      <c r="C40" s="225">
        <v>3000</v>
      </c>
      <c r="D40" s="225">
        <v>2681</v>
      </c>
      <c r="E40" s="225">
        <v>3016</v>
      </c>
      <c r="F40" s="225">
        <v>5398</v>
      </c>
      <c r="G40" s="225">
        <v>10615</v>
      </c>
      <c r="H40" s="225">
        <v>5801</v>
      </c>
    </row>
    <row r="41" spans="1:9 16381:16381" x14ac:dyDescent="0.35">
      <c r="A41" s="209" t="s">
        <v>191</v>
      </c>
      <c r="B41" s="210"/>
      <c r="C41" s="225"/>
      <c r="D41" s="225"/>
      <c r="E41" s="225"/>
      <c r="F41" s="225"/>
      <c r="G41" s="225"/>
      <c r="H41" s="225">
        <v>16906</v>
      </c>
    </row>
    <row r="42" spans="1:9 16381:16381" x14ac:dyDescent="0.35">
      <c r="A42" s="209" t="s">
        <v>353</v>
      </c>
      <c r="B42" s="210"/>
      <c r="C42" s="225">
        <v>370081</v>
      </c>
      <c r="D42" s="225">
        <v>346259</v>
      </c>
      <c r="E42" s="225">
        <v>381935</v>
      </c>
      <c r="F42" s="225">
        <v>348724</v>
      </c>
      <c r="G42" s="225">
        <v>353953</v>
      </c>
      <c r="H42" s="225">
        <v>203509</v>
      </c>
    </row>
    <row r="43" spans="1:9 16381:16381" x14ac:dyDescent="0.35">
      <c r="A43" s="209" t="s">
        <v>394</v>
      </c>
      <c r="B43" s="210"/>
      <c r="C43" s="225">
        <v>123030</v>
      </c>
      <c r="D43" s="225">
        <v>152250</v>
      </c>
      <c r="E43" s="225">
        <v>30599</v>
      </c>
      <c r="F43" s="225">
        <v>26368</v>
      </c>
      <c r="G43" s="225">
        <v>28816</v>
      </c>
      <c r="H43" s="225">
        <v>26330</v>
      </c>
    </row>
    <row r="44" spans="1:9 16381:16381" x14ac:dyDescent="0.35">
      <c r="A44" s="209" t="s">
        <v>357</v>
      </c>
      <c r="B44" s="210"/>
      <c r="C44" s="225">
        <v>4997</v>
      </c>
      <c r="D44" s="225">
        <v>3058</v>
      </c>
      <c r="E44" s="225">
        <v>3309</v>
      </c>
      <c r="F44" s="225">
        <v>3171</v>
      </c>
      <c r="G44" s="225">
        <v>3245</v>
      </c>
      <c r="H44" s="225">
        <v>3160</v>
      </c>
    </row>
    <row r="45" spans="1:9 16381:16381" x14ac:dyDescent="0.35">
      <c r="A45" s="209" t="s">
        <v>582</v>
      </c>
      <c r="B45" s="210"/>
      <c r="C45" s="225"/>
      <c r="D45" s="225">
        <v>58499</v>
      </c>
      <c r="E45" s="225">
        <v>1351</v>
      </c>
      <c r="F45" s="225">
        <v>771</v>
      </c>
      <c r="G45" s="225">
        <v>0</v>
      </c>
      <c r="H45" s="225"/>
    </row>
    <row r="46" spans="1:9 16381:16381" x14ac:dyDescent="0.35">
      <c r="A46" s="209" t="s">
        <v>555</v>
      </c>
      <c r="B46" s="210"/>
      <c r="C46" s="225">
        <v>36200</v>
      </c>
      <c r="D46" s="225">
        <v>35763</v>
      </c>
      <c r="E46" s="225">
        <v>63514</v>
      </c>
      <c r="F46" s="225">
        <v>65868</v>
      </c>
      <c r="G46" s="225">
        <v>68360</v>
      </c>
      <c r="H46" s="225">
        <v>71021</v>
      </c>
    </row>
    <row r="47" spans="1:9 16381:16381" x14ac:dyDescent="0.35">
      <c r="A47" s="209" t="s">
        <v>325</v>
      </c>
      <c r="B47" s="210"/>
      <c r="C47" s="225">
        <v>943</v>
      </c>
      <c r="D47" s="225">
        <v>467</v>
      </c>
      <c r="E47" s="225">
        <v>383</v>
      </c>
      <c r="F47" s="225">
        <v>581</v>
      </c>
      <c r="G47" s="225">
        <v>1288</v>
      </c>
      <c r="H47" s="225">
        <v>620</v>
      </c>
    </row>
    <row r="48" spans="1:9 16381:16381" x14ac:dyDescent="0.35">
      <c r="A48" s="209" t="s">
        <v>396</v>
      </c>
      <c r="B48" s="210"/>
      <c r="C48" s="225">
        <v>115536</v>
      </c>
      <c r="D48" s="225">
        <v>111515</v>
      </c>
      <c r="E48" s="225">
        <v>126526</v>
      </c>
      <c r="F48" s="225">
        <v>124599</v>
      </c>
      <c r="G48" s="225">
        <v>133240</v>
      </c>
      <c r="H48" s="225">
        <v>134271</v>
      </c>
    </row>
    <row r="49" spans="1:8" x14ac:dyDescent="0.35">
      <c r="A49" s="209" t="s">
        <v>364</v>
      </c>
      <c r="B49" s="210"/>
      <c r="C49" s="225">
        <v>469</v>
      </c>
      <c r="D49" s="225"/>
      <c r="E49" s="225"/>
      <c r="F49" s="225"/>
      <c r="G49" s="225">
        <v>0</v>
      </c>
      <c r="H49" s="225"/>
    </row>
    <row r="50" spans="1:8" x14ac:dyDescent="0.35">
      <c r="A50" s="209" t="s">
        <v>363</v>
      </c>
      <c r="B50" s="210"/>
      <c r="C50" s="225"/>
      <c r="D50" s="225"/>
      <c r="E50" s="225">
        <v>49113</v>
      </c>
      <c r="F50" s="225">
        <v>37139</v>
      </c>
      <c r="G50" s="225">
        <v>24091</v>
      </c>
      <c r="H50" s="225">
        <v>11691</v>
      </c>
    </row>
    <row r="51" spans="1:8" ht="15" thickBot="1" x14ac:dyDescent="0.4">
      <c r="A51" s="209" t="s">
        <v>366</v>
      </c>
      <c r="B51" s="210"/>
      <c r="C51" s="225">
        <v>11669</v>
      </c>
      <c r="D51" s="225">
        <v>12652</v>
      </c>
      <c r="E51" s="225">
        <v>13378</v>
      </c>
      <c r="F51" s="225">
        <v>16746</v>
      </c>
      <c r="G51" s="225">
        <v>21528.000000000004</v>
      </c>
      <c r="H51" s="225">
        <v>25922</v>
      </c>
    </row>
    <row r="52" spans="1:8" ht="15" thickBot="1" x14ac:dyDescent="0.4">
      <c r="A52" s="213" t="s">
        <v>333</v>
      </c>
      <c r="B52" s="206"/>
      <c r="C52" s="214">
        <f t="shared" ref="C52:H52" si="6">SUM(C53:C62)</f>
        <v>1645415</v>
      </c>
      <c r="D52" s="214">
        <f t="shared" si="6"/>
        <v>1490487</v>
      </c>
      <c r="E52" s="214">
        <f t="shared" si="6"/>
        <v>1468873</v>
      </c>
      <c r="F52" s="214">
        <f t="shared" si="6"/>
        <v>1814429</v>
      </c>
      <c r="G52" s="214">
        <f t="shared" si="6"/>
        <v>1800049</v>
      </c>
      <c r="H52" s="214">
        <f t="shared" si="6"/>
        <v>2086248</v>
      </c>
    </row>
    <row r="53" spans="1:8" x14ac:dyDescent="0.35">
      <c r="A53" s="209" t="s">
        <v>348</v>
      </c>
      <c r="B53" s="206"/>
      <c r="C53" s="237">
        <v>153193</v>
      </c>
      <c r="D53" s="237"/>
      <c r="E53" s="237"/>
      <c r="F53" s="237"/>
      <c r="G53" s="237"/>
      <c r="H53" s="237"/>
    </row>
    <row r="54" spans="1:8" x14ac:dyDescent="0.35">
      <c r="A54" s="209" t="s">
        <v>367</v>
      </c>
      <c r="B54" s="210"/>
      <c r="C54" s="237">
        <v>475369</v>
      </c>
      <c r="D54" s="237">
        <v>490357</v>
      </c>
      <c r="E54" s="237">
        <v>474541</v>
      </c>
      <c r="F54" s="237">
        <v>774906</v>
      </c>
      <c r="G54" s="237">
        <v>734538</v>
      </c>
      <c r="H54" s="237">
        <v>763128</v>
      </c>
    </row>
    <row r="55" spans="1:8" x14ac:dyDescent="0.35">
      <c r="A55" s="209" t="s">
        <v>191</v>
      </c>
      <c r="B55" s="210"/>
      <c r="C55" s="237">
        <v>530527</v>
      </c>
      <c r="D55" s="237">
        <v>549890</v>
      </c>
      <c r="E55" s="237">
        <v>569255</v>
      </c>
      <c r="F55" s="237">
        <v>589630</v>
      </c>
      <c r="G55" s="237">
        <v>610054</v>
      </c>
      <c r="H55" s="237">
        <v>812988</v>
      </c>
    </row>
    <row r="56" spans="1:8" x14ac:dyDescent="0.35">
      <c r="A56" s="209" t="s">
        <v>353</v>
      </c>
      <c r="B56" s="210"/>
      <c r="C56" s="237">
        <v>127424</v>
      </c>
      <c r="D56" s="237">
        <v>128197</v>
      </c>
      <c r="E56" s="237">
        <v>186517</v>
      </c>
      <c r="F56" s="237">
        <v>197793</v>
      </c>
      <c r="G56" s="237">
        <v>190874</v>
      </c>
      <c r="H56" s="237">
        <v>283051</v>
      </c>
    </row>
    <row r="57" spans="1:8" x14ac:dyDescent="0.35">
      <c r="A57" s="209" t="s">
        <v>325</v>
      </c>
      <c r="B57" s="210"/>
      <c r="C57" s="237">
        <v>74506</v>
      </c>
      <c r="D57" s="237">
        <v>78358</v>
      </c>
      <c r="E57" s="237">
        <v>81357</v>
      </c>
      <c r="F57" s="237">
        <v>98206</v>
      </c>
      <c r="G57" s="237">
        <v>144755</v>
      </c>
      <c r="H57" s="237">
        <v>103087</v>
      </c>
    </row>
    <row r="58" spans="1:8" x14ac:dyDescent="0.35">
      <c r="A58" s="209" t="s">
        <v>396</v>
      </c>
      <c r="B58" s="210"/>
      <c r="C58" s="237">
        <v>108549</v>
      </c>
      <c r="D58" s="237">
        <v>111583</v>
      </c>
      <c r="E58" s="237">
        <v>136389</v>
      </c>
      <c r="F58" s="237">
        <v>141786</v>
      </c>
      <c r="G58" s="237">
        <v>112518</v>
      </c>
      <c r="H58" s="237">
        <v>114754</v>
      </c>
    </row>
    <row r="59" spans="1:8" x14ac:dyDescent="0.35">
      <c r="A59" s="209" t="s">
        <v>554</v>
      </c>
      <c r="B59" s="210"/>
      <c r="C59" s="237">
        <v>108952</v>
      </c>
      <c r="D59" s="237">
        <v>63631</v>
      </c>
      <c r="E59" s="237">
        <v>14534</v>
      </c>
      <c r="F59" s="237">
        <v>6055</v>
      </c>
      <c r="G59" s="237">
        <v>1479</v>
      </c>
      <c r="H59" s="237">
        <v>3633</v>
      </c>
    </row>
    <row r="60" spans="1:8" x14ac:dyDescent="0.35">
      <c r="A60" s="209" t="s">
        <v>555</v>
      </c>
      <c r="B60" s="210"/>
      <c r="C60" s="237">
        <v>22</v>
      </c>
      <c r="D60" s="237">
        <v>22</v>
      </c>
      <c r="E60" s="237"/>
      <c r="F60" s="237"/>
      <c r="G60" s="237">
        <v>0</v>
      </c>
      <c r="H60" s="237"/>
    </row>
    <row r="61" spans="1:8" x14ac:dyDescent="0.35">
      <c r="A61" s="209" t="s">
        <v>363</v>
      </c>
      <c r="B61" s="210"/>
      <c r="C61" s="237">
        <v>59875</v>
      </c>
      <c r="D61" s="237">
        <v>61821</v>
      </c>
      <c r="E61" s="237">
        <v>80</v>
      </c>
      <c r="F61" s="237">
        <v>80</v>
      </c>
      <c r="G61" s="237">
        <v>80</v>
      </c>
      <c r="H61" s="237">
        <v>80</v>
      </c>
    </row>
    <row r="62" spans="1:8" ht="15" thickBot="1" x14ac:dyDescent="0.4">
      <c r="A62" s="209" t="s">
        <v>366</v>
      </c>
      <c r="B62" s="210"/>
      <c r="C62" s="237">
        <v>6998</v>
      </c>
      <c r="D62" s="237">
        <v>6628</v>
      </c>
      <c r="E62" s="237">
        <v>6200</v>
      </c>
      <c r="F62" s="237">
        <v>5973</v>
      </c>
      <c r="G62" s="237">
        <v>5751</v>
      </c>
      <c r="H62" s="237">
        <v>5527</v>
      </c>
    </row>
    <row r="63" spans="1:8" ht="15" thickBot="1" x14ac:dyDescent="0.4">
      <c r="A63" s="213" t="s">
        <v>371</v>
      </c>
      <c r="B63" s="206"/>
      <c r="C63" s="214">
        <f t="shared" ref="C63:H63" si="7">SUM(C64:C70)</f>
        <v>-1130298</v>
      </c>
      <c r="D63" s="214">
        <f t="shared" si="7"/>
        <v>-975024</v>
      </c>
      <c r="E63" s="214">
        <f t="shared" si="7"/>
        <v>-963062</v>
      </c>
      <c r="F63" s="214">
        <f t="shared" si="7"/>
        <v>-982900</v>
      </c>
      <c r="G63" s="214">
        <f t="shared" si="7"/>
        <v>-995429</v>
      </c>
      <c r="H63" s="214">
        <f t="shared" si="7"/>
        <v>-979896</v>
      </c>
    </row>
    <row r="64" spans="1:8" x14ac:dyDescent="0.35">
      <c r="A64" s="209" t="s">
        <v>402</v>
      </c>
      <c r="B64" s="210"/>
      <c r="C64" s="225">
        <v>1517876</v>
      </c>
      <c r="D64" s="225">
        <v>1517876</v>
      </c>
      <c r="E64" s="225">
        <v>1517876</v>
      </c>
      <c r="F64" s="225">
        <v>1517876</v>
      </c>
      <c r="G64" s="225">
        <v>1517876</v>
      </c>
      <c r="H64" s="225">
        <v>1517876</v>
      </c>
    </row>
    <row r="65" spans="1:8" x14ac:dyDescent="0.35">
      <c r="A65" s="209" t="s">
        <v>570</v>
      </c>
      <c r="B65" s="210"/>
      <c r="C65" s="225"/>
      <c r="D65" s="225"/>
      <c r="E65" s="225"/>
      <c r="F65" s="225"/>
      <c r="G65" s="225">
        <v>0</v>
      </c>
      <c r="H65" s="225"/>
    </row>
    <row r="66" spans="1:8" x14ac:dyDescent="0.35">
      <c r="A66" s="209" t="s">
        <v>376</v>
      </c>
      <c r="B66" s="210"/>
      <c r="C66" s="225"/>
      <c r="D66" s="225"/>
      <c r="E66" s="225"/>
      <c r="F66" s="225"/>
      <c r="G66" s="225">
        <v>0</v>
      </c>
      <c r="H66" s="225"/>
    </row>
    <row r="67" spans="1:8" x14ac:dyDescent="0.35">
      <c r="A67" s="209" t="s">
        <v>575</v>
      </c>
      <c r="B67" s="210"/>
      <c r="C67" s="225"/>
      <c r="D67" s="225">
        <v>3277</v>
      </c>
      <c r="E67" s="225">
        <v>15466</v>
      </c>
      <c r="F67" s="225">
        <v>1882</v>
      </c>
      <c r="G67" s="225">
        <v>0</v>
      </c>
      <c r="H67" s="225"/>
    </row>
    <row r="68" spans="1:8" x14ac:dyDescent="0.35">
      <c r="A68" s="209" t="s">
        <v>403</v>
      </c>
      <c r="B68" s="210"/>
      <c r="C68" s="225">
        <v>-2885472</v>
      </c>
      <c r="D68" s="225">
        <v>-2496177</v>
      </c>
      <c r="E68" s="225">
        <v>-2885473</v>
      </c>
      <c r="F68" s="225">
        <v>-2496403</v>
      </c>
      <c r="G68" s="225">
        <v>-2496404</v>
      </c>
      <c r="H68" s="225">
        <v>-2496404</v>
      </c>
    </row>
    <row r="69" spans="1:8" x14ac:dyDescent="0.35">
      <c r="A69" s="209" t="s">
        <v>579</v>
      </c>
      <c r="B69" s="210"/>
      <c r="C69" s="225">
        <v>18983</v>
      </c>
      <c r="D69" s="225"/>
      <c r="E69" s="225"/>
      <c r="F69" s="225"/>
      <c r="G69" s="225">
        <v>109</v>
      </c>
      <c r="H69" s="225">
        <v>8308</v>
      </c>
    </row>
    <row r="70" spans="1:8" ht="15" thickBot="1" x14ac:dyDescent="0.4">
      <c r="A70" s="209" t="s">
        <v>576</v>
      </c>
      <c r="B70" s="210"/>
      <c r="C70" s="225">
        <v>218315</v>
      </c>
      <c r="D70" s="225"/>
      <c r="E70" s="225">
        <v>389069</v>
      </c>
      <c r="F70" s="225">
        <v>-6255</v>
      </c>
      <c r="G70" s="225">
        <v>-17010</v>
      </c>
      <c r="H70" s="225">
        <v>-9676</v>
      </c>
    </row>
    <row r="71" spans="1:8" ht="15" thickBot="1" x14ac:dyDescent="0.4">
      <c r="A71" s="213" t="s">
        <v>380</v>
      </c>
      <c r="B71" s="206"/>
      <c r="C71" s="214">
        <f t="shared" ref="C71:H71" si="8">C63+C52+C37</f>
        <v>1681932</v>
      </c>
      <c r="D71" s="214">
        <f t="shared" si="8"/>
        <v>1425398</v>
      </c>
      <c r="E71" s="214">
        <f t="shared" si="8"/>
        <v>1422420</v>
      </c>
      <c r="F71" s="214">
        <f t="shared" si="8"/>
        <v>1650949</v>
      </c>
      <c r="G71" s="214">
        <f t="shared" si="8"/>
        <v>1660451</v>
      </c>
      <c r="H71" s="214">
        <f t="shared" si="8"/>
        <v>1793468</v>
      </c>
    </row>
    <row r="72" spans="1:8" x14ac:dyDescent="0.35">
      <c r="C72" s="225">
        <f t="shared" ref="C72:H72" si="9">C71-C34</f>
        <v>0</v>
      </c>
      <c r="D72" s="225">
        <f t="shared" si="9"/>
        <v>0</v>
      </c>
      <c r="E72" s="225">
        <f t="shared" si="9"/>
        <v>0</v>
      </c>
      <c r="F72" s="225">
        <f t="shared" si="9"/>
        <v>0</v>
      </c>
      <c r="G72" s="225">
        <f t="shared" si="9"/>
        <v>0</v>
      </c>
      <c r="H72" s="225">
        <f t="shared" si="9"/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3420-ABD3-4D1D-8FC7-40ED4FDD95F4}">
  <sheetPr>
    <tabColor theme="9" tint="0.79998168889431442"/>
  </sheetPr>
  <dimension ref="A6:XEY95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4" sqref="F4"/>
    </sheetView>
  </sheetViews>
  <sheetFormatPr defaultColWidth="9.1796875" defaultRowHeight="14.5" x14ac:dyDescent="0.35"/>
  <cols>
    <col min="1" max="1" width="47.6328125" style="37" customWidth="1"/>
    <col min="2" max="2" width="1.7265625" customWidth="1"/>
    <col min="3" max="6" width="9.54296875" style="37" bestFit="1" customWidth="1"/>
    <col min="7" max="16384" width="9.1796875" style="37"/>
  </cols>
  <sheetData>
    <row r="6" spans="1:6" x14ac:dyDescent="0.35">
      <c r="A6" s="41" t="s">
        <v>583</v>
      </c>
      <c r="B6" s="168"/>
      <c r="C6" s="41"/>
      <c r="D6" s="41"/>
      <c r="E6" s="41"/>
      <c r="F6" s="41"/>
    </row>
    <row r="7" spans="1:6" ht="15" thickBot="1" x14ac:dyDescent="0.4">
      <c r="A7" s="5" t="s">
        <v>315</v>
      </c>
      <c r="B7" s="204"/>
      <c r="C7" s="573" t="s">
        <v>80</v>
      </c>
      <c r="D7" s="573" t="s">
        <v>81</v>
      </c>
      <c r="E7" s="573" t="s">
        <v>82</v>
      </c>
      <c r="F7" s="573" t="s">
        <v>83</v>
      </c>
    </row>
    <row r="8" spans="1:6" ht="15" thickBot="1" x14ac:dyDescent="0.4">
      <c r="A8" s="205" t="s">
        <v>316</v>
      </c>
      <c r="B8" s="206"/>
      <c r="C8" s="207">
        <f>SUM(C9:C21)</f>
        <v>3099391</v>
      </c>
      <c r="D8" s="207">
        <f>SUM(D9:D21)</f>
        <v>3389961</v>
      </c>
      <c r="E8" s="207">
        <f>SUM(E9:E21)</f>
        <v>3870055</v>
      </c>
      <c r="F8" s="207">
        <f>SUM(F9:F21)</f>
        <v>3448216</v>
      </c>
    </row>
    <row r="9" spans="1:6" x14ac:dyDescent="0.35">
      <c r="A9" s="209" t="s">
        <v>317</v>
      </c>
      <c r="B9" s="210"/>
      <c r="C9" s="225">
        <v>80363</v>
      </c>
      <c r="D9" s="225">
        <v>155569</v>
      </c>
      <c r="E9" s="225">
        <v>819536</v>
      </c>
      <c r="F9" s="225">
        <v>374546</v>
      </c>
    </row>
    <row r="10" spans="1:6" x14ac:dyDescent="0.35">
      <c r="A10" s="209" t="s">
        <v>382</v>
      </c>
      <c r="B10" s="210"/>
      <c r="C10" s="225">
        <v>10833</v>
      </c>
      <c r="D10" s="225">
        <v>208529</v>
      </c>
      <c r="E10" s="225">
        <v>326758</v>
      </c>
      <c r="F10" s="225">
        <v>87405</v>
      </c>
    </row>
    <row r="11" spans="1:6" x14ac:dyDescent="0.35">
      <c r="A11" s="209" t="s">
        <v>319</v>
      </c>
      <c r="B11" s="210"/>
      <c r="C11" s="225">
        <v>1827263</v>
      </c>
      <c r="D11" s="225">
        <v>2150922</v>
      </c>
      <c r="E11" s="225">
        <v>2046614</v>
      </c>
      <c r="F11" s="225">
        <v>1892553</v>
      </c>
    </row>
    <row r="12" spans="1:6" x14ac:dyDescent="0.35">
      <c r="A12" s="209" t="s">
        <v>580</v>
      </c>
      <c r="B12" s="210"/>
      <c r="C12" s="225"/>
      <c r="D12" s="225"/>
      <c r="E12" s="225">
        <v>0</v>
      </c>
      <c r="F12" s="225"/>
    </row>
    <row r="13" spans="1:6" x14ac:dyDescent="0.35">
      <c r="A13" s="209" t="s">
        <v>560</v>
      </c>
      <c r="B13" s="210"/>
      <c r="C13" s="225"/>
      <c r="D13" s="225">
        <v>-352459</v>
      </c>
      <c r="E13" s="225">
        <v>-341165</v>
      </c>
      <c r="F13" s="225"/>
    </row>
    <row r="14" spans="1:6" x14ac:dyDescent="0.35">
      <c r="A14" s="209" t="s">
        <v>320</v>
      </c>
      <c r="B14" s="210"/>
      <c r="C14" s="225"/>
      <c r="D14" s="225"/>
      <c r="E14" s="225">
        <v>0</v>
      </c>
      <c r="F14" s="225"/>
    </row>
    <row r="15" spans="1:6" x14ac:dyDescent="0.35">
      <c r="A15" s="209" t="s">
        <v>322</v>
      </c>
      <c r="B15" s="210"/>
      <c r="C15" s="225">
        <v>63784</v>
      </c>
      <c r="D15" s="225">
        <v>68792</v>
      </c>
      <c r="E15" s="225">
        <v>93599</v>
      </c>
      <c r="F15" s="225">
        <v>83189</v>
      </c>
    </row>
    <row r="16" spans="1:6" x14ac:dyDescent="0.35">
      <c r="A16" s="209" t="s">
        <v>336</v>
      </c>
      <c r="B16" s="210"/>
      <c r="C16" s="225"/>
      <c r="D16" s="225"/>
      <c r="E16" s="225">
        <v>0</v>
      </c>
      <c r="F16" s="225"/>
    </row>
    <row r="17" spans="1:6" x14ac:dyDescent="0.35">
      <c r="A17" s="209" t="s">
        <v>383</v>
      </c>
      <c r="B17" s="210"/>
      <c r="C17" s="225">
        <v>147098</v>
      </c>
      <c r="D17" s="225">
        <v>89567</v>
      </c>
      <c r="E17" s="225">
        <v>0</v>
      </c>
      <c r="F17" s="225"/>
    </row>
    <row r="18" spans="1:6" x14ac:dyDescent="0.35">
      <c r="A18" s="209" t="s">
        <v>385</v>
      </c>
      <c r="B18" s="210"/>
      <c r="C18" s="225">
        <v>21408</v>
      </c>
      <c r="D18" s="225">
        <v>25882</v>
      </c>
      <c r="E18" s="225">
        <v>33546</v>
      </c>
      <c r="F18" s="225">
        <v>27101</v>
      </c>
    </row>
    <row r="19" spans="1:6" x14ac:dyDescent="0.35">
      <c r="A19" s="209" t="s">
        <v>327</v>
      </c>
      <c r="B19" s="210"/>
      <c r="C19" s="225">
        <v>691671</v>
      </c>
      <c r="D19" s="225">
        <v>699917</v>
      </c>
      <c r="E19" s="225">
        <v>687938</v>
      </c>
      <c r="F19" s="225">
        <v>702206</v>
      </c>
    </row>
    <row r="20" spans="1:6" x14ac:dyDescent="0.35">
      <c r="A20" s="209" t="s">
        <v>328</v>
      </c>
      <c r="B20" s="210"/>
      <c r="C20" s="225">
        <v>40415</v>
      </c>
      <c r="D20" s="225">
        <v>71514</v>
      </c>
      <c r="E20" s="225">
        <v>69574</v>
      </c>
      <c r="F20" s="225">
        <v>74247</v>
      </c>
    </row>
    <row r="21" spans="1:6" ht="15" thickBot="1" x14ac:dyDescent="0.4">
      <c r="A21" s="212" t="s">
        <v>392</v>
      </c>
      <c r="B21" s="210"/>
      <c r="C21" s="225">
        <v>216556</v>
      </c>
      <c r="D21" s="225">
        <v>271728</v>
      </c>
      <c r="E21" s="225">
        <v>133655</v>
      </c>
      <c r="F21" s="225">
        <v>206969</v>
      </c>
    </row>
    <row r="22" spans="1:6" ht="15" thickBot="1" x14ac:dyDescent="0.4">
      <c r="A22" s="213" t="s">
        <v>333</v>
      </c>
      <c r="B22" s="206"/>
      <c r="C22" s="214">
        <f>C23+C37</f>
        <v>16384287</v>
      </c>
      <c r="D22" s="214">
        <f>D23+D37</f>
        <v>16558664</v>
      </c>
      <c r="E22" s="214">
        <f>E23+E37</f>
        <v>17441154</v>
      </c>
      <c r="F22" s="214">
        <f>F23+F37</f>
        <v>17667560</v>
      </c>
    </row>
    <row r="23" spans="1:6" ht="15" thickBot="1" x14ac:dyDescent="0.4">
      <c r="A23" s="213" t="s">
        <v>334</v>
      </c>
      <c r="B23" s="206"/>
      <c r="C23" s="214">
        <f t="shared" ref="C23:D23" si="0">SUM(C24:C36)</f>
        <v>5377547</v>
      </c>
      <c r="D23" s="214">
        <f t="shared" si="0"/>
        <v>5375424</v>
      </c>
      <c r="E23" s="214">
        <f>SUM(E24:E36)</f>
        <v>6209860</v>
      </c>
      <c r="F23" s="214">
        <f>SUM(F24:F36)</f>
        <v>6223400</v>
      </c>
    </row>
    <row r="24" spans="1:6" x14ac:dyDescent="0.35">
      <c r="A24" s="402" t="s">
        <v>318</v>
      </c>
      <c r="B24" s="210"/>
      <c r="C24" s="225"/>
      <c r="D24" s="225"/>
      <c r="E24" s="225">
        <v>26475</v>
      </c>
      <c r="F24" s="225">
        <v>27163</v>
      </c>
    </row>
    <row r="25" spans="1:6" x14ac:dyDescent="0.35">
      <c r="A25" s="209" t="s">
        <v>319</v>
      </c>
      <c r="B25" s="210"/>
      <c r="C25" s="225">
        <v>75962</v>
      </c>
      <c r="D25" s="225">
        <v>74162</v>
      </c>
      <c r="E25" s="225">
        <v>81044</v>
      </c>
      <c r="F25" s="225">
        <v>79374</v>
      </c>
    </row>
    <row r="26" spans="1:6" x14ac:dyDescent="0.35">
      <c r="A26" s="209" t="s">
        <v>383</v>
      </c>
      <c r="B26" s="210"/>
      <c r="C26" s="225"/>
      <c r="D26" s="225"/>
      <c r="E26" s="225">
        <v>0</v>
      </c>
      <c r="F26" s="225"/>
    </row>
    <row r="27" spans="1:6" x14ac:dyDescent="0.35">
      <c r="A27" s="209" t="s">
        <v>551</v>
      </c>
      <c r="B27" s="210"/>
      <c r="C27" s="225"/>
      <c r="D27" s="225"/>
      <c r="E27" s="225">
        <v>0</v>
      </c>
      <c r="F27" s="225"/>
    </row>
    <row r="28" spans="1:6" x14ac:dyDescent="0.35">
      <c r="A28" s="209" t="s">
        <v>336</v>
      </c>
      <c r="B28" s="210"/>
      <c r="C28" s="225">
        <v>146465</v>
      </c>
      <c r="D28" s="225">
        <v>150899</v>
      </c>
      <c r="E28" s="225">
        <v>170415</v>
      </c>
      <c r="F28" s="225">
        <v>170688</v>
      </c>
    </row>
    <row r="29" spans="1:6" x14ac:dyDescent="0.35">
      <c r="A29" s="209" t="s">
        <v>327</v>
      </c>
      <c r="B29" s="210"/>
      <c r="C29" s="225"/>
      <c r="D29" s="225"/>
      <c r="E29" s="225">
        <v>0</v>
      </c>
      <c r="F29" s="225"/>
    </row>
    <row r="30" spans="1:6" x14ac:dyDescent="0.35">
      <c r="A30" s="209" t="s">
        <v>328</v>
      </c>
      <c r="B30" s="210"/>
      <c r="C30" s="225">
        <v>2371976</v>
      </c>
      <c r="D30" s="225">
        <v>2257478</v>
      </c>
      <c r="E30" s="225">
        <v>2235801</v>
      </c>
      <c r="F30" s="225">
        <v>2151144</v>
      </c>
    </row>
    <row r="31" spans="1:6" x14ac:dyDescent="0.35">
      <c r="A31" s="209" t="s">
        <v>391</v>
      </c>
      <c r="B31" s="210"/>
      <c r="C31" s="225">
        <v>1375535</v>
      </c>
      <c r="D31" s="225">
        <v>1352081</v>
      </c>
      <c r="E31" s="225">
        <v>1537043</v>
      </c>
      <c r="F31" s="225">
        <v>1576997</v>
      </c>
    </row>
    <row r="32" spans="1:6" x14ac:dyDescent="0.35">
      <c r="A32" s="209" t="s">
        <v>325</v>
      </c>
      <c r="B32" s="210"/>
      <c r="C32" s="225"/>
      <c r="D32" s="225"/>
      <c r="E32" s="225">
        <v>0</v>
      </c>
      <c r="F32" s="225"/>
    </row>
    <row r="33" spans="1:6 16379:16379" x14ac:dyDescent="0.35">
      <c r="A33" s="209" t="s">
        <v>560</v>
      </c>
      <c r="B33" s="210"/>
      <c r="C33" s="225"/>
      <c r="D33" s="225"/>
      <c r="E33" s="225">
        <v>0</v>
      </c>
      <c r="F33" s="225"/>
    </row>
    <row r="34" spans="1:6 16379:16379" x14ac:dyDescent="0.35">
      <c r="A34" s="209" t="s">
        <v>581</v>
      </c>
      <c r="B34" s="210"/>
      <c r="C34" s="225"/>
      <c r="D34" s="225"/>
      <c r="E34" s="225">
        <v>0</v>
      </c>
      <c r="F34" s="225"/>
    </row>
    <row r="35" spans="1:6 16379:16379" x14ac:dyDescent="0.35">
      <c r="A35" s="209" t="s">
        <v>392</v>
      </c>
      <c r="B35" s="210"/>
      <c r="C35" s="225">
        <v>597921</v>
      </c>
      <c r="D35" s="225">
        <v>589998</v>
      </c>
      <c r="E35" s="225">
        <v>781874</v>
      </c>
      <c r="F35" s="225">
        <v>823855</v>
      </c>
    </row>
    <row r="36" spans="1:6 16379:16379" ht="15" thickBot="1" x14ac:dyDescent="0.4">
      <c r="A36" s="212" t="s">
        <v>339</v>
      </c>
      <c r="B36" s="210"/>
      <c r="C36" s="225">
        <v>809688</v>
      </c>
      <c r="D36" s="225">
        <v>950806</v>
      </c>
      <c r="E36" s="225">
        <v>1377208</v>
      </c>
      <c r="F36" s="225">
        <v>1394179</v>
      </c>
    </row>
    <row r="37" spans="1:6 16379:16379" ht="15" thickBot="1" x14ac:dyDescent="0.4">
      <c r="A37" s="213" t="s">
        <v>340</v>
      </c>
      <c r="B37" s="206"/>
      <c r="C37" s="214">
        <f>SUM(C38:C42)</f>
        <v>11006740</v>
      </c>
      <c r="D37" s="214">
        <f>SUM(D38:D42)</f>
        <v>11183240</v>
      </c>
      <c r="E37" s="214">
        <f>SUM(E38:E42)</f>
        <v>11231294</v>
      </c>
      <c r="F37" s="214">
        <f>SUM(F38:F42)</f>
        <v>11444160</v>
      </c>
    </row>
    <row r="38" spans="1:6 16379:16379" x14ac:dyDescent="0.35">
      <c r="A38" s="209" t="s">
        <v>341</v>
      </c>
      <c r="B38" s="210"/>
      <c r="C38" s="225"/>
      <c r="D38" s="225"/>
      <c r="E38" s="225">
        <v>0</v>
      </c>
      <c r="F38" s="225"/>
    </row>
    <row r="39" spans="1:6 16379:16379" x14ac:dyDescent="0.35">
      <c r="A39" s="209" t="s">
        <v>388</v>
      </c>
      <c r="B39" s="210"/>
      <c r="C39" s="225">
        <v>2207951</v>
      </c>
      <c r="D39" s="225">
        <v>2435187</v>
      </c>
      <c r="E39" s="225">
        <v>1535956</v>
      </c>
      <c r="F39" s="225">
        <v>1490935</v>
      </c>
    </row>
    <row r="40" spans="1:6 16379:16379" x14ac:dyDescent="0.35">
      <c r="A40" s="209" t="s">
        <v>343</v>
      </c>
      <c r="B40" s="210"/>
      <c r="C40" s="225"/>
      <c r="D40" s="225"/>
      <c r="E40" s="225">
        <v>0</v>
      </c>
      <c r="F40" s="225"/>
    </row>
    <row r="41" spans="1:6 16379:16379" x14ac:dyDescent="0.35">
      <c r="A41" s="209" t="s">
        <v>345</v>
      </c>
      <c r="B41" s="210"/>
      <c r="C41" s="225">
        <v>19211</v>
      </c>
      <c r="D41" s="225">
        <v>15631</v>
      </c>
      <c r="E41" s="225">
        <v>12333</v>
      </c>
      <c r="F41" s="225">
        <v>9090</v>
      </c>
    </row>
    <row r="42" spans="1:6 16379:16379" ht="15" thickBot="1" x14ac:dyDescent="0.4">
      <c r="A42" s="209" t="s">
        <v>344</v>
      </c>
      <c r="B42" s="210"/>
      <c r="C42" s="225">
        <v>8779578</v>
      </c>
      <c r="D42" s="225">
        <v>8732422</v>
      </c>
      <c r="E42" s="225">
        <v>9683005</v>
      </c>
      <c r="F42" s="225">
        <v>9944135</v>
      </c>
    </row>
    <row r="43" spans="1:6 16379:16379" ht="15" thickBot="1" x14ac:dyDescent="0.4">
      <c r="A43" s="213" t="s">
        <v>346</v>
      </c>
      <c r="B43" s="206"/>
      <c r="C43" s="214">
        <f>C8+C22</f>
        <v>19483678</v>
      </c>
      <c r="D43" s="214">
        <f>D8+D22</f>
        <v>19948625</v>
      </c>
      <c r="E43" s="214">
        <f>E8+E22</f>
        <v>21311209</v>
      </c>
      <c r="F43" s="214">
        <f>F8+F22</f>
        <v>21115776</v>
      </c>
      <c r="XEY43" s="214"/>
    </row>
    <row r="44" spans="1:6 16379:16379" x14ac:dyDescent="0.35">
      <c r="A44" s="209"/>
      <c r="B44" s="210"/>
    </row>
    <row r="45" spans="1:6 16379:16379" ht="15" thickBot="1" x14ac:dyDescent="0.4">
      <c r="A45" s="5" t="s">
        <v>347</v>
      </c>
      <c r="B45" s="204"/>
      <c r="C45" s="573" t="str">
        <f>C7</f>
        <v>4T22</v>
      </c>
      <c r="D45" s="573" t="str">
        <f>D7</f>
        <v>1T23</v>
      </c>
      <c r="E45" s="573" t="s">
        <v>82</v>
      </c>
      <c r="F45" s="573" t="s">
        <v>83</v>
      </c>
    </row>
    <row r="46" spans="1:6 16379:16379" ht="15" thickBot="1" x14ac:dyDescent="0.4">
      <c r="A46" s="205" t="s">
        <v>316</v>
      </c>
      <c r="B46" s="206"/>
      <c r="C46" s="207">
        <f>SUM(C47:C66)</f>
        <v>9322065</v>
      </c>
      <c r="D46" s="207">
        <f>SUM(D47:D66)</f>
        <v>2754484</v>
      </c>
      <c r="E46" s="207">
        <f>SUM(E47:E66)</f>
        <v>3406190</v>
      </c>
      <c r="F46" s="207">
        <f>SUM(F47:F66)</f>
        <v>4246619</v>
      </c>
    </row>
    <row r="47" spans="1:6 16379:16379" x14ac:dyDescent="0.35">
      <c r="A47" s="218" t="s">
        <v>348</v>
      </c>
      <c r="B47" s="219"/>
      <c r="C47" s="225">
        <v>1326396</v>
      </c>
      <c r="D47" s="225">
        <v>1336691</v>
      </c>
      <c r="E47" s="225">
        <v>1359994</v>
      </c>
      <c r="F47" s="225">
        <v>1368980</v>
      </c>
    </row>
    <row r="48" spans="1:6 16379:16379" x14ac:dyDescent="0.35">
      <c r="A48" s="218" t="s">
        <v>584</v>
      </c>
      <c r="B48" s="219"/>
      <c r="C48" s="225">
        <v>101664</v>
      </c>
      <c r="D48" s="225"/>
      <c r="E48" s="225">
        <v>0</v>
      </c>
      <c r="F48" s="225"/>
    </row>
    <row r="49" spans="1:6" x14ac:dyDescent="0.35">
      <c r="A49" s="218" t="s">
        <v>350</v>
      </c>
      <c r="B49" s="219"/>
      <c r="C49" s="225">
        <v>51863</v>
      </c>
      <c r="D49" s="225">
        <v>65870</v>
      </c>
      <c r="E49" s="225">
        <v>86023</v>
      </c>
      <c r="F49" s="225">
        <v>74163</v>
      </c>
    </row>
    <row r="50" spans="1:6" x14ac:dyDescent="0.35">
      <c r="A50" s="209" t="s">
        <v>367</v>
      </c>
      <c r="B50" s="210"/>
      <c r="C50" s="225">
        <v>7056087</v>
      </c>
      <c r="D50" s="225">
        <v>588934</v>
      </c>
      <c r="E50" s="225">
        <v>609159</v>
      </c>
      <c r="F50" s="225">
        <v>639093</v>
      </c>
    </row>
    <row r="51" spans="1:6" x14ac:dyDescent="0.35">
      <c r="A51" s="209" t="s">
        <v>191</v>
      </c>
      <c r="B51" s="210"/>
      <c r="C51" s="225"/>
      <c r="D51" s="225">
        <v>139638</v>
      </c>
      <c r="E51" s="225">
        <v>392639</v>
      </c>
      <c r="F51" s="225">
        <v>181386</v>
      </c>
    </row>
    <row r="52" spans="1:6" x14ac:dyDescent="0.35">
      <c r="A52" s="209" t="s">
        <v>554</v>
      </c>
      <c r="B52" s="210"/>
      <c r="C52" s="225"/>
      <c r="D52" s="225"/>
      <c r="E52" s="225">
        <v>281289</v>
      </c>
      <c r="F52" s="225">
        <v>470471</v>
      </c>
    </row>
    <row r="53" spans="1:6" x14ac:dyDescent="0.35">
      <c r="A53" s="209" t="s">
        <v>353</v>
      </c>
      <c r="B53" s="210"/>
      <c r="C53" s="225">
        <v>114105</v>
      </c>
      <c r="D53" s="225">
        <v>141638</v>
      </c>
      <c r="E53" s="225">
        <v>101432</v>
      </c>
      <c r="F53" s="225">
        <v>124860</v>
      </c>
    </row>
    <row r="54" spans="1:6" x14ac:dyDescent="0.35">
      <c r="A54" s="209" t="s">
        <v>394</v>
      </c>
      <c r="B54" s="210"/>
      <c r="C54" s="225">
        <v>55011</v>
      </c>
      <c r="D54" s="225">
        <v>106227</v>
      </c>
      <c r="E54" s="225">
        <v>73478</v>
      </c>
      <c r="F54" s="225">
        <v>62412</v>
      </c>
    </row>
    <row r="55" spans="1:6" x14ac:dyDescent="0.35">
      <c r="A55" s="209" t="s">
        <v>395</v>
      </c>
      <c r="B55" s="210"/>
      <c r="C55" s="225"/>
      <c r="D55" s="225"/>
      <c r="E55" s="225">
        <v>0</v>
      </c>
      <c r="F55" s="225"/>
    </row>
    <row r="56" spans="1:6" x14ac:dyDescent="0.35">
      <c r="A56" s="209" t="s">
        <v>572</v>
      </c>
      <c r="B56" s="210"/>
      <c r="C56" s="225"/>
      <c r="D56" s="225"/>
      <c r="E56" s="225">
        <v>0</v>
      </c>
      <c r="F56" s="225"/>
    </row>
    <row r="57" spans="1:6" x14ac:dyDescent="0.35">
      <c r="A57" s="209" t="s">
        <v>357</v>
      </c>
      <c r="B57" s="210"/>
      <c r="C57" s="225">
        <v>58481</v>
      </c>
      <c r="D57" s="225">
        <v>65152</v>
      </c>
      <c r="E57" s="225">
        <v>58245</v>
      </c>
      <c r="F57" s="225">
        <v>58220</v>
      </c>
    </row>
    <row r="58" spans="1:6" x14ac:dyDescent="0.35">
      <c r="A58" s="209" t="s">
        <v>555</v>
      </c>
      <c r="B58" s="210"/>
      <c r="C58" s="225">
        <v>100640</v>
      </c>
      <c r="D58" s="225">
        <v>59293</v>
      </c>
      <c r="E58" s="225">
        <v>85516</v>
      </c>
      <c r="F58" s="225">
        <v>66093</v>
      </c>
    </row>
    <row r="59" spans="1:6" x14ac:dyDescent="0.35">
      <c r="A59" s="209" t="s">
        <v>359</v>
      </c>
      <c r="B59" s="210"/>
      <c r="C59" s="225"/>
      <c r="D59" s="225"/>
      <c r="E59" s="225">
        <v>0</v>
      </c>
      <c r="F59" s="225"/>
    </row>
    <row r="60" spans="1:6" x14ac:dyDescent="0.35">
      <c r="A60" s="209" t="s">
        <v>384</v>
      </c>
      <c r="B60" s="210"/>
      <c r="C60" s="225"/>
      <c r="D60" s="225"/>
      <c r="E60" s="225">
        <v>0</v>
      </c>
      <c r="F60" s="225"/>
    </row>
    <row r="61" spans="1:6" x14ac:dyDescent="0.35">
      <c r="A61" s="209" t="s">
        <v>325</v>
      </c>
      <c r="B61" s="210"/>
      <c r="C61" s="225"/>
      <c r="D61" s="225"/>
      <c r="E61" s="225">
        <v>0</v>
      </c>
      <c r="F61" s="225"/>
    </row>
    <row r="62" spans="1:6" x14ac:dyDescent="0.35">
      <c r="A62" s="209" t="s">
        <v>363</v>
      </c>
      <c r="B62" s="210"/>
      <c r="C62" s="225">
        <v>218032</v>
      </c>
      <c r="D62" s="225">
        <v>53586</v>
      </c>
      <c r="E62" s="225">
        <v>132432</v>
      </c>
      <c r="F62" s="225">
        <v>968707</v>
      </c>
    </row>
    <row r="63" spans="1:6" x14ac:dyDescent="0.35">
      <c r="A63" s="209" t="s">
        <v>396</v>
      </c>
      <c r="B63" s="210"/>
      <c r="C63" s="225"/>
      <c r="D63" s="225"/>
      <c r="E63" s="225">
        <v>0</v>
      </c>
      <c r="F63" s="225"/>
    </row>
    <row r="64" spans="1:6" x14ac:dyDescent="0.35">
      <c r="A64" s="209" t="s">
        <v>401</v>
      </c>
      <c r="B64" s="210"/>
      <c r="C64" s="225"/>
      <c r="D64" s="225"/>
      <c r="E64" s="225">
        <v>2219</v>
      </c>
      <c r="F64" s="225">
        <v>2236</v>
      </c>
    </row>
    <row r="65" spans="1:7" x14ac:dyDescent="0.35">
      <c r="A65" s="209" t="s">
        <v>364</v>
      </c>
      <c r="B65" s="210"/>
      <c r="C65" s="225">
        <v>13238</v>
      </c>
      <c r="D65" s="225">
        <v>13425</v>
      </c>
      <c r="E65" s="225">
        <v>12542</v>
      </c>
      <c r="F65" s="225">
        <v>9362</v>
      </c>
    </row>
    <row r="66" spans="1:7" ht="15" thickBot="1" x14ac:dyDescent="0.4">
      <c r="A66" s="209" t="s">
        <v>366</v>
      </c>
      <c r="B66" s="210"/>
      <c r="C66" s="225">
        <v>226548</v>
      </c>
      <c r="D66" s="225">
        <v>184030</v>
      </c>
      <c r="E66" s="225">
        <v>211222</v>
      </c>
      <c r="F66" s="225">
        <v>220636</v>
      </c>
    </row>
    <row r="67" spans="1:7" ht="15" thickBot="1" x14ac:dyDescent="0.4">
      <c r="A67" s="213" t="s">
        <v>333</v>
      </c>
      <c r="B67" s="206"/>
      <c r="C67" s="214">
        <f>SUM(C68:C84)</f>
        <v>5011242</v>
      </c>
      <c r="D67" s="214">
        <f>SUM(D68:D84)</f>
        <v>12103894</v>
      </c>
      <c r="E67" s="214">
        <f>SUM(E68:E84)</f>
        <v>13237010</v>
      </c>
      <c r="F67" s="214">
        <f>SUM(F68:F84)</f>
        <v>12279209</v>
      </c>
      <c r="G67" s="114"/>
    </row>
    <row r="68" spans="1:7" x14ac:dyDescent="0.35">
      <c r="A68" s="218" t="s">
        <v>348</v>
      </c>
      <c r="B68" s="206"/>
      <c r="C68" s="235">
        <v>290061</v>
      </c>
      <c r="D68" s="235">
        <v>261055</v>
      </c>
      <c r="E68" s="235">
        <v>232049</v>
      </c>
      <c r="F68" s="236">
        <v>203043</v>
      </c>
    </row>
    <row r="69" spans="1:7" x14ac:dyDescent="0.35">
      <c r="A69" s="209" t="s">
        <v>367</v>
      </c>
      <c r="B69" s="210"/>
      <c r="C69" s="237">
        <v>50970</v>
      </c>
      <c r="D69" s="235">
        <v>46886</v>
      </c>
      <c r="E69" s="235">
        <v>43961</v>
      </c>
      <c r="F69" s="236">
        <v>40988</v>
      </c>
    </row>
    <row r="70" spans="1:7" x14ac:dyDescent="0.35">
      <c r="A70" s="209" t="s">
        <v>191</v>
      </c>
      <c r="B70" s="210"/>
      <c r="C70" s="237"/>
      <c r="D70" s="235">
        <v>6930913</v>
      </c>
      <c r="E70" s="235">
        <v>7915564</v>
      </c>
      <c r="F70" s="236">
        <v>7924222</v>
      </c>
    </row>
    <row r="71" spans="1:7" x14ac:dyDescent="0.35">
      <c r="A71" s="209" t="s">
        <v>353</v>
      </c>
      <c r="B71" s="210"/>
      <c r="C71" s="237">
        <v>5634</v>
      </c>
      <c r="D71" s="235">
        <v>5366</v>
      </c>
      <c r="E71" s="235">
        <v>5098</v>
      </c>
      <c r="F71" s="236">
        <v>4829</v>
      </c>
    </row>
    <row r="72" spans="1:7" x14ac:dyDescent="0.35">
      <c r="A72" s="209" t="s">
        <v>578</v>
      </c>
      <c r="B72" s="210"/>
      <c r="C72" s="237"/>
      <c r="D72" s="237"/>
      <c r="E72" s="235">
        <v>0</v>
      </c>
      <c r="F72" s="236"/>
    </row>
    <row r="73" spans="1:7" x14ac:dyDescent="0.35">
      <c r="A73" s="209" t="s">
        <v>391</v>
      </c>
      <c r="B73" s="210"/>
      <c r="C73" s="237"/>
      <c r="D73" s="237"/>
      <c r="E73" s="235"/>
      <c r="F73" s="236">
        <v>0</v>
      </c>
    </row>
    <row r="74" spans="1:7" x14ac:dyDescent="0.35">
      <c r="A74" s="209" t="s">
        <v>325</v>
      </c>
      <c r="B74" s="210"/>
      <c r="C74" s="237"/>
      <c r="D74" s="237"/>
      <c r="E74" s="237"/>
      <c r="F74" s="237">
        <v>0</v>
      </c>
    </row>
    <row r="75" spans="1:7" x14ac:dyDescent="0.35">
      <c r="A75" s="209" t="s">
        <v>396</v>
      </c>
      <c r="B75" s="210"/>
      <c r="C75" s="237">
        <v>1364464</v>
      </c>
      <c r="D75" s="237">
        <v>1412738</v>
      </c>
      <c r="E75" s="237">
        <v>1982363</v>
      </c>
      <c r="F75" s="237">
        <v>2025310</v>
      </c>
    </row>
    <row r="76" spans="1:7" x14ac:dyDescent="0.35">
      <c r="A76" s="209" t="s">
        <v>554</v>
      </c>
      <c r="B76" s="210"/>
      <c r="C76" s="237">
        <v>254440</v>
      </c>
      <c r="D76" s="237">
        <v>312917</v>
      </c>
      <c r="E76" s="237">
        <v>112432</v>
      </c>
      <c r="F76" s="237">
        <v>37025</v>
      </c>
    </row>
    <row r="77" spans="1:7" x14ac:dyDescent="0.35">
      <c r="A77" s="209" t="s">
        <v>384</v>
      </c>
      <c r="B77" s="210"/>
      <c r="C77" s="237"/>
      <c r="D77" s="237"/>
      <c r="E77" s="237">
        <v>0</v>
      </c>
      <c r="F77" s="237"/>
    </row>
    <row r="78" spans="1:7" x14ac:dyDescent="0.35">
      <c r="A78" s="209" t="s">
        <v>357</v>
      </c>
      <c r="B78" s="210"/>
      <c r="C78" s="237"/>
      <c r="D78" s="237"/>
      <c r="E78" s="237">
        <v>0</v>
      </c>
      <c r="F78" s="237"/>
    </row>
    <row r="79" spans="1:7" x14ac:dyDescent="0.35">
      <c r="A79" s="209" t="s">
        <v>358</v>
      </c>
      <c r="B79" s="210"/>
      <c r="C79" s="237">
        <v>36633</v>
      </c>
      <c r="D79" s="237">
        <v>64163</v>
      </c>
      <c r="E79" s="236">
        <v>70894</v>
      </c>
      <c r="F79" s="237">
        <v>81189</v>
      </c>
    </row>
    <row r="80" spans="1:7" x14ac:dyDescent="0.35">
      <c r="A80" s="209" t="s">
        <v>363</v>
      </c>
      <c r="B80" s="210"/>
      <c r="C80" s="237">
        <v>2807467</v>
      </c>
      <c r="D80" s="237">
        <v>2869501</v>
      </c>
      <c r="E80" s="237">
        <v>2663331</v>
      </c>
      <c r="F80" s="406">
        <v>1751092</v>
      </c>
    </row>
    <row r="81" spans="1:6" x14ac:dyDescent="0.35">
      <c r="A81" s="209" t="s">
        <v>399</v>
      </c>
      <c r="B81" s="210"/>
      <c r="C81" s="237"/>
      <c r="D81" s="237"/>
      <c r="E81" s="237">
        <v>0</v>
      </c>
      <c r="F81" s="237"/>
    </row>
    <row r="82" spans="1:6" x14ac:dyDescent="0.35">
      <c r="A82" s="209" t="s">
        <v>401</v>
      </c>
      <c r="B82" s="210"/>
      <c r="C82" s="237">
        <v>162522</v>
      </c>
      <c r="D82" s="237">
        <v>164181</v>
      </c>
      <c r="E82" s="237">
        <v>164252</v>
      </c>
      <c r="F82" s="237">
        <v>166249</v>
      </c>
    </row>
    <row r="83" spans="1:6" x14ac:dyDescent="0.35">
      <c r="A83" s="209" t="s">
        <v>366</v>
      </c>
      <c r="B83" s="210"/>
      <c r="C83" s="237">
        <v>32569</v>
      </c>
      <c r="D83" s="237">
        <v>33123</v>
      </c>
      <c r="E83" s="237">
        <v>46408</v>
      </c>
      <c r="F83" s="237">
        <v>44756</v>
      </c>
    </row>
    <row r="84" spans="1:6" ht="15" thickBot="1" x14ac:dyDescent="0.4">
      <c r="A84" s="209" t="s">
        <v>364</v>
      </c>
      <c r="B84" s="210"/>
      <c r="C84" s="237">
        <v>6482</v>
      </c>
      <c r="D84" s="237">
        <v>3051</v>
      </c>
      <c r="E84" s="406">
        <v>658</v>
      </c>
      <c r="F84" s="237">
        <v>506</v>
      </c>
    </row>
    <row r="85" spans="1:6" ht="15" thickBot="1" x14ac:dyDescent="0.4">
      <c r="A85" s="213" t="s">
        <v>371</v>
      </c>
      <c r="B85" s="206"/>
      <c r="C85" s="214">
        <f t="shared" ref="C85:D85" si="1">SUM(C86:C93)</f>
        <v>5150371</v>
      </c>
      <c r="D85" s="214">
        <f t="shared" si="1"/>
        <v>5090247</v>
      </c>
      <c r="E85" s="214">
        <f>SUM(E86:E93)</f>
        <v>4668009</v>
      </c>
      <c r="F85" s="214">
        <f>SUM(F86:F93)</f>
        <v>4589948</v>
      </c>
    </row>
    <row r="86" spans="1:6" x14ac:dyDescent="0.35">
      <c r="A86" s="209" t="s">
        <v>379</v>
      </c>
      <c r="B86" s="210"/>
      <c r="C86" s="225"/>
      <c r="D86" s="225"/>
      <c r="E86" s="225">
        <v>5664952</v>
      </c>
      <c r="F86" s="225">
        <v>5664952</v>
      </c>
    </row>
    <row r="87" spans="1:6" x14ac:dyDescent="0.35">
      <c r="A87" s="209" t="s">
        <v>402</v>
      </c>
      <c r="B87" s="210"/>
      <c r="C87" s="225">
        <v>5664952</v>
      </c>
      <c r="D87" s="225">
        <v>5664952</v>
      </c>
      <c r="E87" s="225">
        <v>3508086</v>
      </c>
      <c r="F87" s="225">
        <v>3508722</v>
      </c>
    </row>
    <row r="88" spans="1:6" x14ac:dyDescent="0.35">
      <c r="A88" s="209" t="s">
        <v>570</v>
      </c>
      <c r="B88" s="210"/>
      <c r="C88" s="225">
        <v>55918</v>
      </c>
      <c r="D88" s="225">
        <v>52684</v>
      </c>
      <c r="E88" s="225">
        <v>49634</v>
      </c>
      <c r="F88" s="225">
        <v>46745</v>
      </c>
    </row>
    <row r="89" spans="1:6" x14ac:dyDescent="0.35">
      <c r="A89" s="209" t="s">
        <v>376</v>
      </c>
      <c r="B89" s="210"/>
      <c r="C89" s="225">
        <v>3507653</v>
      </c>
      <c r="D89" s="225">
        <v>3507653</v>
      </c>
      <c r="E89" s="225">
        <v>0</v>
      </c>
      <c r="F89" s="225"/>
    </row>
    <row r="90" spans="1:6" x14ac:dyDescent="0.35">
      <c r="A90" s="209" t="s">
        <v>575</v>
      </c>
      <c r="B90" s="210"/>
      <c r="C90" s="225">
        <v>35769</v>
      </c>
      <c r="D90" s="225">
        <v>35769</v>
      </c>
      <c r="E90" s="225">
        <v>35769</v>
      </c>
      <c r="F90" s="225">
        <v>35769</v>
      </c>
    </row>
    <row r="91" spans="1:6" x14ac:dyDescent="0.35">
      <c r="A91" s="209" t="s">
        <v>403</v>
      </c>
      <c r="B91" s="210"/>
      <c r="C91" s="225">
        <v>-4113921</v>
      </c>
      <c r="D91" s="225">
        <v>-4110687</v>
      </c>
      <c r="E91" s="225">
        <v>-4107636.0000000005</v>
      </c>
      <c r="F91" s="225">
        <v>-4104748</v>
      </c>
    </row>
    <row r="92" spans="1:6" x14ac:dyDescent="0.35">
      <c r="A92" s="209" t="s">
        <v>579</v>
      </c>
      <c r="B92" s="210"/>
      <c r="C92" s="225"/>
      <c r="D92" s="225"/>
      <c r="E92" s="225">
        <v>-482796</v>
      </c>
      <c r="F92" s="225">
        <v>-561492</v>
      </c>
    </row>
    <row r="93" spans="1:6" ht="15" thickBot="1" x14ac:dyDescent="0.4">
      <c r="A93" s="209" t="s">
        <v>576</v>
      </c>
      <c r="B93" s="210"/>
      <c r="C93" s="225"/>
      <c r="D93" s="225">
        <v>-60124</v>
      </c>
      <c r="E93" s="225">
        <v>0</v>
      </c>
      <c r="F93" s="225"/>
    </row>
    <row r="94" spans="1:6" ht="15" thickBot="1" x14ac:dyDescent="0.4">
      <c r="A94" s="213" t="s">
        <v>380</v>
      </c>
      <c r="B94" s="206"/>
      <c r="C94" s="214">
        <f>C85+C67+C46</f>
        <v>19483678</v>
      </c>
      <c r="D94" s="214">
        <f>D85+D67+D46</f>
        <v>19948625</v>
      </c>
      <c r="E94" s="214">
        <f>E85+E67+E46</f>
        <v>21311209</v>
      </c>
      <c r="F94" s="214">
        <f>F85+F67+F46</f>
        <v>21115776</v>
      </c>
    </row>
    <row r="95" spans="1:6" x14ac:dyDescent="0.35">
      <c r="C95" s="225">
        <f>C94-C43</f>
        <v>0</v>
      </c>
      <c r="D95" s="225">
        <f>D94-D43</f>
        <v>0</v>
      </c>
      <c r="E95" s="225">
        <f>E94-E43</f>
        <v>0</v>
      </c>
      <c r="F95" s="225">
        <f>F94-F43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DB8DD-4CD2-40D1-A6BE-3D7C86B6620C}">
  <sheetPr>
    <tabColor theme="9" tint="0.79998168889431442"/>
  </sheetPr>
  <dimension ref="A6:AF8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" sqref="C1"/>
    </sheetView>
  </sheetViews>
  <sheetFormatPr defaultColWidth="8.7265625" defaultRowHeight="14.5" x14ac:dyDescent="0.35"/>
  <cols>
    <col min="1" max="1" width="42.90625" customWidth="1"/>
    <col min="2" max="2" width="3.26953125" customWidth="1"/>
    <col min="3" max="6" width="9.1796875" customWidth="1"/>
  </cols>
  <sheetData>
    <row r="6" spans="1:32" x14ac:dyDescent="0.35">
      <c r="A6" s="41" t="s">
        <v>973</v>
      </c>
      <c r="B6" s="202"/>
      <c r="C6" s="203"/>
      <c r="D6" s="203"/>
      <c r="E6" s="203"/>
      <c r="F6" s="203"/>
    </row>
    <row r="7" spans="1:32" ht="15" thickBot="1" x14ac:dyDescent="0.4">
      <c r="A7" s="5" t="s">
        <v>315</v>
      </c>
      <c r="B7" s="204"/>
      <c r="C7" s="573" t="s">
        <v>80</v>
      </c>
      <c r="D7" s="573" t="s">
        <v>81</v>
      </c>
      <c r="E7" s="573" t="s">
        <v>82</v>
      </c>
      <c r="F7" s="573" t="s">
        <v>83</v>
      </c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</row>
    <row r="8" spans="1:32" ht="15" thickBot="1" x14ac:dyDescent="0.4">
      <c r="A8" s="205" t="s">
        <v>944</v>
      </c>
      <c r="B8" s="206"/>
      <c r="C8" s="207">
        <f t="shared" ref="C8:E8" si="0">SUM(C9:C20)</f>
        <v>86018</v>
      </c>
      <c r="D8" s="207">
        <f t="shared" si="0"/>
        <v>64901</v>
      </c>
      <c r="E8" s="207">
        <f t="shared" si="0"/>
        <v>88230</v>
      </c>
      <c r="F8" s="207">
        <f>SUM(F9:F20)</f>
        <v>183837.00891</v>
      </c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</row>
    <row r="9" spans="1:32" x14ac:dyDescent="0.35">
      <c r="A9" s="3" t="s">
        <v>945</v>
      </c>
      <c r="B9" s="206"/>
      <c r="C9" s="444">
        <v>11222</v>
      </c>
      <c r="D9" s="444">
        <v>13950</v>
      </c>
      <c r="E9" s="444">
        <v>3854</v>
      </c>
      <c r="F9" s="444">
        <v>124475</v>
      </c>
    </row>
    <row r="10" spans="1:32" x14ac:dyDescent="0.35">
      <c r="A10" s="3" t="s">
        <v>946</v>
      </c>
      <c r="B10" s="210"/>
      <c r="C10" s="444">
        <v>39553</v>
      </c>
      <c r="D10" s="444"/>
      <c r="E10" s="444">
        <v>31194</v>
      </c>
      <c r="F10" s="444">
        <v>12904</v>
      </c>
    </row>
    <row r="11" spans="1:32" x14ac:dyDescent="0.35">
      <c r="A11" s="3" t="s">
        <v>947</v>
      </c>
      <c r="B11" s="210"/>
      <c r="C11" s="444">
        <v>27383</v>
      </c>
      <c r="D11" s="444">
        <v>41787</v>
      </c>
      <c r="E11" s="444">
        <v>43851</v>
      </c>
      <c r="F11" s="444">
        <v>37904.008910000004</v>
      </c>
    </row>
    <row r="12" spans="1:32" x14ac:dyDescent="0.35">
      <c r="A12" s="3" t="s">
        <v>948</v>
      </c>
      <c r="B12" s="210"/>
      <c r="C12" s="444"/>
      <c r="D12" s="444"/>
      <c r="E12" s="444"/>
      <c r="F12" s="444"/>
    </row>
    <row r="13" spans="1:32" x14ac:dyDescent="0.35">
      <c r="A13" s="3" t="s">
        <v>949</v>
      </c>
      <c r="B13" s="210"/>
      <c r="C13" s="444">
        <v>2547</v>
      </c>
      <c r="D13" s="444">
        <v>2767</v>
      </c>
      <c r="E13" s="444">
        <v>2394</v>
      </c>
      <c r="F13" s="444">
        <v>2848</v>
      </c>
    </row>
    <row r="14" spans="1:32" x14ac:dyDescent="0.35">
      <c r="A14" s="3" t="s">
        <v>950</v>
      </c>
      <c r="B14" s="210"/>
      <c r="C14" s="444"/>
      <c r="D14" s="444"/>
      <c r="E14" s="444">
        <v>15</v>
      </c>
      <c r="F14" s="444">
        <v>8</v>
      </c>
    </row>
    <row r="15" spans="1:32" x14ac:dyDescent="0.35">
      <c r="A15" s="3" t="s">
        <v>951</v>
      </c>
      <c r="B15" s="210"/>
      <c r="C15" s="444"/>
      <c r="D15" s="444"/>
      <c r="E15" s="444"/>
      <c r="F15" s="444"/>
    </row>
    <row r="16" spans="1:32" x14ac:dyDescent="0.35">
      <c r="A16" s="3" t="s">
        <v>385</v>
      </c>
      <c r="B16" s="210"/>
      <c r="C16" s="444">
        <v>4372</v>
      </c>
      <c r="D16" s="444">
        <v>4565</v>
      </c>
      <c r="E16" s="444">
        <v>4804</v>
      </c>
      <c r="F16" s="444">
        <v>4570</v>
      </c>
    </row>
    <row r="17" spans="1:32" x14ac:dyDescent="0.35">
      <c r="A17" s="3" t="s">
        <v>332</v>
      </c>
      <c r="B17" s="210"/>
      <c r="C17" s="444"/>
      <c r="D17" s="444"/>
      <c r="E17" s="444"/>
      <c r="F17" s="444"/>
    </row>
    <row r="18" spans="1:32" x14ac:dyDescent="0.35">
      <c r="A18" s="3" t="s">
        <v>952</v>
      </c>
      <c r="B18" s="210"/>
      <c r="C18" s="444"/>
      <c r="D18" s="444"/>
      <c r="E18" s="444"/>
      <c r="F18" s="444"/>
    </row>
    <row r="19" spans="1:32" x14ac:dyDescent="0.35">
      <c r="A19" s="3" t="s">
        <v>953</v>
      </c>
      <c r="B19" s="210"/>
      <c r="C19" s="444"/>
      <c r="D19" s="444"/>
      <c r="E19" s="444"/>
      <c r="F19" s="444"/>
    </row>
    <row r="20" spans="1:32" ht="15" thickBot="1" x14ac:dyDescent="0.4">
      <c r="A20" s="3" t="s">
        <v>330</v>
      </c>
      <c r="B20" s="210"/>
      <c r="C20" s="444">
        <v>941</v>
      </c>
      <c r="D20" s="444">
        <v>1832</v>
      </c>
      <c r="E20" s="444">
        <v>2118</v>
      </c>
      <c r="F20" s="444">
        <v>1128</v>
      </c>
    </row>
    <row r="21" spans="1:32" ht="15" thickBot="1" x14ac:dyDescent="0.4">
      <c r="A21" s="205" t="s">
        <v>954</v>
      </c>
      <c r="B21" s="206"/>
      <c r="C21" s="207">
        <f>SUM(C22:C28)</f>
        <v>992424</v>
      </c>
      <c r="D21" s="207">
        <f>SUM(D22:D28)</f>
        <v>1005792</v>
      </c>
      <c r="E21" s="207">
        <f>SUM(E22:E28)</f>
        <v>1023453</v>
      </c>
      <c r="F21" s="207">
        <f>SUM(F22:F28)</f>
        <v>1034688</v>
      </c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</row>
    <row r="22" spans="1:32" x14ac:dyDescent="0.35">
      <c r="A22" s="3" t="s">
        <v>949</v>
      </c>
      <c r="B22" s="206"/>
      <c r="C22" s="444"/>
      <c r="D22" s="444">
        <v>18</v>
      </c>
      <c r="E22" s="444">
        <v>18</v>
      </c>
      <c r="F22" s="444">
        <v>73</v>
      </c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</row>
    <row r="23" spans="1:32" x14ac:dyDescent="0.35">
      <c r="A23" s="3" t="s">
        <v>330</v>
      </c>
      <c r="B23" s="206"/>
      <c r="C23" s="444"/>
      <c r="D23" s="444">
        <v>7</v>
      </c>
      <c r="E23" s="444"/>
      <c r="F23" s="444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</row>
    <row r="24" spans="1:32" x14ac:dyDescent="0.35">
      <c r="A24" s="3" t="s">
        <v>388</v>
      </c>
      <c r="B24" s="206"/>
      <c r="C24" s="444">
        <v>61456</v>
      </c>
      <c r="D24" s="444">
        <v>76675</v>
      </c>
      <c r="E24" s="444">
        <v>101247</v>
      </c>
      <c r="F24" s="444">
        <v>119330</v>
      </c>
    </row>
    <row r="25" spans="1:32" x14ac:dyDescent="0.35">
      <c r="A25" s="3" t="s">
        <v>341</v>
      </c>
      <c r="B25" s="206"/>
      <c r="C25" s="444"/>
      <c r="D25" s="444"/>
      <c r="E25" s="444"/>
      <c r="F25" s="444"/>
    </row>
    <row r="26" spans="1:32" x14ac:dyDescent="0.35">
      <c r="A26" s="3" t="s">
        <v>564</v>
      </c>
      <c r="B26" s="206"/>
      <c r="C26" s="444"/>
      <c r="D26" s="444"/>
      <c r="E26" s="444"/>
      <c r="F26" s="444">
        <v>0</v>
      </c>
    </row>
    <row r="27" spans="1:32" x14ac:dyDescent="0.35">
      <c r="A27" s="3" t="s">
        <v>343</v>
      </c>
      <c r="B27" s="210"/>
      <c r="C27" s="444"/>
      <c r="D27" s="444"/>
      <c r="E27" s="444"/>
      <c r="F27" s="444">
        <v>4099</v>
      </c>
    </row>
    <row r="28" spans="1:32" ht="15" thickBot="1" x14ac:dyDescent="0.4">
      <c r="A28" s="3" t="s">
        <v>344</v>
      </c>
      <c r="B28" s="210"/>
      <c r="C28" s="444">
        <v>930968</v>
      </c>
      <c r="D28" s="444">
        <v>929092</v>
      </c>
      <c r="E28" s="444">
        <v>922188</v>
      </c>
      <c r="F28" s="444">
        <v>911186</v>
      </c>
    </row>
    <row r="29" spans="1:32" ht="15" thickBot="1" x14ac:dyDescent="0.4">
      <c r="A29" s="205" t="s">
        <v>955</v>
      </c>
      <c r="B29" s="206"/>
      <c r="C29" s="207">
        <f t="shared" ref="C29:E29" si="1">C8+C21</f>
        <v>1078442</v>
      </c>
      <c r="D29" s="207">
        <f t="shared" si="1"/>
        <v>1070693</v>
      </c>
      <c r="E29" s="207">
        <f t="shared" si="1"/>
        <v>1111683</v>
      </c>
      <c r="F29" s="207">
        <f>F8+F21</f>
        <v>1218525.0089100001</v>
      </c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</row>
    <row r="30" spans="1:32" x14ac:dyDescent="0.35">
      <c r="A30" s="532"/>
      <c r="B30" s="210"/>
    </row>
    <row r="31" spans="1:32" ht="15" thickBot="1" x14ac:dyDescent="0.4">
      <c r="A31" s="5" t="s">
        <v>347</v>
      </c>
      <c r="B31" s="204"/>
      <c r="C31" s="573" t="str">
        <f>C7</f>
        <v>4T22</v>
      </c>
      <c r="D31" s="573" t="str">
        <f>D7</f>
        <v>1T23</v>
      </c>
      <c r="E31" s="573" t="str">
        <f>E7</f>
        <v>2T23</v>
      </c>
      <c r="F31" s="573" t="s">
        <v>83</v>
      </c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</row>
    <row r="32" spans="1:32" ht="15" thickBot="1" x14ac:dyDescent="0.4">
      <c r="A32" s="205" t="s">
        <v>956</v>
      </c>
      <c r="B32" s="206"/>
      <c r="C32" s="207">
        <f>SUM(C33:C43)</f>
        <v>16501</v>
      </c>
      <c r="D32" s="207">
        <f>SUM(D33:D43)</f>
        <v>15437</v>
      </c>
      <c r="E32" s="207">
        <f>SUM(E33:E43)</f>
        <v>1253831</v>
      </c>
      <c r="F32" s="207">
        <f>SUM(F33:F43)</f>
        <v>1303028.0089100001</v>
      </c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</row>
    <row r="33" spans="1:32" x14ac:dyDescent="0.35">
      <c r="A33" s="3" t="s">
        <v>348</v>
      </c>
      <c r="B33" s="210"/>
      <c r="C33" s="444">
        <v>12735</v>
      </c>
      <c r="D33" s="444">
        <v>10057</v>
      </c>
      <c r="E33" s="444">
        <v>17255</v>
      </c>
      <c r="F33" s="444">
        <v>19827</v>
      </c>
    </row>
    <row r="34" spans="1:32" x14ac:dyDescent="0.35">
      <c r="A34" s="3" t="s">
        <v>367</v>
      </c>
      <c r="B34" s="210"/>
      <c r="C34" s="444">
        <v>7</v>
      </c>
      <c r="D34" s="444">
        <v>62</v>
      </c>
      <c r="E34" s="444">
        <v>23</v>
      </c>
      <c r="F34" s="444">
        <v>263</v>
      </c>
    </row>
    <row r="35" spans="1:32" x14ac:dyDescent="0.35">
      <c r="A35" s="3" t="s">
        <v>191</v>
      </c>
      <c r="B35" s="210"/>
      <c r="C35" s="444">
        <v>-1094</v>
      </c>
      <c r="D35" s="444">
        <v>-1094</v>
      </c>
      <c r="E35" s="444">
        <v>1231567</v>
      </c>
      <c r="F35" s="444">
        <v>1276510</v>
      </c>
    </row>
    <row r="36" spans="1:32" x14ac:dyDescent="0.35">
      <c r="A36" s="3" t="s">
        <v>957</v>
      </c>
      <c r="B36" s="210"/>
      <c r="C36" s="444"/>
      <c r="D36" s="444"/>
      <c r="E36" s="444"/>
      <c r="F36" s="444"/>
    </row>
    <row r="37" spans="1:32" x14ac:dyDescent="0.35">
      <c r="A37" s="3" t="s">
        <v>958</v>
      </c>
      <c r="B37" s="210"/>
      <c r="C37" s="444"/>
      <c r="D37" s="444"/>
      <c r="E37" s="444"/>
      <c r="F37" s="444"/>
    </row>
    <row r="38" spans="1:32" x14ac:dyDescent="0.35">
      <c r="A38" s="3" t="s">
        <v>959</v>
      </c>
      <c r="B38" s="210"/>
      <c r="C38" s="444">
        <v>2503</v>
      </c>
      <c r="D38" s="444">
        <v>2233</v>
      </c>
      <c r="E38" s="444">
        <v>1062</v>
      </c>
      <c r="F38" s="444">
        <v>1590</v>
      </c>
    </row>
    <row r="39" spans="1:32" x14ac:dyDescent="0.35">
      <c r="A39" s="3" t="s">
        <v>960</v>
      </c>
      <c r="B39" s="206"/>
      <c r="C39" s="444">
        <v>1494</v>
      </c>
      <c r="D39" s="444">
        <v>2399</v>
      </c>
      <c r="E39" s="444">
        <v>2487</v>
      </c>
      <c r="F39" s="444">
        <v>2859</v>
      </c>
    </row>
    <row r="40" spans="1:32" x14ac:dyDescent="0.35">
      <c r="A40" s="3" t="s">
        <v>359</v>
      </c>
      <c r="B40" s="206"/>
      <c r="C40" s="444"/>
      <c r="D40" s="444">
        <v>1648</v>
      </c>
      <c r="E40" s="444">
        <v>1211</v>
      </c>
      <c r="F40" s="444">
        <v>1968</v>
      </c>
    </row>
    <row r="41" spans="1:32" x14ac:dyDescent="0.35">
      <c r="A41" s="3" t="s">
        <v>961</v>
      </c>
      <c r="B41" s="210"/>
      <c r="C41" s="444"/>
      <c r="D41" s="444"/>
      <c r="E41" s="444"/>
      <c r="F41" s="444"/>
    </row>
    <row r="42" spans="1:32" x14ac:dyDescent="0.35">
      <c r="A42" s="3" t="s">
        <v>962</v>
      </c>
      <c r="B42" s="210"/>
      <c r="C42" s="444"/>
      <c r="D42" s="444"/>
      <c r="E42" s="444"/>
      <c r="F42" s="444"/>
    </row>
    <row r="43" spans="1:32" ht="15" customHeight="1" thickBot="1" x14ac:dyDescent="0.4">
      <c r="A43" s="3" t="s">
        <v>366</v>
      </c>
      <c r="B43" s="210"/>
      <c r="C43" s="444">
        <v>856</v>
      </c>
      <c r="D43" s="444">
        <v>132</v>
      </c>
      <c r="E43" s="444">
        <v>226</v>
      </c>
      <c r="F43" s="444">
        <v>11.008910000000014</v>
      </c>
    </row>
    <row r="44" spans="1:32" ht="15" thickBot="1" x14ac:dyDescent="0.4">
      <c r="A44" s="205" t="s">
        <v>963</v>
      </c>
      <c r="B44" s="206"/>
      <c r="C44" s="207">
        <f>SUM(C45:C55)</f>
        <v>1161003</v>
      </c>
      <c r="D44" s="207">
        <f>SUM(D45:D55)</f>
        <v>1201578</v>
      </c>
      <c r="E44" s="207">
        <f>SUM(E45:E55)</f>
        <v>10996</v>
      </c>
      <c r="F44" s="207">
        <f>SUM(F45:F55)</f>
        <v>135236</v>
      </c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</row>
    <row r="45" spans="1:32" x14ac:dyDescent="0.35">
      <c r="A45" s="3" t="s">
        <v>964</v>
      </c>
      <c r="B45" s="210"/>
      <c r="C45" s="444">
        <v>11080</v>
      </c>
      <c r="D45" s="444">
        <v>11072</v>
      </c>
      <c r="E45" s="444">
        <v>10696</v>
      </c>
      <c r="F45" s="444">
        <v>134892</v>
      </c>
    </row>
    <row r="46" spans="1:32" x14ac:dyDescent="0.35">
      <c r="A46" s="3" t="s">
        <v>191</v>
      </c>
      <c r="B46" s="204"/>
      <c r="C46" s="444">
        <v>1148170</v>
      </c>
      <c r="D46" s="444">
        <v>1190352</v>
      </c>
      <c r="E46" s="444">
        <v>0</v>
      </c>
      <c r="F46" s="444"/>
    </row>
    <row r="47" spans="1:32" x14ac:dyDescent="0.35">
      <c r="A47" s="3" t="s">
        <v>958</v>
      </c>
      <c r="B47" s="206"/>
      <c r="C47" s="444"/>
      <c r="D47" s="444"/>
      <c r="E47" s="444"/>
      <c r="F47" s="444"/>
    </row>
    <row r="48" spans="1:32" x14ac:dyDescent="0.35">
      <c r="A48" s="3" t="s">
        <v>959</v>
      </c>
      <c r="B48" s="219"/>
      <c r="C48" s="444"/>
      <c r="D48" s="444"/>
      <c r="E48" s="444"/>
      <c r="F48" s="444"/>
    </row>
    <row r="49" spans="1:32" x14ac:dyDescent="0.35">
      <c r="A49" s="3" t="s">
        <v>988</v>
      </c>
      <c r="B49" s="219"/>
      <c r="C49" s="444">
        <v>36</v>
      </c>
      <c r="D49" s="444">
        <v>154</v>
      </c>
      <c r="E49" s="444">
        <v>300</v>
      </c>
      <c r="F49" s="444">
        <v>344</v>
      </c>
    </row>
    <row r="50" spans="1:32" x14ac:dyDescent="0.35">
      <c r="A50" s="3" t="s">
        <v>359</v>
      </c>
      <c r="B50" s="219"/>
      <c r="C50" s="444">
        <v>1717</v>
      </c>
      <c r="D50" s="444"/>
      <c r="E50" s="444"/>
      <c r="F50" s="444"/>
    </row>
    <row r="51" spans="1:32" x14ac:dyDescent="0.35">
      <c r="A51" s="3" t="s">
        <v>965</v>
      </c>
      <c r="B51" s="210"/>
      <c r="C51" s="444"/>
      <c r="D51" s="444"/>
      <c r="E51" s="444"/>
      <c r="F51" s="444"/>
    </row>
    <row r="52" spans="1:32" x14ac:dyDescent="0.35">
      <c r="A52" s="3" t="s">
        <v>962</v>
      </c>
      <c r="B52" s="210"/>
      <c r="C52" s="444"/>
      <c r="D52" s="444"/>
      <c r="E52" s="444"/>
      <c r="F52" s="444"/>
    </row>
    <row r="53" spans="1:32" x14ac:dyDescent="0.35">
      <c r="A53" s="3" t="s">
        <v>961</v>
      </c>
      <c r="B53" s="210"/>
      <c r="C53" s="444"/>
      <c r="D53" s="444"/>
      <c r="E53" s="444"/>
      <c r="F53" s="444"/>
    </row>
    <row r="54" spans="1:32" x14ac:dyDescent="0.35">
      <c r="A54" s="3" t="s">
        <v>957</v>
      </c>
      <c r="B54" s="210"/>
      <c r="C54" s="444"/>
      <c r="D54" s="444"/>
      <c r="E54" s="444"/>
      <c r="F54" s="444"/>
    </row>
    <row r="55" spans="1:32" ht="15" thickBot="1" x14ac:dyDescent="0.4">
      <c r="A55" s="3" t="s">
        <v>366</v>
      </c>
      <c r="B55" s="210"/>
      <c r="C55" s="444"/>
      <c r="D55" s="444"/>
      <c r="E55" s="444"/>
      <c r="F55" s="444"/>
    </row>
    <row r="56" spans="1:32" ht="15" thickBot="1" x14ac:dyDescent="0.4">
      <c r="A56" s="205" t="s">
        <v>968</v>
      </c>
      <c r="B56" s="206"/>
      <c r="C56" s="207">
        <f>+C32+C44</f>
        <v>1177504</v>
      </c>
      <c r="D56" s="207">
        <f>+D32+D44</f>
        <v>1217015</v>
      </c>
      <c r="E56" s="207">
        <f>+E32+E44</f>
        <v>1264827</v>
      </c>
      <c r="F56" s="207">
        <f>+F32+F44</f>
        <v>1438264.0089100001</v>
      </c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</row>
    <row r="57" spans="1:32" x14ac:dyDescent="0.35">
      <c r="A57" s="3" t="s">
        <v>372</v>
      </c>
      <c r="B57" s="210"/>
      <c r="C57" s="444">
        <v>50000</v>
      </c>
      <c r="D57" s="444">
        <v>50000</v>
      </c>
      <c r="E57" s="444">
        <v>100000</v>
      </c>
      <c r="F57" s="444">
        <v>100000</v>
      </c>
    </row>
    <row r="58" spans="1:32" x14ac:dyDescent="0.35">
      <c r="A58" s="3" t="s">
        <v>374</v>
      </c>
      <c r="B58" s="210"/>
      <c r="C58" s="444">
        <v>722</v>
      </c>
      <c r="D58" s="444">
        <v>919</v>
      </c>
      <c r="E58" s="444">
        <v>1043</v>
      </c>
      <c r="F58" s="444">
        <v>1167</v>
      </c>
    </row>
    <row r="59" spans="1:32" x14ac:dyDescent="0.35">
      <c r="A59" s="3" t="s">
        <v>670</v>
      </c>
      <c r="B59" s="210"/>
      <c r="C59" s="444">
        <v>-3629</v>
      </c>
      <c r="D59" s="444">
        <v>-149785</v>
      </c>
      <c r="E59" s="444">
        <v>-149785</v>
      </c>
      <c r="F59" s="444">
        <v>-149785</v>
      </c>
    </row>
    <row r="60" spans="1:32" ht="15" thickBot="1" x14ac:dyDescent="0.4">
      <c r="A60" s="3" t="s">
        <v>285</v>
      </c>
      <c r="B60" s="210"/>
      <c r="C60" s="444">
        <v>-146155</v>
      </c>
      <c r="D60" s="444">
        <v>-47456</v>
      </c>
      <c r="E60" s="444">
        <v>-104402</v>
      </c>
      <c r="F60" s="444">
        <v>-171121</v>
      </c>
    </row>
    <row r="61" spans="1:32" ht="15" thickBot="1" x14ac:dyDescent="0.4">
      <c r="A61" s="205" t="s">
        <v>970</v>
      </c>
      <c r="B61" s="206"/>
      <c r="C61" s="207">
        <f>SUM(C57:C60)</f>
        <v>-99062</v>
      </c>
      <c r="D61" s="207">
        <f>SUM(D57:D60)</f>
        <v>-146322</v>
      </c>
      <c r="E61" s="207">
        <f>SUM(E57:E60)</f>
        <v>-153144</v>
      </c>
      <c r="F61" s="207">
        <f>SUM(F57:F60)</f>
        <v>-219739</v>
      </c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</row>
    <row r="62" spans="1:32" ht="15" thickBot="1" x14ac:dyDescent="0.4">
      <c r="A62" s="205" t="s">
        <v>972</v>
      </c>
      <c r="B62" s="206"/>
      <c r="C62" s="207">
        <f>C61+C56</f>
        <v>1078442</v>
      </c>
      <c r="D62" s="207">
        <f>D61+D56</f>
        <v>1070693</v>
      </c>
      <c r="E62" s="207">
        <f>E61+E56</f>
        <v>1111683</v>
      </c>
      <c r="F62" s="207">
        <f>F61+F56</f>
        <v>1218525.0089100001</v>
      </c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6"/>
      <c r="T62" s="446"/>
      <c r="U62" s="446"/>
      <c r="V62" s="446"/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</row>
    <row r="63" spans="1:32" x14ac:dyDescent="0.35">
      <c r="B63" s="206"/>
      <c r="C63" s="536">
        <f>+C62-C29</f>
        <v>0</v>
      </c>
      <c r="D63" s="536">
        <f>+D62-D29</f>
        <v>0</v>
      </c>
      <c r="E63" s="536">
        <f>+E62-E29</f>
        <v>0</v>
      </c>
      <c r="F63" s="536">
        <f>+F62-F29</f>
        <v>0</v>
      </c>
    </row>
    <row r="64" spans="1:32" x14ac:dyDescent="0.35">
      <c r="B64" s="210"/>
    </row>
    <row r="65" spans="2:2" x14ac:dyDescent="0.35">
      <c r="B65" s="210"/>
    </row>
    <row r="66" spans="2:2" x14ac:dyDescent="0.35">
      <c r="B66" s="210"/>
    </row>
    <row r="67" spans="2:2" x14ac:dyDescent="0.35">
      <c r="B67" s="210"/>
    </row>
    <row r="68" spans="2:2" x14ac:dyDescent="0.35">
      <c r="B68" s="210"/>
    </row>
    <row r="69" spans="2:2" x14ac:dyDescent="0.35">
      <c r="B69" s="210"/>
    </row>
    <row r="70" spans="2:2" x14ac:dyDescent="0.35">
      <c r="B70" s="210"/>
    </row>
    <row r="71" spans="2:2" x14ac:dyDescent="0.35">
      <c r="B71" s="210"/>
    </row>
    <row r="72" spans="2:2" x14ac:dyDescent="0.35">
      <c r="B72" s="210"/>
    </row>
    <row r="73" spans="2:2" x14ac:dyDescent="0.35">
      <c r="B73" s="210"/>
    </row>
    <row r="74" spans="2:2" x14ac:dyDescent="0.35">
      <c r="B74" s="206"/>
    </row>
    <row r="75" spans="2:2" x14ac:dyDescent="0.35">
      <c r="B75" s="206"/>
    </row>
    <row r="76" spans="2:2" x14ac:dyDescent="0.35">
      <c r="B76" s="210"/>
    </row>
    <row r="77" spans="2:2" x14ac:dyDescent="0.35">
      <c r="B77" s="210"/>
    </row>
    <row r="78" spans="2:2" x14ac:dyDescent="0.35">
      <c r="B78" s="210"/>
    </row>
    <row r="79" spans="2:2" x14ac:dyDescent="0.35">
      <c r="B79" s="210"/>
    </row>
    <row r="80" spans="2:2" x14ac:dyDescent="0.35">
      <c r="B80" s="210"/>
    </row>
    <row r="81" spans="2:2" x14ac:dyDescent="0.35">
      <c r="B81" s="206"/>
    </row>
  </sheetData>
  <pageMargins left="0.511811024" right="0.511811024" top="0.78740157499999996" bottom="0.78740157499999996" header="0.31496062000000002" footer="0.3149606200000000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1AD6-C943-4055-8835-93669BA61AEC}">
  <sheetPr>
    <tabColor theme="9" tint="0.79998168889431442"/>
  </sheetPr>
  <dimension ref="A4:AN93"/>
  <sheetViews>
    <sheetView showGridLines="0" zoomScale="90" zoomScaleNormal="90" workbookViewId="0">
      <pane xSplit="2" ySplit="7" topLeftCell="C8" activePane="bottomRight" state="frozen"/>
      <selection activeCell="K21" sqref="K21"/>
      <selection pane="topRight" activeCell="K21" sqref="K21"/>
      <selection pane="bottomLeft" activeCell="K21" sqref="K21"/>
      <selection pane="bottomRight" activeCell="L4" sqref="L4"/>
    </sheetView>
  </sheetViews>
  <sheetFormatPr defaultColWidth="8.7265625" defaultRowHeight="14.5" outlineLevelCol="1" x14ac:dyDescent="0.35"/>
  <cols>
    <col min="1" max="1" width="42.90625" customWidth="1"/>
    <col min="2" max="2" width="3.26953125" customWidth="1"/>
    <col min="3" max="3" width="10.6328125" hidden="1" customWidth="1" outlineLevel="1"/>
    <col min="4" max="7" width="9.1796875" hidden="1" customWidth="1" outlineLevel="1"/>
    <col min="8" max="8" width="9.1796875" customWidth="1" collapsed="1"/>
    <col min="9" max="14" width="9.1796875" customWidth="1"/>
  </cols>
  <sheetData>
    <row r="4" spans="1:40" x14ac:dyDescent="0.35">
      <c r="K4" s="128"/>
    </row>
    <row r="5" spans="1:40" x14ac:dyDescent="0.35">
      <c r="K5" s="128"/>
    </row>
    <row r="6" spans="1:40" x14ac:dyDescent="0.35">
      <c r="A6" s="41" t="s">
        <v>683</v>
      </c>
      <c r="B6" s="202"/>
      <c r="C6" s="531" t="s">
        <v>923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</row>
    <row r="7" spans="1:40" ht="15" thickBot="1" x14ac:dyDescent="0.4">
      <c r="A7" s="5" t="s">
        <v>315</v>
      </c>
      <c r="B7" s="204"/>
      <c r="C7" s="573" t="s">
        <v>72</v>
      </c>
      <c r="D7" s="573" t="s">
        <v>73</v>
      </c>
      <c r="E7" s="573" t="s">
        <v>74</v>
      </c>
      <c r="F7" s="573" t="s">
        <v>75</v>
      </c>
      <c r="G7" s="573" t="s">
        <v>76</v>
      </c>
      <c r="H7" s="573" t="s">
        <v>77</v>
      </c>
      <c r="I7" s="573" t="s">
        <v>78</v>
      </c>
      <c r="J7" s="573" t="s">
        <v>79</v>
      </c>
      <c r="K7" s="573" t="s">
        <v>80</v>
      </c>
      <c r="L7" s="573" t="s">
        <v>81</v>
      </c>
      <c r="M7" s="573" t="s">
        <v>82</v>
      </c>
      <c r="N7" s="573" t="s">
        <v>83</v>
      </c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</row>
    <row r="8" spans="1:40" ht="15" thickBot="1" x14ac:dyDescent="0.4">
      <c r="A8" s="205" t="s">
        <v>944</v>
      </c>
      <c r="B8" s="206"/>
      <c r="C8" s="207">
        <f>SUM(C9:C21)</f>
        <v>635894</v>
      </c>
      <c r="D8" s="207">
        <f t="shared" ref="D8:J8" si="0">SUM(D9:D21)</f>
        <v>718175</v>
      </c>
      <c r="E8" s="207">
        <f t="shared" si="0"/>
        <v>765162</v>
      </c>
      <c r="F8" s="207">
        <f t="shared" si="0"/>
        <v>852564</v>
      </c>
      <c r="G8" s="207">
        <f t="shared" si="0"/>
        <v>895764</v>
      </c>
      <c r="H8" s="207">
        <f t="shared" si="0"/>
        <v>683741</v>
      </c>
      <c r="I8" s="207">
        <f t="shared" si="0"/>
        <v>630130</v>
      </c>
      <c r="J8" s="207">
        <f t="shared" si="0"/>
        <v>678536</v>
      </c>
      <c r="K8" s="207">
        <f>SUM(K9:K21)</f>
        <v>625944</v>
      </c>
      <c r="L8" s="207">
        <f>SUM(L9:L21)</f>
        <v>846102</v>
      </c>
      <c r="M8" s="207">
        <f>SUM(M9:M21)</f>
        <v>678036</v>
      </c>
      <c r="N8" s="207">
        <f>SUM(N9:N21)</f>
        <v>658517</v>
      </c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</row>
    <row r="9" spans="1:40" x14ac:dyDescent="0.35">
      <c r="A9" s="3" t="s">
        <v>945</v>
      </c>
      <c r="B9" s="206"/>
      <c r="C9" s="444">
        <v>242628</v>
      </c>
      <c r="D9" s="444">
        <v>406777</v>
      </c>
      <c r="E9" s="444">
        <v>483978</v>
      </c>
      <c r="F9" s="444">
        <v>546494</v>
      </c>
      <c r="G9" s="444">
        <v>402129</v>
      </c>
      <c r="H9" s="444">
        <v>455982</v>
      </c>
      <c r="I9" s="444">
        <v>388316</v>
      </c>
      <c r="J9" s="444">
        <v>403033</v>
      </c>
      <c r="K9" s="444">
        <v>373295</v>
      </c>
      <c r="L9" s="444">
        <v>375402</v>
      </c>
      <c r="M9" s="444">
        <v>457121</v>
      </c>
      <c r="N9" s="444">
        <v>249462</v>
      </c>
    </row>
    <row r="10" spans="1:40" x14ac:dyDescent="0.35">
      <c r="A10" s="3" t="s">
        <v>946</v>
      </c>
      <c r="B10" s="210"/>
      <c r="C10" s="444">
        <v>60390</v>
      </c>
      <c r="D10" s="444">
        <v>45294</v>
      </c>
      <c r="E10" s="444">
        <v>32395</v>
      </c>
      <c r="F10" s="444">
        <v>30720</v>
      </c>
      <c r="G10" s="444">
        <v>14776</v>
      </c>
      <c r="H10" s="444">
        <v>13975</v>
      </c>
      <c r="I10" s="444">
        <v>11551</v>
      </c>
      <c r="J10" s="444">
        <v>15217</v>
      </c>
      <c r="K10" s="444">
        <v>15456</v>
      </c>
      <c r="L10" s="444">
        <v>116130</v>
      </c>
      <c r="M10" s="444">
        <v>16387</v>
      </c>
      <c r="N10" s="444">
        <v>185660</v>
      </c>
    </row>
    <row r="11" spans="1:40" x14ac:dyDescent="0.35">
      <c r="A11" s="3" t="s">
        <v>947</v>
      </c>
      <c r="B11" s="210"/>
      <c r="C11" s="444">
        <v>145524</v>
      </c>
      <c r="D11" s="444">
        <v>116501</v>
      </c>
      <c r="E11" s="444">
        <v>132755</v>
      </c>
      <c r="F11" s="444">
        <v>172836</v>
      </c>
      <c r="G11" s="444">
        <v>153103</v>
      </c>
      <c r="H11" s="444">
        <v>121665</v>
      </c>
      <c r="I11" s="444">
        <v>136133</v>
      </c>
      <c r="J11" s="444">
        <v>150328</v>
      </c>
      <c r="K11" s="444">
        <v>132473</v>
      </c>
      <c r="L11" s="444">
        <v>113848</v>
      </c>
      <c r="M11" s="444">
        <v>107350</v>
      </c>
      <c r="N11" s="444">
        <v>131709</v>
      </c>
    </row>
    <row r="12" spans="1:40" x14ac:dyDescent="0.35">
      <c r="A12" s="3" t="s">
        <v>663</v>
      </c>
      <c r="B12" s="210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>
        <v>12206</v>
      </c>
      <c r="N12" s="444"/>
    </row>
    <row r="13" spans="1:40" x14ac:dyDescent="0.35">
      <c r="A13" s="3" t="s">
        <v>948</v>
      </c>
      <c r="B13" s="210"/>
      <c r="C13" s="444">
        <v>29046</v>
      </c>
      <c r="D13" s="444">
        <v>38444</v>
      </c>
      <c r="E13" s="444">
        <v>30585</v>
      </c>
      <c r="F13" s="444">
        <v>34298</v>
      </c>
      <c r="G13" s="444">
        <v>44337</v>
      </c>
      <c r="H13" s="444">
        <v>23816</v>
      </c>
      <c r="I13" s="444">
        <v>27127</v>
      </c>
      <c r="J13" s="444">
        <v>26274</v>
      </c>
      <c r="K13" s="444">
        <v>26857</v>
      </c>
      <c r="L13" s="444">
        <v>175692</v>
      </c>
      <c r="M13" s="444">
        <v>6936</v>
      </c>
      <c r="N13" s="444"/>
    </row>
    <row r="14" spans="1:40" x14ac:dyDescent="0.35">
      <c r="A14" s="3" t="s">
        <v>949</v>
      </c>
      <c r="B14" s="210"/>
      <c r="C14" s="444">
        <v>20821</v>
      </c>
      <c r="D14" s="444">
        <v>20726</v>
      </c>
      <c r="E14" s="444">
        <v>21436</v>
      </c>
      <c r="F14" s="444">
        <v>22229</v>
      </c>
      <c r="G14" s="444">
        <v>21658</v>
      </c>
      <c r="H14" s="444">
        <v>21823</v>
      </c>
      <c r="I14" s="444">
        <v>23503</v>
      </c>
      <c r="J14" s="444">
        <v>23069</v>
      </c>
      <c r="K14" s="444">
        <v>20255</v>
      </c>
      <c r="L14" s="444">
        <v>30740</v>
      </c>
      <c r="M14" s="444">
        <v>26597</v>
      </c>
      <c r="N14" s="444">
        <v>16962</v>
      </c>
    </row>
    <row r="15" spans="1:40" x14ac:dyDescent="0.35">
      <c r="A15" s="3" t="s">
        <v>950</v>
      </c>
      <c r="B15" s="210"/>
      <c r="C15" s="444">
        <v>2812</v>
      </c>
      <c r="D15" s="444">
        <v>2812</v>
      </c>
      <c r="E15" s="444">
        <v>4534</v>
      </c>
      <c r="F15" s="444">
        <v>2844</v>
      </c>
      <c r="G15" s="444">
        <v>4436</v>
      </c>
      <c r="H15" s="444">
        <v>6970</v>
      </c>
      <c r="I15" s="444">
        <v>6811</v>
      </c>
      <c r="J15" s="444">
        <v>8176</v>
      </c>
      <c r="K15" s="444">
        <v>7042</v>
      </c>
      <c r="L15" s="444"/>
      <c r="M15" s="444">
        <v>7410</v>
      </c>
      <c r="N15" s="444">
        <v>8678</v>
      </c>
    </row>
    <row r="16" spans="1:40" x14ac:dyDescent="0.35">
      <c r="A16" s="3" t="s">
        <v>951</v>
      </c>
      <c r="B16" s="210"/>
      <c r="C16" s="444">
        <v>51643</v>
      </c>
      <c r="D16" s="444">
        <v>51467</v>
      </c>
      <c r="E16" s="444">
        <v>45017</v>
      </c>
      <c r="F16" s="444">
        <v>36126</v>
      </c>
      <c r="G16" s="444">
        <v>38256</v>
      </c>
      <c r="H16" s="444">
        <v>26825</v>
      </c>
      <c r="I16" s="444">
        <v>21197</v>
      </c>
      <c r="J16" s="444">
        <v>33302</v>
      </c>
      <c r="K16" s="444">
        <v>25391</v>
      </c>
      <c r="L16" s="444"/>
      <c r="M16" s="444">
        <v>16699</v>
      </c>
      <c r="N16" s="444"/>
    </row>
    <row r="17" spans="1:40" x14ac:dyDescent="0.35">
      <c r="A17" s="3" t="s">
        <v>385</v>
      </c>
      <c r="B17" s="210"/>
      <c r="C17" s="444">
        <v>5959</v>
      </c>
      <c r="D17" s="444">
        <v>5959</v>
      </c>
      <c r="E17" s="444">
        <v>5959</v>
      </c>
      <c r="F17" s="444">
        <v>4176</v>
      </c>
      <c r="G17" s="444">
        <v>9260</v>
      </c>
      <c r="H17" s="444">
        <v>9941</v>
      </c>
      <c r="I17" s="444">
        <v>13251</v>
      </c>
      <c r="J17" s="444">
        <v>16163</v>
      </c>
      <c r="K17" s="444">
        <v>15590</v>
      </c>
      <c r="L17" s="444">
        <v>16528</v>
      </c>
      <c r="M17" s="444">
        <v>22360</v>
      </c>
      <c r="N17" s="444">
        <v>26346</v>
      </c>
    </row>
    <row r="18" spans="1:40" x14ac:dyDescent="0.35">
      <c r="A18" s="3" t="s">
        <v>332</v>
      </c>
      <c r="B18" s="210"/>
      <c r="C18" s="444">
        <v>0</v>
      </c>
      <c r="D18" s="444">
        <v>0</v>
      </c>
      <c r="E18" s="444">
        <v>0</v>
      </c>
      <c r="F18" s="444">
        <v>0</v>
      </c>
      <c r="G18" s="444">
        <v>0</v>
      </c>
      <c r="H18" s="444">
        <v>0</v>
      </c>
      <c r="I18" s="444">
        <v>0</v>
      </c>
      <c r="J18" s="444">
        <v>0</v>
      </c>
      <c r="K18" s="444"/>
      <c r="L18" s="444"/>
      <c r="M18" s="444"/>
      <c r="N18" s="444"/>
    </row>
    <row r="19" spans="1:40" x14ac:dyDescent="0.35">
      <c r="A19" s="3" t="s">
        <v>952</v>
      </c>
      <c r="B19" s="210"/>
      <c r="C19" s="444">
        <v>0</v>
      </c>
      <c r="D19" s="444">
        <v>0</v>
      </c>
      <c r="E19" s="444">
        <v>0</v>
      </c>
      <c r="F19" s="444">
        <v>0</v>
      </c>
      <c r="G19" s="444">
        <v>207021</v>
      </c>
      <c r="H19" s="444">
        <v>1981</v>
      </c>
      <c r="I19" s="444">
        <v>1981</v>
      </c>
      <c r="J19" s="444">
        <v>1981</v>
      </c>
      <c r="K19" s="444">
        <v>6348</v>
      </c>
      <c r="L19" s="444">
        <v>2993</v>
      </c>
      <c r="M19" s="444">
        <v>3041</v>
      </c>
      <c r="N19" s="444"/>
    </row>
    <row r="20" spans="1:40" x14ac:dyDescent="0.35">
      <c r="A20" s="3" t="s">
        <v>953</v>
      </c>
      <c r="B20" s="210"/>
      <c r="C20" s="444">
        <v>74603</v>
      </c>
      <c r="D20" s="444">
        <v>27705</v>
      </c>
      <c r="E20" s="444">
        <v>7757</v>
      </c>
      <c r="F20" s="444">
        <v>0</v>
      </c>
      <c r="G20" s="444">
        <v>0</v>
      </c>
      <c r="H20" s="444">
        <v>0</v>
      </c>
      <c r="I20" s="444">
        <v>0</v>
      </c>
      <c r="J20" s="444"/>
      <c r="K20" s="444"/>
      <c r="L20" s="444"/>
      <c r="M20" s="444"/>
      <c r="N20" s="444"/>
    </row>
    <row r="21" spans="1:40" ht="15" thickBot="1" x14ac:dyDescent="0.4">
      <c r="A21" s="3" t="s">
        <v>330</v>
      </c>
      <c r="B21" s="210"/>
      <c r="C21" s="444">
        <v>2468</v>
      </c>
      <c r="D21" s="444">
        <v>2490</v>
      </c>
      <c r="E21" s="444">
        <v>746</v>
      </c>
      <c r="F21" s="444">
        <v>2841</v>
      </c>
      <c r="G21" s="444">
        <v>788</v>
      </c>
      <c r="H21" s="444">
        <v>763</v>
      </c>
      <c r="I21" s="444">
        <v>260</v>
      </c>
      <c r="J21" s="444">
        <v>993</v>
      </c>
      <c r="K21" s="444">
        <v>3237</v>
      </c>
      <c r="L21" s="444">
        <v>14769</v>
      </c>
      <c r="M21" s="444">
        <v>1929</v>
      </c>
      <c r="N21" s="444">
        <v>39700</v>
      </c>
    </row>
    <row r="22" spans="1:40" ht="15" thickBot="1" x14ac:dyDescent="0.4">
      <c r="A22" s="205" t="s">
        <v>954</v>
      </c>
      <c r="B22" s="206"/>
      <c r="C22" s="207">
        <f>SUM(C23:C32)</f>
        <v>5851223</v>
      </c>
      <c r="D22" s="207">
        <f t="shared" ref="D22:M22" si="1">SUM(D23:D32)</f>
        <v>5944398</v>
      </c>
      <c r="E22" s="207">
        <f t="shared" si="1"/>
        <v>6025440</v>
      </c>
      <c r="F22" s="207">
        <f t="shared" si="1"/>
        <v>6121537</v>
      </c>
      <c r="G22" s="207">
        <f t="shared" si="1"/>
        <v>6243670</v>
      </c>
      <c r="H22" s="207">
        <f t="shared" si="1"/>
        <v>6189011</v>
      </c>
      <c r="I22" s="207">
        <f t="shared" si="1"/>
        <v>6137772</v>
      </c>
      <c r="J22" s="207">
        <f t="shared" si="1"/>
        <v>6194548</v>
      </c>
      <c r="K22" s="207">
        <f t="shared" si="1"/>
        <v>6236448</v>
      </c>
      <c r="L22" s="207">
        <f t="shared" si="1"/>
        <v>6214469</v>
      </c>
      <c r="M22" s="207">
        <f t="shared" si="1"/>
        <v>6914348</v>
      </c>
      <c r="N22" s="207">
        <f>SUM(N23:N32)</f>
        <v>5990300</v>
      </c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</row>
    <row r="23" spans="1:40" x14ac:dyDescent="0.35">
      <c r="A23" s="3" t="s">
        <v>947</v>
      </c>
      <c r="B23" s="210"/>
      <c r="C23" s="444">
        <v>55901</v>
      </c>
      <c r="D23" s="444">
        <v>47426</v>
      </c>
      <c r="E23" s="444">
        <v>45452</v>
      </c>
      <c r="F23" s="444">
        <v>61878</v>
      </c>
      <c r="G23" s="444">
        <v>64427</v>
      </c>
      <c r="H23" s="444">
        <v>51456</v>
      </c>
      <c r="I23" s="444">
        <v>23112</v>
      </c>
      <c r="J23" s="444">
        <v>36713</v>
      </c>
      <c r="K23" s="444">
        <v>38230</v>
      </c>
      <c r="L23" s="444">
        <v>33355</v>
      </c>
      <c r="M23" s="444">
        <v>28390</v>
      </c>
      <c r="N23" s="444">
        <v>36210</v>
      </c>
    </row>
    <row r="24" spans="1:40" x14ac:dyDescent="0.35">
      <c r="A24" s="3" t="s">
        <v>663</v>
      </c>
      <c r="B24" s="210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>
        <v>22552</v>
      </c>
      <c r="N24" s="444"/>
    </row>
    <row r="25" spans="1:40" x14ac:dyDescent="0.35">
      <c r="A25" s="3" t="s">
        <v>946</v>
      </c>
      <c r="B25" s="210"/>
      <c r="C25" s="444">
        <v>352703</v>
      </c>
      <c r="D25" s="444">
        <v>374309</v>
      </c>
      <c r="E25" s="444">
        <v>383120</v>
      </c>
      <c r="F25" s="444">
        <v>403492</v>
      </c>
      <c r="G25" s="444">
        <v>379224</v>
      </c>
      <c r="H25" s="444">
        <v>388321</v>
      </c>
      <c r="I25" s="444">
        <v>415932</v>
      </c>
      <c r="J25" s="444">
        <v>450132</v>
      </c>
      <c r="K25" s="444">
        <v>480326</v>
      </c>
      <c r="L25" s="444">
        <v>506665</v>
      </c>
      <c r="M25" s="444">
        <v>520972</v>
      </c>
      <c r="N25" s="444">
        <v>548627</v>
      </c>
    </row>
    <row r="26" spans="1:40" x14ac:dyDescent="0.35">
      <c r="A26" s="3" t="s">
        <v>951</v>
      </c>
      <c r="B26" s="210"/>
      <c r="C26" s="444">
        <v>6382</v>
      </c>
      <c r="D26" s="444">
        <v>7397</v>
      </c>
      <c r="E26" s="444">
        <v>7451</v>
      </c>
      <c r="F26" s="444">
        <v>8021</v>
      </c>
      <c r="G26" s="444">
        <v>7630</v>
      </c>
      <c r="H26" s="444">
        <v>11397</v>
      </c>
      <c r="I26" s="444">
        <v>5368</v>
      </c>
      <c r="J26" s="444">
        <v>4254</v>
      </c>
      <c r="K26" s="444">
        <v>5048</v>
      </c>
      <c r="L26" s="444"/>
      <c r="M26" s="444">
        <v>15425</v>
      </c>
      <c r="N26" s="444"/>
    </row>
    <row r="27" spans="1:40" x14ac:dyDescent="0.35">
      <c r="A27" s="3" t="s">
        <v>336</v>
      </c>
      <c r="B27" s="210"/>
      <c r="C27" s="444">
        <v>15865</v>
      </c>
      <c r="D27" s="444">
        <v>15865</v>
      </c>
      <c r="E27" s="444">
        <v>15865</v>
      </c>
      <c r="F27" s="444">
        <v>15865</v>
      </c>
      <c r="G27" s="444">
        <v>16879</v>
      </c>
      <c r="H27" s="444">
        <v>16879</v>
      </c>
      <c r="I27" s="444">
        <v>16879</v>
      </c>
      <c r="J27" s="444">
        <v>16879</v>
      </c>
      <c r="K27" s="444">
        <v>18392</v>
      </c>
      <c r="L27" s="444">
        <v>18392</v>
      </c>
      <c r="M27" s="444">
        <v>18392</v>
      </c>
      <c r="N27" s="444">
        <v>19760</v>
      </c>
    </row>
    <row r="28" spans="1:40" x14ac:dyDescent="0.35">
      <c r="A28" s="3" t="s">
        <v>330</v>
      </c>
      <c r="B28" s="206"/>
      <c r="C28" s="444">
        <v>294</v>
      </c>
      <c r="D28" s="444">
        <v>294</v>
      </c>
      <c r="E28" s="444">
        <v>294</v>
      </c>
      <c r="F28" s="444">
        <v>294</v>
      </c>
      <c r="G28" s="444">
        <v>294</v>
      </c>
      <c r="H28" s="444">
        <v>294</v>
      </c>
      <c r="I28" s="444">
        <v>294</v>
      </c>
      <c r="J28" s="444">
        <v>289</v>
      </c>
      <c r="K28" s="444">
        <v>289</v>
      </c>
      <c r="L28" s="444">
        <v>12188</v>
      </c>
      <c r="M28" s="444">
        <v>37</v>
      </c>
      <c r="N28" s="444">
        <v>14388</v>
      </c>
    </row>
    <row r="29" spans="1:40" x14ac:dyDescent="0.35">
      <c r="A29" s="3" t="s">
        <v>341</v>
      </c>
      <c r="B29" s="206"/>
      <c r="C29" s="444">
        <v>0</v>
      </c>
      <c r="D29" s="444">
        <v>0</v>
      </c>
      <c r="E29" s="444">
        <v>0</v>
      </c>
      <c r="F29" s="444">
        <v>0</v>
      </c>
      <c r="G29" s="444">
        <v>0</v>
      </c>
      <c r="H29" s="444">
        <v>0</v>
      </c>
      <c r="I29" s="444">
        <v>0</v>
      </c>
      <c r="J29" s="444">
        <v>0</v>
      </c>
      <c r="K29" s="444"/>
      <c r="L29" s="444"/>
      <c r="M29" s="444"/>
      <c r="N29" s="444"/>
    </row>
    <row r="30" spans="1:40" x14ac:dyDescent="0.35">
      <c r="A30" s="3" t="s">
        <v>564</v>
      </c>
      <c r="B30" s="206"/>
      <c r="C30" s="444">
        <v>96546</v>
      </c>
      <c r="D30" s="444">
        <v>95718</v>
      </c>
      <c r="E30" s="444">
        <v>94890</v>
      </c>
      <c r="F30" s="444">
        <v>94063</v>
      </c>
      <c r="G30" s="444">
        <v>83408</v>
      </c>
      <c r="H30" s="444">
        <v>82662</v>
      </c>
      <c r="I30" s="444">
        <v>83170</v>
      </c>
      <c r="J30" s="444">
        <v>82464</v>
      </c>
      <c r="K30" s="444">
        <v>106872</v>
      </c>
      <c r="L30" s="444">
        <v>104491</v>
      </c>
      <c r="M30" s="444">
        <v>102797</v>
      </c>
      <c r="N30" s="444">
        <v>102194</v>
      </c>
    </row>
    <row r="31" spans="1:40" x14ac:dyDescent="0.35">
      <c r="A31" s="3" t="s">
        <v>343</v>
      </c>
      <c r="B31" s="210"/>
      <c r="C31" s="444">
        <v>4712390</v>
      </c>
      <c r="D31" s="444">
        <v>4801561</v>
      </c>
      <c r="E31" s="444">
        <v>4885981</v>
      </c>
      <c r="F31" s="444">
        <v>4954959</v>
      </c>
      <c r="G31" s="444">
        <v>5087466</v>
      </c>
      <c r="H31" s="444">
        <v>5043100</v>
      </c>
      <c r="I31" s="444">
        <v>5000263</v>
      </c>
      <c r="J31" s="444">
        <v>4958158</v>
      </c>
      <c r="K31" s="444">
        <v>4923496</v>
      </c>
      <c r="L31" s="444">
        <v>4889487</v>
      </c>
      <c r="M31" s="444">
        <v>5623020</v>
      </c>
      <c r="N31" s="444">
        <v>4761480</v>
      </c>
    </row>
    <row r="32" spans="1:40" ht="15" thickBot="1" x14ac:dyDescent="0.4">
      <c r="A32" s="3" t="s">
        <v>344</v>
      </c>
      <c r="B32" s="210"/>
      <c r="C32" s="444">
        <v>611142</v>
      </c>
      <c r="D32" s="444">
        <v>601828</v>
      </c>
      <c r="E32" s="444">
        <v>592387</v>
      </c>
      <c r="F32" s="444">
        <v>582965</v>
      </c>
      <c r="G32" s="444">
        <v>604342</v>
      </c>
      <c r="H32" s="444">
        <v>594902</v>
      </c>
      <c r="I32" s="444">
        <v>592754</v>
      </c>
      <c r="J32" s="444">
        <v>645659</v>
      </c>
      <c r="K32" s="444">
        <v>663795</v>
      </c>
      <c r="L32" s="444">
        <v>649891</v>
      </c>
      <c r="M32" s="444">
        <v>582763</v>
      </c>
      <c r="N32" s="444">
        <v>507641</v>
      </c>
    </row>
    <row r="33" spans="1:40" ht="15" thickBot="1" x14ac:dyDescent="0.4">
      <c r="A33" s="205" t="s">
        <v>955</v>
      </c>
      <c r="B33" s="206"/>
      <c r="C33" s="207">
        <f>C8+C22</f>
        <v>6487117</v>
      </c>
      <c r="D33" s="207">
        <f t="shared" ref="D33:M33" si="2">D8+D22</f>
        <v>6662573</v>
      </c>
      <c r="E33" s="207">
        <f t="shared" si="2"/>
        <v>6790602</v>
      </c>
      <c r="F33" s="207">
        <f t="shared" si="2"/>
        <v>6974101</v>
      </c>
      <c r="G33" s="207">
        <f t="shared" si="2"/>
        <v>7139434</v>
      </c>
      <c r="H33" s="207">
        <f t="shared" si="2"/>
        <v>6872752</v>
      </c>
      <c r="I33" s="207">
        <f t="shared" si="2"/>
        <v>6767902</v>
      </c>
      <c r="J33" s="207">
        <f t="shared" si="2"/>
        <v>6873084</v>
      </c>
      <c r="K33" s="207">
        <f t="shared" si="2"/>
        <v>6862392</v>
      </c>
      <c r="L33" s="207">
        <f t="shared" si="2"/>
        <v>7060571</v>
      </c>
      <c r="M33" s="207">
        <f t="shared" si="2"/>
        <v>7592384</v>
      </c>
      <c r="N33" s="207">
        <f>N8+N22</f>
        <v>6648817</v>
      </c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</row>
    <row r="34" spans="1:40" x14ac:dyDescent="0.35">
      <c r="A34" s="532"/>
      <c r="B34" s="210"/>
    </row>
    <row r="35" spans="1:40" ht="15" thickBot="1" x14ac:dyDescent="0.4">
      <c r="A35" s="5" t="s">
        <v>347</v>
      </c>
      <c r="B35" s="204"/>
      <c r="C35" s="573" t="s">
        <v>72</v>
      </c>
      <c r="D35" s="573" t="s">
        <v>73</v>
      </c>
      <c r="E35" s="573" t="s">
        <v>74</v>
      </c>
      <c r="F35" s="573" t="s">
        <v>75</v>
      </c>
      <c r="G35" s="573" t="s">
        <v>76</v>
      </c>
      <c r="H35" s="573" t="s">
        <v>77</v>
      </c>
      <c r="I35" s="573" t="s">
        <v>78</v>
      </c>
      <c r="J35" s="573" t="str">
        <f>J7</f>
        <v>3T22</v>
      </c>
      <c r="K35" s="573" t="str">
        <f>K7</f>
        <v>4T22</v>
      </c>
      <c r="L35" s="573" t="str">
        <f>L7</f>
        <v>1T23</v>
      </c>
      <c r="M35" s="573" t="str">
        <f>M7</f>
        <v>2T23</v>
      </c>
      <c r="N35" s="573" t="s">
        <v>83</v>
      </c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</row>
    <row r="36" spans="1:40" ht="15" thickBot="1" x14ac:dyDescent="0.4">
      <c r="A36" s="205" t="s">
        <v>956</v>
      </c>
      <c r="B36" s="206"/>
      <c r="C36" s="207">
        <f>SUM(C37:C49)</f>
        <v>839756</v>
      </c>
      <c r="D36" s="207">
        <f t="shared" ref="D36:M36" si="3">SUM(D37:D49)</f>
        <v>743996</v>
      </c>
      <c r="E36" s="207">
        <f t="shared" si="3"/>
        <v>767023</v>
      </c>
      <c r="F36" s="207">
        <f t="shared" si="3"/>
        <v>558808</v>
      </c>
      <c r="G36" s="207">
        <f t="shared" si="3"/>
        <v>757686</v>
      </c>
      <c r="H36" s="207">
        <f t="shared" si="3"/>
        <v>614464</v>
      </c>
      <c r="I36" s="207">
        <f t="shared" si="3"/>
        <v>551778</v>
      </c>
      <c r="J36" s="207">
        <f t="shared" si="3"/>
        <v>634369</v>
      </c>
      <c r="K36" s="207">
        <f t="shared" si="3"/>
        <v>615477</v>
      </c>
      <c r="L36" s="207">
        <f t="shared" si="3"/>
        <v>706467</v>
      </c>
      <c r="M36" s="207">
        <f t="shared" si="3"/>
        <v>953591</v>
      </c>
      <c r="N36" s="207">
        <f>SUM(N37:N49)</f>
        <v>908235</v>
      </c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</row>
    <row r="37" spans="1:40" x14ac:dyDescent="0.35">
      <c r="A37" s="3" t="s">
        <v>348</v>
      </c>
      <c r="B37" s="210"/>
      <c r="C37" s="444">
        <v>164537</v>
      </c>
      <c r="D37" s="444">
        <v>87933</v>
      </c>
      <c r="E37" s="444">
        <v>118088</v>
      </c>
      <c r="F37" s="444">
        <v>141958</v>
      </c>
      <c r="G37" s="444">
        <v>83308</v>
      </c>
      <c r="H37" s="444">
        <v>33900</v>
      </c>
      <c r="I37" s="444">
        <v>39729</v>
      </c>
      <c r="J37" s="444">
        <v>60709</v>
      </c>
      <c r="K37" s="444">
        <v>71451</v>
      </c>
      <c r="L37" s="444">
        <v>66698</v>
      </c>
      <c r="M37" s="444">
        <v>275707</v>
      </c>
      <c r="N37" s="444">
        <v>47360</v>
      </c>
    </row>
    <row r="38" spans="1:40" x14ac:dyDescent="0.35">
      <c r="A38" s="3" t="s">
        <v>663</v>
      </c>
      <c r="B38" s="210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>
        <v>11684</v>
      </c>
      <c r="N38" s="444">
        <v>2477</v>
      </c>
    </row>
    <row r="39" spans="1:40" x14ac:dyDescent="0.35">
      <c r="A39" s="3" t="s">
        <v>367</v>
      </c>
      <c r="B39" s="210"/>
      <c r="C39" s="444">
        <v>380162</v>
      </c>
      <c r="D39" s="444">
        <v>402790</v>
      </c>
      <c r="E39" s="444">
        <v>419474</v>
      </c>
      <c r="F39" s="444">
        <v>161437</v>
      </c>
      <c r="G39" s="444">
        <v>181882</v>
      </c>
      <c r="H39" s="444">
        <v>182769</v>
      </c>
      <c r="I39" s="444">
        <v>174762</v>
      </c>
      <c r="J39" s="444">
        <v>172432</v>
      </c>
      <c r="K39" s="444">
        <v>179467</v>
      </c>
      <c r="L39" s="444">
        <v>199353</v>
      </c>
      <c r="M39" s="444">
        <v>207224</v>
      </c>
      <c r="N39" s="444">
        <v>194643</v>
      </c>
    </row>
    <row r="40" spans="1:40" x14ac:dyDescent="0.35">
      <c r="A40" s="3" t="s">
        <v>191</v>
      </c>
      <c r="B40" s="210"/>
      <c r="C40" s="444">
        <v>100071</v>
      </c>
      <c r="D40" s="444">
        <v>61736</v>
      </c>
      <c r="E40" s="444">
        <v>46761</v>
      </c>
      <c r="F40" s="444">
        <v>48110</v>
      </c>
      <c r="G40" s="444">
        <v>73815</v>
      </c>
      <c r="H40" s="444">
        <v>130385</v>
      </c>
      <c r="I40" s="444">
        <v>99811</v>
      </c>
      <c r="J40" s="444">
        <v>109686</v>
      </c>
      <c r="K40" s="444">
        <v>67771</v>
      </c>
      <c r="L40" s="444">
        <v>81753</v>
      </c>
      <c r="M40" s="444">
        <v>73671</v>
      </c>
      <c r="N40" s="444">
        <v>383766</v>
      </c>
    </row>
    <row r="41" spans="1:40" x14ac:dyDescent="0.35">
      <c r="A41" s="3" t="s">
        <v>957</v>
      </c>
      <c r="B41" s="210"/>
      <c r="C41" s="444">
        <v>0</v>
      </c>
      <c r="D41" s="444">
        <v>0</v>
      </c>
      <c r="E41" s="444">
        <v>0</v>
      </c>
      <c r="F41" s="444">
        <v>0</v>
      </c>
      <c r="G41" s="444">
        <v>11767</v>
      </c>
      <c r="H41" s="444">
        <v>10356</v>
      </c>
      <c r="I41" s="444">
        <v>7915</v>
      </c>
      <c r="J41" s="444">
        <v>11846</v>
      </c>
      <c r="K41" s="444"/>
      <c r="L41" s="444"/>
      <c r="M41" s="444">
        <v>11846</v>
      </c>
      <c r="N41" s="444"/>
    </row>
    <row r="42" spans="1:40" x14ac:dyDescent="0.35">
      <c r="A42" s="3" t="s">
        <v>958</v>
      </c>
      <c r="B42" s="210"/>
      <c r="C42" s="444">
        <v>12766</v>
      </c>
      <c r="D42" s="444">
        <v>11709</v>
      </c>
      <c r="E42" s="444">
        <v>12283</v>
      </c>
      <c r="F42" s="444">
        <v>15585</v>
      </c>
      <c r="G42" s="444">
        <v>10291</v>
      </c>
      <c r="H42" s="444">
        <v>56170</v>
      </c>
      <c r="I42" s="444">
        <v>9540</v>
      </c>
      <c r="J42" s="444">
        <v>12581</v>
      </c>
      <c r="K42" s="444"/>
      <c r="L42" s="444"/>
      <c r="M42" s="444">
        <v>15572</v>
      </c>
      <c r="N42" s="444">
        <v>16319</v>
      </c>
    </row>
    <row r="43" spans="1:40" x14ac:dyDescent="0.35">
      <c r="A43" s="3" t="s">
        <v>959</v>
      </c>
      <c r="B43" s="210"/>
      <c r="C43" s="444">
        <v>9982</v>
      </c>
      <c r="D43" s="444">
        <v>17838</v>
      </c>
      <c r="E43" s="444">
        <v>6480</v>
      </c>
      <c r="F43" s="444">
        <v>12822</v>
      </c>
      <c r="G43" s="444">
        <v>11765</v>
      </c>
      <c r="H43" s="444">
        <v>10947</v>
      </c>
      <c r="I43" s="444">
        <v>13004</v>
      </c>
      <c r="J43" s="444">
        <v>17189</v>
      </c>
      <c r="K43" s="444">
        <v>30240</v>
      </c>
      <c r="L43" s="444">
        <v>34479</v>
      </c>
      <c r="M43" s="444">
        <v>25475</v>
      </c>
      <c r="N43" s="444">
        <v>28600</v>
      </c>
    </row>
    <row r="44" spans="1:40" x14ac:dyDescent="0.35">
      <c r="A44" s="3" t="s">
        <v>960</v>
      </c>
      <c r="B44" s="206"/>
      <c r="C44" s="444">
        <v>10175</v>
      </c>
      <c r="D44" s="444">
        <v>8143</v>
      </c>
      <c r="E44" s="444">
        <v>8595</v>
      </c>
      <c r="F44" s="444">
        <v>12591</v>
      </c>
      <c r="G44" s="444">
        <v>11889</v>
      </c>
      <c r="H44" s="444">
        <v>8684</v>
      </c>
      <c r="I44" s="444">
        <v>11507</v>
      </c>
      <c r="J44" s="444">
        <v>15181</v>
      </c>
      <c r="K44" s="444">
        <v>20375</v>
      </c>
      <c r="L44" s="444">
        <v>30310</v>
      </c>
      <c r="M44" s="444">
        <v>16470</v>
      </c>
      <c r="N44" s="444">
        <v>17440</v>
      </c>
    </row>
    <row r="45" spans="1:40" x14ac:dyDescent="0.35">
      <c r="A45" s="3" t="s">
        <v>937</v>
      </c>
      <c r="B45" s="210"/>
      <c r="C45" s="444">
        <v>0</v>
      </c>
      <c r="D45" s="444">
        <v>0</v>
      </c>
      <c r="E45" s="444">
        <v>0</v>
      </c>
      <c r="F45" s="444">
        <v>0</v>
      </c>
      <c r="G45" s="444">
        <v>207021</v>
      </c>
      <c r="H45" s="444">
        <v>1981</v>
      </c>
      <c r="I45" s="444">
        <v>0</v>
      </c>
      <c r="J45" s="444">
        <v>0</v>
      </c>
      <c r="K45" s="444"/>
      <c r="L45" s="444"/>
      <c r="M45" s="444"/>
      <c r="N45" s="444"/>
    </row>
    <row r="46" spans="1:40" x14ac:dyDescent="0.35">
      <c r="A46" s="3" t="s">
        <v>667</v>
      </c>
      <c r="B46" s="210"/>
      <c r="C46" s="444">
        <v>120777</v>
      </c>
      <c r="D46" s="444">
        <v>121833</v>
      </c>
      <c r="E46" s="444">
        <v>127359</v>
      </c>
      <c r="F46" s="444">
        <v>136248</v>
      </c>
      <c r="G46" s="444">
        <v>130191</v>
      </c>
      <c r="H46" s="444">
        <v>130191</v>
      </c>
      <c r="I46" s="444">
        <v>143117</v>
      </c>
      <c r="J46" s="444">
        <v>164558</v>
      </c>
      <c r="K46" s="444">
        <v>164215</v>
      </c>
      <c r="L46" s="444">
        <v>164215</v>
      </c>
      <c r="M46" s="444">
        <v>172915</v>
      </c>
      <c r="N46" s="444"/>
    </row>
    <row r="47" spans="1:40" x14ac:dyDescent="0.35">
      <c r="A47" s="3" t="s">
        <v>961</v>
      </c>
      <c r="B47" s="210"/>
      <c r="C47" s="444">
        <v>1611</v>
      </c>
      <c r="D47" s="444">
        <v>1378</v>
      </c>
      <c r="E47" s="444">
        <v>1760</v>
      </c>
      <c r="F47" s="444">
        <v>1834</v>
      </c>
      <c r="G47" s="444">
        <v>1039</v>
      </c>
      <c r="H47" s="444">
        <v>1055</v>
      </c>
      <c r="I47" s="444">
        <v>1199</v>
      </c>
      <c r="J47" s="444">
        <v>1271</v>
      </c>
      <c r="K47" s="444"/>
      <c r="L47" s="444">
        <v>1906</v>
      </c>
      <c r="M47" s="444">
        <v>2433</v>
      </c>
      <c r="N47" s="444"/>
    </row>
    <row r="48" spans="1:40" x14ac:dyDescent="0.35">
      <c r="A48" s="3" t="s">
        <v>962</v>
      </c>
      <c r="B48" s="210"/>
      <c r="C48" s="444">
        <v>0</v>
      </c>
      <c r="D48" s="444">
        <v>0</v>
      </c>
      <c r="E48" s="444">
        <v>4304</v>
      </c>
      <c r="F48" s="444">
        <v>1219</v>
      </c>
      <c r="G48" s="444">
        <v>0</v>
      </c>
      <c r="H48" s="444">
        <v>0</v>
      </c>
      <c r="I48" s="444">
        <v>0</v>
      </c>
      <c r="J48" s="444">
        <v>50547</v>
      </c>
      <c r="K48" s="444"/>
      <c r="L48" s="444">
        <v>69410</v>
      </c>
      <c r="M48" s="444">
        <v>112947</v>
      </c>
      <c r="N48" s="444"/>
    </row>
    <row r="49" spans="1:40" ht="15" customHeight="1" thickBot="1" x14ac:dyDescent="0.4">
      <c r="A49" s="3" t="s">
        <v>366</v>
      </c>
      <c r="B49" s="210"/>
      <c r="C49" s="444">
        <v>39675</v>
      </c>
      <c r="D49" s="444">
        <v>30636</v>
      </c>
      <c r="E49" s="444">
        <v>21919</v>
      </c>
      <c r="F49" s="444">
        <v>27004</v>
      </c>
      <c r="G49" s="444">
        <v>34718</v>
      </c>
      <c r="H49" s="444">
        <v>48026</v>
      </c>
      <c r="I49" s="444">
        <v>51194</v>
      </c>
      <c r="J49" s="444">
        <v>18369</v>
      </c>
      <c r="K49" s="444">
        <v>81958</v>
      </c>
      <c r="L49" s="444">
        <v>58343</v>
      </c>
      <c r="M49" s="444">
        <v>27647</v>
      </c>
      <c r="N49" s="444">
        <v>217630</v>
      </c>
    </row>
    <row r="50" spans="1:40" ht="15" thickBot="1" x14ac:dyDescent="0.4">
      <c r="A50" s="205" t="s">
        <v>963</v>
      </c>
      <c r="B50" s="206"/>
      <c r="C50" s="207">
        <f>SUM(C51:C64)</f>
        <v>3551942</v>
      </c>
      <c r="D50" s="207">
        <f t="shared" ref="D50:M50" si="4">SUM(D51:D64)</f>
        <v>3866250</v>
      </c>
      <c r="E50" s="207">
        <f t="shared" si="4"/>
        <v>4032368</v>
      </c>
      <c r="F50" s="207">
        <f t="shared" si="4"/>
        <v>4418782</v>
      </c>
      <c r="G50" s="207">
        <f t="shared" si="4"/>
        <v>4391733</v>
      </c>
      <c r="H50" s="207">
        <f t="shared" si="4"/>
        <v>4339356</v>
      </c>
      <c r="I50" s="207">
        <f t="shared" si="4"/>
        <v>4394087</v>
      </c>
      <c r="J50" s="207">
        <f t="shared" si="4"/>
        <v>4340466</v>
      </c>
      <c r="K50" s="207">
        <f t="shared" si="4"/>
        <v>4328151</v>
      </c>
      <c r="L50" s="207">
        <f t="shared" si="4"/>
        <v>4304293</v>
      </c>
      <c r="M50" s="207">
        <f t="shared" si="4"/>
        <v>4375272</v>
      </c>
      <c r="N50" s="207">
        <f>SUM(N51:N64)</f>
        <v>3895107</v>
      </c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6"/>
      <c r="AL50" s="446"/>
      <c r="AM50" s="446"/>
      <c r="AN50" s="446"/>
    </row>
    <row r="51" spans="1:40" x14ac:dyDescent="0.35">
      <c r="A51" s="3" t="s">
        <v>964</v>
      </c>
      <c r="B51" s="210"/>
      <c r="C51" s="444">
        <v>2614785</v>
      </c>
      <c r="D51" s="444">
        <v>2587705</v>
      </c>
      <c r="E51" s="444">
        <v>2706645</v>
      </c>
      <c r="F51" s="444">
        <v>2756999</v>
      </c>
      <c r="G51" s="444">
        <v>2781837</v>
      </c>
      <c r="H51" s="444">
        <v>2743350</v>
      </c>
      <c r="I51" s="444">
        <v>2741505</v>
      </c>
      <c r="J51" s="444">
        <v>2690911</v>
      </c>
      <c r="K51" s="444">
        <v>2648114</v>
      </c>
      <c r="L51" s="444">
        <v>2602575</v>
      </c>
      <c r="M51" s="444">
        <v>2661371</v>
      </c>
      <c r="N51" s="444">
        <v>2519554</v>
      </c>
    </row>
    <row r="52" spans="1:40" x14ac:dyDescent="0.35">
      <c r="A52" s="3" t="s">
        <v>191</v>
      </c>
      <c r="B52" s="204"/>
      <c r="C52" s="444">
        <v>487472</v>
      </c>
      <c r="D52" s="444">
        <v>823444</v>
      </c>
      <c r="E52" s="444">
        <v>836538</v>
      </c>
      <c r="F52" s="444">
        <v>1170153</v>
      </c>
      <c r="G52" s="444">
        <v>1155837</v>
      </c>
      <c r="H52" s="444">
        <v>1133008</v>
      </c>
      <c r="I52" s="444">
        <v>1171544</v>
      </c>
      <c r="J52" s="444">
        <v>1162981</v>
      </c>
      <c r="K52" s="444">
        <v>1148300</v>
      </c>
      <c r="L52" s="444">
        <v>1159805</v>
      </c>
      <c r="M52" s="444">
        <v>1149893</v>
      </c>
      <c r="N52" s="444">
        <v>848632</v>
      </c>
    </row>
    <row r="53" spans="1:40" x14ac:dyDescent="0.35">
      <c r="A53" s="3" t="s">
        <v>958</v>
      </c>
      <c r="B53" s="206"/>
      <c r="C53" s="444">
        <v>4921</v>
      </c>
      <c r="D53" s="444">
        <v>4614</v>
      </c>
      <c r="E53" s="444">
        <v>4199</v>
      </c>
      <c r="F53" s="444">
        <v>3894</v>
      </c>
      <c r="G53" s="444">
        <v>10343</v>
      </c>
      <c r="H53" s="444">
        <v>9153</v>
      </c>
      <c r="I53" s="444">
        <v>8459</v>
      </c>
      <c r="J53" s="444">
        <v>7744</v>
      </c>
      <c r="K53" s="444"/>
      <c r="L53" s="444"/>
      <c r="M53" s="444"/>
      <c r="N53" s="444">
        <v>3969</v>
      </c>
    </row>
    <row r="54" spans="1:40" x14ac:dyDescent="0.35">
      <c r="A54" s="3" t="s">
        <v>959</v>
      </c>
      <c r="B54" s="219"/>
      <c r="C54" s="444">
        <v>11210</v>
      </c>
      <c r="D54" s="444">
        <v>0</v>
      </c>
      <c r="E54" s="444">
        <v>28043</v>
      </c>
      <c r="F54" s="444">
        <v>11210</v>
      </c>
      <c r="G54" s="444">
        <v>0</v>
      </c>
      <c r="H54" s="444">
        <v>0</v>
      </c>
      <c r="I54" s="444">
        <v>0</v>
      </c>
      <c r="J54" s="444"/>
      <c r="K54" s="444">
        <v>4875</v>
      </c>
      <c r="L54" s="444">
        <v>5144</v>
      </c>
      <c r="M54" s="444">
        <v>4567</v>
      </c>
      <c r="N54" s="444"/>
    </row>
    <row r="55" spans="1:40" x14ac:dyDescent="0.35">
      <c r="A55" s="3" t="s">
        <v>667</v>
      </c>
      <c r="B55" s="219"/>
      <c r="C55" s="444">
        <v>0</v>
      </c>
      <c r="D55" s="444">
        <v>6283</v>
      </c>
      <c r="E55" s="444">
        <v>0</v>
      </c>
      <c r="F55" s="444">
        <v>37082</v>
      </c>
      <c r="G55" s="444">
        <v>27417</v>
      </c>
      <c r="H55" s="444">
        <v>45128</v>
      </c>
      <c r="I55" s="444">
        <v>72756</v>
      </c>
      <c r="J55" s="444">
        <v>63982</v>
      </c>
      <c r="K55" s="444">
        <v>64520</v>
      </c>
      <c r="L55" s="444"/>
      <c r="M55" s="444">
        <v>111096</v>
      </c>
      <c r="N55" s="444"/>
    </row>
    <row r="56" spans="1:40" x14ac:dyDescent="0.35">
      <c r="A56" s="3" t="s">
        <v>965</v>
      </c>
      <c r="B56" s="210"/>
      <c r="C56" s="444">
        <v>206602</v>
      </c>
      <c r="D56" s="444">
        <v>203391</v>
      </c>
      <c r="E56" s="444">
        <v>11210</v>
      </c>
      <c r="F56" s="444">
        <v>196972</v>
      </c>
      <c r="G56" s="444">
        <v>193763</v>
      </c>
      <c r="H56" s="444">
        <v>190553</v>
      </c>
      <c r="I56" s="444">
        <v>187343</v>
      </c>
      <c r="J56" s="444">
        <v>184133</v>
      </c>
      <c r="K56" s="444">
        <v>181692</v>
      </c>
      <c r="L56" s="444">
        <v>178243</v>
      </c>
      <c r="M56" s="444">
        <v>175173</v>
      </c>
      <c r="N56" s="444">
        <v>171294</v>
      </c>
    </row>
    <row r="57" spans="1:40" x14ac:dyDescent="0.35">
      <c r="A57" s="3" t="s">
        <v>962</v>
      </c>
      <c r="B57" s="210"/>
      <c r="C57" s="444">
        <v>0</v>
      </c>
      <c r="D57" s="444">
        <v>915</v>
      </c>
      <c r="E57" s="444">
        <v>200182</v>
      </c>
      <c r="F57" s="444">
        <v>0</v>
      </c>
      <c r="G57" s="444">
        <v>0</v>
      </c>
      <c r="H57" s="444">
        <v>0</v>
      </c>
      <c r="I57" s="444">
        <v>0</v>
      </c>
      <c r="J57" s="444"/>
      <c r="K57" s="444"/>
      <c r="L57" s="444"/>
      <c r="M57" s="444"/>
      <c r="N57" s="444"/>
    </row>
    <row r="58" spans="1:40" x14ac:dyDescent="0.35">
      <c r="A58" s="3" t="s">
        <v>966</v>
      </c>
      <c r="B58" s="210"/>
      <c r="C58" s="444">
        <v>3168</v>
      </c>
      <c r="D58" s="444">
        <v>0</v>
      </c>
      <c r="E58" s="444">
        <v>3168</v>
      </c>
      <c r="F58" s="444">
        <v>3168</v>
      </c>
      <c r="G58" s="444">
        <v>3168</v>
      </c>
      <c r="H58" s="444">
        <v>3168</v>
      </c>
      <c r="I58" s="444">
        <v>3168</v>
      </c>
      <c r="J58" s="444">
        <v>3168</v>
      </c>
      <c r="K58" s="444">
        <v>3168</v>
      </c>
      <c r="L58" s="444"/>
      <c r="M58" s="444">
        <v>3168</v>
      </c>
      <c r="N58" s="444"/>
    </row>
    <row r="59" spans="1:40" x14ac:dyDescent="0.35">
      <c r="A59" s="3" t="s">
        <v>668</v>
      </c>
      <c r="B59" s="210"/>
      <c r="C59" s="444">
        <v>30329</v>
      </c>
      <c r="D59" s="444">
        <v>31802</v>
      </c>
      <c r="E59" s="444">
        <v>33277</v>
      </c>
      <c r="F59" s="444">
        <v>34755</v>
      </c>
      <c r="G59" s="444">
        <v>41020</v>
      </c>
      <c r="H59" s="444">
        <v>43584</v>
      </c>
      <c r="I59" s="444">
        <v>44767</v>
      </c>
      <c r="J59" s="444">
        <v>45912</v>
      </c>
      <c r="K59" s="444">
        <v>64822</v>
      </c>
      <c r="L59" s="444"/>
      <c r="M59" s="444">
        <v>67655</v>
      </c>
      <c r="N59" s="444"/>
    </row>
    <row r="60" spans="1:40" x14ac:dyDescent="0.35">
      <c r="A60" s="3" t="s">
        <v>961</v>
      </c>
      <c r="B60" s="210"/>
      <c r="C60" s="444">
        <v>74310</v>
      </c>
      <c r="D60" s="444">
        <v>74315</v>
      </c>
      <c r="E60" s="444">
        <v>73697</v>
      </c>
      <c r="F60" s="444">
        <v>73383</v>
      </c>
      <c r="G60" s="444">
        <v>58875</v>
      </c>
      <c r="H60" s="444">
        <v>58703</v>
      </c>
      <c r="I60" s="444">
        <v>58422</v>
      </c>
      <c r="J60" s="444">
        <v>58239</v>
      </c>
      <c r="K60" s="444">
        <v>64893</v>
      </c>
      <c r="L60" s="444">
        <v>64862</v>
      </c>
      <c r="M60" s="444">
        <v>64533</v>
      </c>
      <c r="N60" s="444">
        <v>64189</v>
      </c>
    </row>
    <row r="61" spans="1:40" x14ac:dyDescent="0.35">
      <c r="A61" s="3" t="s">
        <v>957</v>
      </c>
      <c r="B61" s="210"/>
      <c r="C61" s="444">
        <v>117645</v>
      </c>
      <c r="D61" s="444">
        <v>117625</v>
      </c>
      <c r="E61" s="444">
        <v>117707</v>
      </c>
      <c r="F61" s="444">
        <v>117625</v>
      </c>
      <c r="G61" s="444">
        <v>105819</v>
      </c>
      <c r="H61" s="444">
        <v>105779</v>
      </c>
      <c r="I61" s="444">
        <v>104764</v>
      </c>
      <c r="J61" s="444">
        <v>97641</v>
      </c>
      <c r="K61" s="444">
        <v>94072</v>
      </c>
      <c r="L61" s="444"/>
      <c r="M61" s="444">
        <v>89085</v>
      </c>
      <c r="N61" s="444"/>
    </row>
    <row r="62" spans="1:40" x14ac:dyDescent="0.35">
      <c r="A62" s="3" t="s">
        <v>663</v>
      </c>
      <c r="B62" s="210"/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>
        <v>21406</v>
      </c>
      <c r="N62" s="444"/>
    </row>
    <row r="63" spans="1:40" x14ac:dyDescent="0.35">
      <c r="A63" s="3" t="s">
        <v>967</v>
      </c>
      <c r="B63" s="210"/>
      <c r="C63" s="444"/>
      <c r="D63" s="444"/>
      <c r="E63" s="444"/>
      <c r="F63" s="444"/>
      <c r="G63" s="444"/>
      <c r="H63" s="444"/>
      <c r="I63" s="444"/>
      <c r="J63" s="444">
        <v>18802</v>
      </c>
      <c r="K63" s="444">
        <v>44947</v>
      </c>
      <c r="L63" s="444"/>
      <c r="M63" s="444">
        <v>11130</v>
      </c>
      <c r="N63" s="444"/>
    </row>
    <row r="64" spans="1:40" ht="15" thickBot="1" x14ac:dyDescent="0.4">
      <c r="A64" s="3" t="s">
        <v>366</v>
      </c>
      <c r="B64" s="210"/>
      <c r="C64" s="444">
        <v>1500</v>
      </c>
      <c r="D64" s="444">
        <v>16156</v>
      </c>
      <c r="E64" s="444">
        <v>17702</v>
      </c>
      <c r="F64" s="444">
        <v>13541</v>
      </c>
      <c r="G64" s="444">
        <v>13654</v>
      </c>
      <c r="H64" s="444">
        <v>6930</v>
      </c>
      <c r="I64" s="444">
        <v>1359</v>
      </c>
      <c r="J64" s="444">
        <v>6953</v>
      </c>
      <c r="K64" s="444">
        <v>8748</v>
      </c>
      <c r="L64" s="444">
        <v>293664</v>
      </c>
      <c r="M64" s="444">
        <v>16195</v>
      </c>
      <c r="N64" s="444">
        <v>287469</v>
      </c>
    </row>
    <row r="65" spans="1:40" ht="15" thickBot="1" x14ac:dyDescent="0.4">
      <c r="A65" s="205" t="s">
        <v>968</v>
      </c>
      <c r="B65" s="206"/>
      <c r="C65" s="207">
        <f>+C36+C50</f>
        <v>4391698</v>
      </c>
      <c r="D65" s="207">
        <f t="shared" ref="D65:M65" si="5">+D36+D50</f>
        <v>4610246</v>
      </c>
      <c r="E65" s="207">
        <f t="shared" si="5"/>
        <v>4799391</v>
      </c>
      <c r="F65" s="207">
        <f t="shared" si="5"/>
        <v>4977590</v>
      </c>
      <c r="G65" s="207">
        <f t="shared" si="5"/>
        <v>5149419</v>
      </c>
      <c r="H65" s="207">
        <f t="shared" si="5"/>
        <v>4953820</v>
      </c>
      <c r="I65" s="207">
        <f t="shared" si="5"/>
        <v>4945865</v>
      </c>
      <c r="J65" s="207">
        <f t="shared" si="5"/>
        <v>4974835</v>
      </c>
      <c r="K65" s="207">
        <f t="shared" si="5"/>
        <v>4943628</v>
      </c>
      <c r="L65" s="207">
        <f t="shared" si="5"/>
        <v>5010760</v>
      </c>
      <c r="M65" s="207">
        <f t="shared" si="5"/>
        <v>5328863</v>
      </c>
      <c r="N65" s="207">
        <f>+N36+N50</f>
        <v>4803342</v>
      </c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6"/>
      <c r="AJ65" s="446"/>
      <c r="AK65" s="446"/>
      <c r="AL65" s="446"/>
      <c r="AM65" s="446"/>
      <c r="AN65" s="446"/>
    </row>
    <row r="66" spans="1:40" x14ac:dyDescent="0.35">
      <c r="A66" s="533" t="s">
        <v>969</v>
      </c>
      <c r="B66" s="210"/>
      <c r="C66" s="534">
        <f t="shared" ref="C66:N66" si="6">+SUM(C67:C71,C73)</f>
        <v>2095419</v>
      </c>
      <c r="D66" s="534">
        <f t="shared" si="6"/>
        <v>2052327</v>
      </c>
      <c r="E66" s="534">
        <f t="shared" si="6"/>
        <v>1991211</v>
      </c>
      <c r="F66" s="534">
        <f t="shared" si="6"/>
        <v>1996511</v>
      </c>
      <c r="G66" s="534">
        <f t="shared" si="6"/>
        <v>1990015</v>
      </c>
      <c r="H66" s="534">
        <f t="shared" si="6"/>
        <v>1918932</v>
      </c>
      <c r="I66" s="534">
        <f t="shared" si="6"/>
        <v>1822037</v>
      </c>
      <c r="J66" s="534">
        <f t="shared" si="6"/>
        <v>1898249</v>
      </c>
      <c r="K66" s="534">
        <f t="shared" si="6"/>
        <v>1919434</v>
      </c>
      <c r="L66" s="534">
        <f t="shared" si="6"/>
        <v>2049811</v>
      </c>
      <c r="M66" s="534">
        <f t="shared" si="6"/>
        <v>2263521</v>
      </c>
      <c r="N66" s="534">
        <f t="shared" si="6"/>
        <v>1845475</v>
      </c>
    </row>
    <row r="67" spans="1:40" x14ac:dyDescent="0.35">
      <c r="A67" s="3" t="s">
        <v>372</v>
      </c>
      <c r="B67" s="210"/>
      <c r="C67" s="444">
        <v>2301821</v>
      </c>
      <c r="D67" s="444">
        <v>2301821</v>
      </c>
      <c r="E67" s="444">
        <v>2305617</v>
      </c>
      <c r="F67" s="444">
        <v>2305617</v>
      </c>
      <c r="G67" s="444">
        <v>2305848</v>
      </c>
      <c r="H67" s="444">
        <v>2525874</v>
      </c>
      <c r="I67" s="444">
        <v>2525874</v>
      </c>
      <c r="J67" s="444">
        <v>2525874</v>
      </c>
      <c r="K67" s="444">
        <v>2527185</v>
      </c>
      <c r="L67" s="444">
        <v>2752985</v>
      </c>
      <c r="M67" s="444">
        <v>2968173</v>
      </c>
      <c r="N67" s="444">
        <v>2471145</v>
      </c>
    </row>
    <row r="68" spans="1:40" x14ac:dyDescent="0.35">
      <c r="A68" s="3" t="s">
        <v>373</v>
      </c>
      <c r="B68" s="210"/>
      <c r="C68" s="444"/>
      <c r="D68" s="444"/>
      <c r="E68" s="444"/>
      <c r="F68" s="444"/>
      <c r="G68" s="444"/>
      <c r="H68" s="444"/>
      <c r="I68" s="444"/>
      <c r="J68" s="444"/>
      <c r="K68" s="444"/>
      <c r="L68" s="444">
        <v>-67421</v>
      </c>
      <c r="M68" s="444">
        <v>1981</v>
      </c>
      <c r="N68" s="444">
        <v>1981</v>
      </c>
    </row>
    <row r="69" spans="1:40" x14ac:dyDescent="0.35">
      <c r="A69" s="3" t="s">
        <v>374</v>
      </c>
      <c r="B69" s="210"/>
      <c r="C69" s="444">
        <v>2158</v>
      </c>
      <c r="D69" s="444">
        <v>2158</v>
      </c>
      <c r="E69" s="444">
        <v>-8</v>
      </c>
      <c r="F69" s="444">
        <v>-8</v>
      </c>
      <c r="G69" s="444">
        <v>207013</v>
      </c>
      <c r="H69" s="444">
        <v>1981</v>
      </c>
      <c r="I69" s="444">
        <v>1981</v>
      </c>
      <c r="J69" s="444">
        <v>1981</v>
      </c>
      <c r="K69" s="444">
        <v>-16568</v>
      </c>
      <c r="L69" s="444">
        <v>-41734</v>
      </c>
      <c r="M69" s="444">
        <v>-93411</v>
      </c>
      <c r="N69" s="444">
        <v>0</v>
      </c>
    </row>
    <row r="70" spans="1:40" x14ac:dyDescent="0.35">
      <c r="A70" s="3" t="s">
        <v>670</v>
      </c>
      <c r="B70" s="210"/>
      <c r="C70" s="444">
        <v>-210169</v>
      </c>
      <c r="D70" s="444">
        <v>-253259</v>
      </c>
      <c r="E70" s="444">
        <v>-314398</v>
      </c>
      <c r="F70" s="444">
        <v>-309098</v>
      </c>
      <c r="G70" s="444">
        <v>-522846</v>
      </c>
      <c r="H70" s="444">
        <v>-608923</v>
      </c>
      <c r="I70" s="444">
        <v>-705818</v>
      </c>
      <c r="J70" s="444">
        <v>-629606</v>
      </c>
      <c r="K70" s="444">
        <v>-591183</v>
      </c>
      <c r="L70" s="444">
        <v>-594019</v>
      </c>
      <c r="M70" s="444">
        <v>-684817</v>
      </c>
      <c r="N70" s="444">
        <v>-594014</v>
      </c>
    </row>
    <row r="71" spans="1:40" ht="15" thickBot="1" x14ac:dyDescent="0.4">
      <c r="A71" s="3" t="s">
        <v>285</v>
      </c>
      <c r="B71" s="210"/>
      <c r="C71" s="44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>
        <v>-33546</v>
      </c>
    </row>
    <row r="72" spans="1:40" ht="15" thickBot="1" x14ac:dyDescent="0.4">
      <c r="A72" s="205" t="s">
        <v>970</v>
      </c>
      <c r="B72" s="206"/>
      <c r="C72" s="207">
        <v>2093810</v>
      </c>
      <c r="D72" s="207">
        <v>2050720</v>
      </c>
      <c r="E72" s="207">
        <v>1991211</v>
      </c>
      <c r="F72" s="207">
        <v>1996511</v>
      </c>
      <c r="G72" s="207">
        <v>1990015</v>
      </c>
      <c r="H72" s="207">
        <v>1918932</v>
      </c>
      <c r="I72" s="207">
        <v>1822037</v>
      </c>
      <c r="J72" s="207">
        <f>J66</f>
        <v>1898249</v>
      </c>
      <c r="K72" s="207">
        <f>K66</f>
        <v>1919434</v>
      </c>
      <c r="L72" s="207">
        <f>L66</f>
        <v>2049811</v>
      </c>
      <c r="M72" s="207">
        <f>M66</f>
        <v>2263521</v>
      </c>
      <c r="N72" s="207">
        <f>N66</f>
        <v>1845475</v>
      </c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446"/>
      <c r="Z72" s="446"/>
      <c r="AA72" s="446"/>
      <c r="AB72" s="446"/>
      <c r="AC72" s="446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</row>
    <row r="73" spans="1:40" ht="15" thickBot="1" x14ac:dyDescent="0.4">
      <c r="A73" s="535" t="s">
        <v>971</v>
      </c>
      <c r="B73" s="210"/>
      <c r="C73" s="444">
        <v>1609</v>
      </c>
      <c r="D73" s="444">
        <v>1607</v>
      </c>
      <c r="E73" s="444">
        <v>0</v>
      </c>
      <c r="F73" s="444">
        <v>0</v>
      </c>
      <c r="G73" s="444">
        <v>0</v>
      </c>
      <c r="H73" s="444">
        <v>0</v>
      </c>
      <c r="I73" s="444">
        <v>0</v>
      </c>
      <c r="J73" s="444">
        <v>0</v>
      </c>
      <c r="K73" s="444">
        <v>0</v>
      </c>
      <c r="L73" s="444">
        <v>0</v>
      </c>
      <c r="M73" s="444">
        <v>71595</v>
      </c>
      <c r="N73" s="444">
        <v>-91</v>
      </c>
    </row>
    <row r="74" spans="1:40" ht="15" thickBot="1" x14ac:dyDescent="0.4">
      <c r="A74" s="205" t="s">
        <v>972</v>
      </c>
      <c r="B74" s="206"/>
      <c r="C74" s="207">
        <f>+C66+C65</f>
        <v>6487117</v>
      </c>
      <c r="D74" s="207">
        <f t="shared" ref="D74:M74" si="7">+D66+D65</f>
        <v>6662573</v>
      </c>
      <c r="E74" s="207">
        <f t="shared" si="7"/>
        <v>6790602</v>
      </c>
      <c r="F74" s="207">
        <f t="shared" si="7"/>
        <v>6974101</v>
      </c>
      <c r="G74" s="207">
        <f t="shared" si="7"/>
        <v>7139434</v>
      </c>
      <c r="H74" s="207">
        <f t="shared" si="7"/>
        <v>6872752</v>
      </c>
      <c r="I74" s="207">
        <f t="shared" si="7"/>
        <v>6767902</v>
      </c>
      <c r="J74" s="207">
        <f t="shared" si="7"/>
        <v>6873084</v>
      </c>
      <c r="K74" s="207">
        <f t="shared" si="7"/>
        <v>6863062</v>
      </c>
      <c r="L74" s="207">
        <f t="shared" si="7"/>
        <v>7060571</v>
      </c>
      <c r="M74" s="207">
        <f t="shared" si="7"/>
        <v>7592384</v>
      </c>
      <c r="N74" s="207">
        <f>+N66+N65</f>
        <v>6648817</v>
      </c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K74" s="446"/>
      <c r="AL74" s="446"/>
      <c r="AM74" s="446"/>
      <c r="AN74" s="446"/>
    </row>
    <row r="75" spans="1:40" x14ac:dyDescent="0.35">
      <c r="B75" s="206"/>
      <c r="C75" s="536">
        <f t="shared" ref="C75:J75" si="8">+C74-C33</f>
        <v>0</v>
      </c>
      <c r="D75" s="536">
        <f t="shared" si="8"/>
        <v>0</v>
      </c>
      <c r="E75" s="536">
        <f t="shared" si="8"/>
        <v>0</v>
      </c>
      <c r="F75" s="536">
        <f t="shared" si="8"/>
        <v>0</v>
      </c>
      <c r="G75" s="536">
        <f t="shared" si="8"/>
        <v>0</v>
      </c>
      <c r="H75" s="536">
        <f t="shared" si="8"/>
        <v>0</v>
      </c>
      <c r="I75" s="536">
        <f t="shared" si="8"/>
        <v>0</v>
      </c>
      <c r="J75" s="536">
        <f t="shared" si="8"/>
        <v>0</v>
      </c>
      <c r="K75" s="536">
        <f>+K74-K33</f>
        <v>670</v>
      </c>
      <c r="L75" s="536">
        <f>+L74-L33</f>
        <v>0</v>
      </c>
      <c r="M75" s="536">
        <f>+M74-M33</f>
        <v>0</v>
      </c>
      <c r="N75" s="536">
        <f>+N74-N33</f>
        <v>0</v>
      </c>
    </row>
    <row r="76" spans="1:40" x14ac:dyDescent="0.35">
      <c r="B76" s="210"/>
    </row>
    <row r="77" spans="1:40" x14ac:dyDescent="0.35">
      <c r="B77" s="210"/>
    </row>
    <row r="78" spans="1:40" x14ac:dyDescent="0.35">
      <c r="B78" s="210"/>
    </row>
    <row r="79" spans="1:40" x14ac:dyDescent="0.35">
      <c r="B79" s="210"/>
    </row>
    <row r="80" spans="1:40" x14ac:dyDescent="0.35">
      <c r="B80" s="210"/>
    </row>
    <row r="81" spans="2:2" x14ac:dyDescent="0.35">
      <c r="B81" s="210"/>
    </row>
    <row r="82" spans="2:2" x14ac:dyDescent="0.35">
      <c r="B82" s="210"/>
    </row>
    <row r="83" spans="2:2" x14ac:dyDescent="0.35">
      <c r="B83" s="210"/>
    </row>
    <row r="84" spans="2:2" x14ac:dyDescent="0.35">
      <c r="B84" s="210"/>
    </row>
    <row r="85" spans="2:2" x14ac:dyDescent="0.35">
      <c r="B85" s="210"/>
    </row>
    <row r="86" spans="2:2" x14ac:dyDescent="0.35">
      <c r="B86" s="206"/>
    </row>
    <row r="87" spans="2:2" x14ac:dyDescent="0.35">
      <c r="B87" s="206"/>
    </row>
    <row r="88" spans="2:2" x14ac:dyDescent="0.35">
      <c r="B88" s="210"/>
    </row>
    <row r="89" spans="2:2" x14ac:dyDescent="0.35">
      <c r="B89" s="210"/>
    </row>
    <row r="90" spans="2:2" x14ac:dyDescent="0.35">
      <c r="B90" s="210"/>
    </row>
    <row r="91" spans="2:2" x14ac:dyDescent="0.35">
      <c r="B91" s="210"/>
    </row>
    <row r="92" spans="2:2" x14ac:dyDescent="0.35">
      <c r="B92" s="210"/>
    </row>
    <row r="93" spans="2:2" x14ac:dyDescent="0.35">
      <c r="B93" s="206"/>
    </row>
  </sheetData>
  <pageMargins left="0.511811024" right="0.511811024" top="0.78740157499999996" bottom="0.78740157499999996" header="0.31496062000000002" footer="0.3149606200000000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61770-F6AA-4DD3-950C-25AA06B2F778}">
  <sheetPr>
    <tabColor theme="9" tint="0.79998168889431442"/>
  </sheetPr>
  <dimension ref="A4:AD92"/>
  <sheetViews>
    <sheetView showGridLines="0" zoomScale="85" zoomScaleNormal="85" workbookViewId="0">
      <pane xSplit="1" ySplit="7" topLeftCell="B8" activePane="bottomRight" state="frozen"/>
      <selection activeCell="K21" sqref="K21"/>
      <selection pane="topRight" activeCell="K21" sqref="K21"/>
      <selection pane="bottomLeft" activeCell="K21" sqref="K21"/>
      <selection pane="bottomRight" activeCell="Z15" sqref="Z15"/>
    </sheetView>
  </sheetViews>
  <sheetFormatPr defaultColWidth="9.1796875" defaultRowHeight="14.5" outlineLevelCol="1" x14ac:dyDescent="0.35"/>
  <cols>
    <col min="1" max="1" width="40.7265625" style="37" bestFit="1" customWidth="1"/>
    <col min="2" max="2" width="2.7265625" customWidth="1"/>
    <col min="3" max="14" width="0" style="37" hidden="1" customWidth="1" outlineLevel="1"/>
    <col min="15" max="22" width="11.26953125" style="37" hidden="1" customWidth="1" outlineLevel="1"/>
    <col min="23" max="23" width="11.26953125" style="37" bestFit="1" customWidth="1" collapsed="1"/>
    <col min="24" max="29" width="11.26953125" style="37" bestFit="1" customWidth="1"/>
    <col min="30" max="16384" width="9.1796875" style="37"/>
  </cols>
  <sheetData>
    <row r="4" spans="1:29" x14ac:dyDescent="0.35">
      <c r="AB4" s="114"/>
      <c r="AC4" s="114"/>
    </row>
    <row r="5" spans="1:29" x14ac:dyDescent="0.35">
      <c r="AB5" s="114"/>
      <c r="AC5" s="114"/>
    </row>
    <row r="6" spans="1:29" x14ac:dyDescent="0.35">
      <c r="A6" s="41" t="s">
        <v>641</v>
      </c>
      <c r="B6" s="168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5" thickBot="1" x14ac:dyDescent="0.4">
      <c r="A7" s="5" t="s">
        <v>646</v>
      </c>
      <c r="B7" s="445"/>
      <c r="C7" s="573" t="s">
        <v>57</v>
      </c>
      <c r="D7" s="573" t="s">
        <v>58</v>
      </c>
      <c r="E7" s="573" t="s">
        <v>59</v>
      </c>
      <c r="F7" s="573" t="s">
        <v>60</v>
      </c>
      <c r="G7" s="573" t="s">
        <v>61</v>
      </c>
      <c r="H7" s="573" t="s">
        <v>62</v>
      </c>
      <c r="I7" s="573" t="s">
        <v>63</v>
      </c>
      <c r="J7" s="573" t="s">
        <v>64</v>
      </c>
      <c r="K7" s="573" t="s">
        <v>65</v>
      </c>
      <c r="L7" s="573" t="s">
        <v>66</v>
      </c>
      <c r="M7" s="573" t="s">
        <v>67</v>
      </c>
      <c r="N7" s="573" t="s">
        <v>68</v>
      </c>
      <c r="O7" s="573" t="s">
        <v>69</v>
      </c>
      <c r="P7" s="573" t="s">
        <v>70</v>
      </c>
      <c r="Q7" s="573" t="s">
        <v>71</v>
      </c>
      <c r="R7" s="573" t="s">
        <v>72</v>
      </c>
      <c r="S7" s="573" t="s">
        <v>73</v>
      </c>
      <c r="T7" s="573" t="s">
        <v>74</v>
      </c>
      <c r="U7" s="573" t="s">
        <v>75</v>
      </c>
      <c r="V7" s="573" t="s">
        <v>76</v>
      </c>
      <c r="W7" s="573" t="s">
        <v>77</v>
      </c>
      <c r="X7" s="573" t="s">
        <v>78</v>
      </c>
      <c r="Y7" s="573" t="s">
        <v>79</v>
      </c>
      <c r="Z7" s="573" t="s">
        <v>80</v>
      </c>
      <c r="AA7" s="573" t="s">
        <v>81</v>
      </c>
      <c r="AB7" s="573" t="s">
        <v>82</v>
      </c>
      <c r="AC7" s="573" t="s">
        <v>83</v>
      </c>
    </row>
    <row r="8" spans="1:29" ht="15" thickBot="1" x14ac:dyDescent="0.4">
      <c r="A8" s="213" t="s">
        <v>316</v>
      </c>
      <c r="B8" s="446"/>
      <c r="C8" s="214">
        <f t="shared" ref="C8:AB8" si="0">SUM(C9:C24)</f>
        <v>24357</v>
      </c>
      <c r="D8" s="214">
        <f t="shared" si="0"/>
        <v>9004</v>
      </c>
      <c r="E8" s="214">
        <f t="shared" si="0"/>
        <v>9301</v>
      </c>
      <c r="F8" s="214">
        <f t="shared" si="0"/>
        <v>33245</v>
      </c>
      <c r="G8" s="214">
        <f t="shared" si="0"/>
        <v>264051</v>
      </c>
      <c r="H8" s="214">
        <f t="shared" si="0"/>
        <v>404214</v>
      </c>
      <c r="I8" s="214">
        <f t="shared" si="0"/>
        <v>729284</v>
      </c>
      <c r="J8" s="214">
        <f t="shared" si="0"/>
        <v>892508</v>
      </c>
      <c r="K8" s="214">
        <f t="shared" si="0"/>
        <v>682104</v>
      </c>
      <c r="L8" s="214">
        <f t="shared" si="0"/>
        <v>1260962</v>
      </c>
      <c r="M8" s="214">
        <f t="shared" si="0"/>
        <v>646705</v>
      </c>
      <c r="N8" s="214">
        <f t="shared" si="0"/>
        <v>1146057</v>
      </c>
      <c r="O8" s="214">
        <f t="shared" si="0"/>
        <v>1377596</v>
      </c>
      <c r="P8" s="214">
        <f t="shared" si="0"/>
        <v>1354549</v>
      </c>
      <c r="Q8" s="214">
        <f t="shared" si="0"/>
        <v>1173388</v>
      </c>
      <c r="R8" s="214">
        <f t="shared" si="0"/>
        <v>1005896.72413</v>
      </c>
      <c r="S8" s="214">
        <f>SUM(S9:S24)</f>
        <v>1288765.0695</v>
      </c>
      <c r="T8" s="214">
        <f t="shared" si="0"/>
        <v>1547021.44035</v>
      </c>
      <c r="U8" s="214">
        <f t="shared" si="0"/>
        <v>1675742</v>
      </c>
      <c r="V8" s="214">
        <f t="shared" si="0"/>
        <v>2023256</v>
      </c>
      <c r="W8" s="214">
        <f t="shared" si="0"/>
        <v>2724000</v>
      </c>
      <c r="X8" s="214">
        <f t="shared" si="0"/>
        <v>2705826</v>
      </c>
      <c r="Y8" s="214">
        <f t="shared" si="0"/>
        <v>3060627</v>
      </c>
      <c r="Z8" s="214">
        <f t="shared" si="0"/>
        <v>3089329</v>
      </c>
      <c r="AA8" s="214">
        <f t="shared" si="0"/>
        <v>3237648</v>
      </c>
      <c r="AB8" s="214">
        <f t="shared" si="0"/>
        <v>3106598</v>
      </c>
      <c r="AC8" s="214">
        <f>SUM(AC9:AC24)</f>
        <v>4085930</v>
      </c>
    </row>
    <row r="9" spans="1:29" x14ac:dyDescent="0.35">
      <c r="A9" s="209" t="s">
        <v>317</v>
      </c>
      <c r="B9" s="447"/>
      <c r="C9" s="225">
        <v>24280</v>
      </c>
      <c r="D9" s="225">
        <v>3555</v>
      </c>
      <c r="E9" s="225">
        <v>8622</v>
      </c>
      <c r="F9" s="225">
        <v>32459</v>
      </c>
      <c r="G9" s="225">
        <v>262899</v>
      </c>
      <c r="H9" s="225">
        <v>400707</v>
      </c>
      <c r="I9" s="225">
        <v>723289</v>
      </c>
      <c r="J9" s="225">
        <v>874781</v>
      </c>
      <c r="K9" s="225">
        <v>652646</v>
      </c>
      <c r="L9" s="225">
        <f>2255+1129310</f>
        <v>1131565</v>
      </c>
      <c r="M9" s="225">
        <v>471899</v>
      </c>
      <c r="N9" s="225">
        <f>612118+2073</f>
        <v>614191</v>
      </c>
      <c r="O9" s="225">
        <v>938</v>
      </c>
      <c r="P9" s="225">
        <v>1981</v>
      </c>
      <c r="Q9" s="225">
        <v>134</v>
      </c>
      <c r="R9" s="225">
        <v>-17.613050000000019</v>
      </c>
      <c r="S9" s="225">
        <v>311.47853999999995</v>
      </c>
      <c r="T9" s="225">
        <v>562.66906000000006</v>
      </c>
      <c r="U9" s="225">
        <v>46746</v>
      </c>
      <c r="V9" s="225">
        <v>51845</v>
      </c>
      <c r="W9" s="225">
        <v>457000</v>
      </c>
      <c r="X9" s="225">
        <v>617509</v>
      </c>
      <c r="Y9" s="225">
        <v>652930.00000000012</v>
      </c>
      <c r="Z9" s="225">
        <v>826673</v>
      </c>
      <c r="AA9" s="225">
        <v>470439</v>
      </c>
      <c r="AB9" s="225">
        <v>855054</v>
      </c>
      <c r="AC9" s="225">
        <v>1083203</v>
      </c>
    </row>
    <row r="10" spans="1:29" x14ac:dyDescent="0.35">
      <c r="A10" s="209" t="s">
        <v>559</v>
      </c>
      <c r="B10" s="447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>
        <v>487871</v>
      </c>
      <c r="P10" s="225">
        <v>492207</v>
      </c>
      <c r="Q10" s="225">
        <v>368798</v>
      </c>
      <c r="R10" s="225">
        <v>282432.70522</v>
      </c>
      <c r="S10" s="225">
        <v>243340.59095999997</v>
      </c>
      <c r="T10" s="225">
        <v>297648.80634999997</v>
      </c>
      <c r="U10" s="225">
        <v>446433</v>
      </c>
      <c r="V10" s="225">
        <v>552073</v>
      </c>
      <c r="W10" s="225">
        <v>750000</v>
      </c>
      <c r="X10" s="225">
        <v>579214</v>
      </c>
      <c r="Y10" s="225">
        <v>657577</v>
      </c>
      <c r="Z10" s="225">
        <v>500293</v>
      </c>
      <c r="AA10" s="225">
        <v>882052.99999999988</v>
      </c>
      <c r="AB10" s="225">
        <v>501783</v>
      </c>
      <c r="AC10" s="225">
        <v>1074377</v>
      </c>
    </row>
    <row r="11" spans="1:29" x14ac:dyDescent="0.35">
      <c r="A11" s="209" t="s">
        <v>647</v>
      </c>
      <c r="B11" s="447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>
        <v>21585</v>
      </c>
      <c r="P11" s="225">
        <v>26295</v>
      </c>
      <c r="Q11" s="225">
        <v>31619</v>
      </c>
      <c r="R11" s="225">
        <v>63840.168339999997</v>
      </c>
      <c r="S11" s="225">
        <v>82684</v>
      </c>
      <c r="T11" s="225">
        <v>100914.10228000001</v>
      </c>
      <c r="U11" s="225">
        <v>96743</v>
      </c>
      <c r="V11" s="225">
        <v>121943</v>
      </c>
      <c r="W11" s="225">
        <v>235000</v>
      </c>
      <c r="X11" s="225">
        <v>236004.00000000003</v>
      </c>
      <c r="Y11" s="225">
        <v>248246</v>
      </c>
      <c r="Z11" s="225">
        <v>252134</v>
      </c>
      <c r="AA11" s="225">
        <v>233410</v>
      </c>
      <c r="AB11" s="225">
        <v>244843</v>
      </c>
      <c r="AC11" s="225">
        <v>287241</v>
      </c>
    </row>
    <row r="12" spans="1:29" x14ac:dyDescent="0.35">
      <c r="A12" s="209" t="s">
        <v>648</v>
      </c>
      <c r="B12" s="447"/>
      <c r="C12" s="225">
        <v>0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/>
      <c r="K12" s="225">
        <v>0</v>
      </c>
      <c r="L12" s="225"/>
      <c r="M12" s="225">
        <v>4663</v>
      </c>
      <c r="N12" s="225"/>
      <c r="O12" s="225"/>
      <c r="P12" s="225"/>
      <c r="Q12" s="225"/>
      <c r="R12" s="225"/>
      <c r="S12" s="225"/>
      <c r="T12" s="225">
        <v>1029848</v>
      </c>
      <c r="U12" s="225">
        <v>960733</v>
      </c>
      <c r="V12" s="225">
        <v>1212314</v>
      </c>
      <c r="W12" s="225">
        <v>1091000</v>
      </c>
      <c r="X12" s="225">
        <v>1067371</v>
      </c>
      <c r="Y12" s="225">
        <v>1245047</v>
      </c>
      <c r="Z12" s="225">
        <v>1238435</v>
      </c>
      <c r="AA12" s="225">
        <v>1229181</v>
      </c>
      <c r="AB12" s="225">
        <v>1287137</v>
      </c>
      <c r="AC12" s="225">
        <v>1399388</v>
      </c>
    </row>
    <row r="13" spans="1:29" x14ac:dyDescent="0.35">
      <c r="A13" s="209" t="s">
        <v>649</v>
      </c>
      <c r="B13" s="447"/>
      <c r="C13" s="225">
        <v>0</v>
      </c>
      <c r="D13" s="225">
        <v>0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/>
      <c r="K13" s="225">
        <v>0</v>
      </c>
      <c r="L13" s="225"/>
      <c r="M13" s="225"/>
      <c r="N13" s="225"/>
      <c r="O13" s="225"/>
      <c r="P13" s="225"/>
      <c r="Q13" s="225"/>
      <c r="R13" s="225">
        <v>16041.235810000004</v>
      </c>
      <c r="S13" s="225"/>
      <c r="T13" s="225">
        <v>38642.601519999989</v>
      </c>
      <c r="U13" s="225">
        <v>48657</v>
      </c>
      <c r="V13" s="225"/>
      <c r="W13" s="225">
        <v>92000</v>
      </c>
      <c r="X13" s="225">
        <v>0</v>
      </c>
      <c r="Y13" s="225">
        <v>114150</v>
      </c>
      <c r="Z13" s="225"/>
      <c r="AA13" s="225">
        <v>125919.99999999999</v>
      </c>
      <c r="AB13" s="225"/>
      <c r="AC13" s="225"/>
    </row>
    <row r="14" spans="1:29" x14ac:dyDescent="0.35">
      <c r="A14" s="209" t="s">
        <v>322</v>
      </c>
      <c r="B14" s="447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>
        <v>3119</v>
      </c>
      <c r="AC14" s="225">
        <v>3186</v>
      </c>
    </row>
    <row r="15" spans="1:29" x14ac:dyDescent="0.35">
      <c r="A15" s="209" t="s">
        <v>650</v>
      </c>
      <c r="B15" s="447"/>
      <c r="C15" s="225">
        <v>0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/>
      <c r="K15" s="225">
        <v>0</v>
      </c>
      <c r="L15" s="225"/>
      <c r="M15" s="225"/>
      <c r="N15" s="225"/>
      <c r="O15" s="225"/>
      <c r="P15" s="225"/>
      <c r="Q15" s="225"/>
      <c r="R15" s="225">
        <v>97624.034360000005</v>
      </c>
      <c r="S15" s="225"/>
      <c r="T15" s="225"/>
      <c r="U15" s="225">
        <v>39910</v>
      </c>
      <c r="V15" s="225"/>
      <c r="W15" s="225">
        <v>44000</v>
      </c>
      <c r="X15" s="225">
        <v>0</v>
      </c>
      <c r="Y15" s="225">
        <v>0</v>
      </c>
      <c r="Z15" s="225"/>
      <c r="AA15" s="225">
        <v>3058</v>
      </c>
      <c r="AB15" s="225"/>
      <c r="AC15" s="225"/>
    </row>
    <row r="16" spans="1:29" x14ac:dyDescent="0.35">
      <c r="A16" s="209" t="s">
        <v>332</v>
      </c>
      <c r="B16" s="447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>
        <v>262.76008000002093</v>
      </c>
      <c r="U16" s="225"/>
      <c r="V16" s="225"/>
      <c r="W16" s="225"/>
      <c r="X16" s="225">
        <v>0</v>
      </c>
      <c r="Y16" s="448">
        <v>-378.00000000000011</v>
      </c>
      <c r="Z16" s="448"/>
      <c r="AA16" s="448"/>
      <c r="AB16" s="448">
        <v>0</v>
      </c>
      <c r="AC16" s="225"/>
    </row>
    <row r="17" spans="1:29" x14ac:dyDescent="0.35">
      <c r="A17" s="209" t="s">
        <v>325</v>
      </c>
      <c r="B17" s="447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448"/>
      <c r="Z17" s="448"/>
      <c r="AA17" s="448"/>
      <c r="AB17" s="448"/>
      <c r="AC17" s="225">
        <v>34455</v>
      </c>
    </row>
    <row r="18" spans="1:29" x14ac:dyDescent="0.35">
      <c r="A18" s="209" t="s">
        <v>385</v>
      </c>
      <c r="B18" s="447"/>
      <c r="C18" s="225">
        <v>0</v>
      </c>
      <c r="D18" s="225">
        <v>2313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>
        <v>10000</v>
      </c>
      <c r="X18" s="225"/>
      <c r="Y18" s="225">
        <v>16834</v>
      </c>
      <c r="Z18" s="225">
        <v>16953</v>
      </c>
      <c r="AA18" s="225">
        <v>16528</v>
      </c>
      <c r="AB18" s="225">
        <v>22360</v>
      </c>
      <c r="AC18" s="225">
        <v>38348</v>
      </c>
    </row>
    <row r="19" spans="1:29" x14ac:dyDescent="0.35">
      <c r="A19" s="209" t="s">
        <v>327</v>
      </c>
      <c r="B19" s="447"/>
      <c r="C19" s="225">
        <v>0</v>
      </c>
      <c r="D19" s="225">
        <v>0</v>
      </c>
      <c r="E19" s="225">
        <v>0</v>
      </c>
      <c r="F19" s="225">
        <v>0</v>
      </c>
      <c r="G19" s="225">
        <v>142</v>
      </c>
      <c r="H19" s="225">
        <v>202</v>
      </c>
      <c r="I19" s="225">
        <v>202</v>
      </c>
      <c r="J19" s="225">
        <v>3078</v>
      </c>
      <c r="K19" s="225">
        <v>206</v>
      </c>
      <c r="L19" s="225">
        <v>10517</v>
      </c>
      <c r="M19" s="225">
        <v>706</v>
      </c>
      <c r="N19" s="225">
        <v>1310</v>
      </c>
      <c r="O19" s="225">
        <v>3121</v>
      </c>
      <c r="P19" s="225">
        <v>3805</v>
      </c>
      <c r="Q19" s="225">
        <v>3783</v>
      </c>
      <c r="R19" s="225"/>
      <c r="S19" s="225">
        <v>3968</v>
      </c>
      <c r="T19" s="225"/>
      <c r="U19" s="225"/>
      <c r="V19" s="225">
        <v>4087</v>
      </c>
      <c r="W19" s="225"/>
      <c r="X19" s="225">
        <v>10990</v>
      </c>
      <c r="Y19" s="225"/>
      <c r="Z19" s="225">
        <v>11239</v>
      </c>
      <c r="AA19" s="225"/>
      <c r="AB19" s="225">
        <v>14024</v>
      </c>
      <c r="AC19" s="225">
        <v>14703</v>
      </c>
    </row>
    <row r="20" spans="1:29" x14ac:dyDescent="0.35">
      <c r="A20" s="209" t="s">
        <v>328</v>
      </c>
      <c r="B20" s="447"/>
      <c r="C20" s="225">
        <v>0</v>
      </c>
      <c r="D20" s="225">
        <v>9</v>
      </c>
      <c r="E20" s="225">
        <v>30</v>
      </c>
      <c r="F20" s="225">
        <v>77</v>
      </c>
      <c r="G20" s="225">
        <v>258</v>
      </c>
      <c r="H20" s="225">
        <v>1071</v>
      </c>
      <c r="I20" s="225">
        <v>1788</v>
      </c>
      <c r="J20" s="225">
        <v>4773</v>
      </c>
      <c r="K20" s="225">
        <v>7427</v>
      </c>
      <c r="L20" s="225">
        <v>9724</v>
      </c>
      <c r="M20" s="225">
        <v>12473</v>
      </c>
      <c r="N20" s="225">
        <v>7527</v>
      </c>
      <c r="O20" s="225">
        <v>7860</v>
      </c>
      <c r="P20" s="225">
        <v>13864</v>
      </c>
      <c r="Q20" s="225">
        <v>13855</v>
      </c>
      <c r="R20" s="225"/>
      <c r="S20" s="225">
        <v>10963</v>
      </c>
      <c r="T20" s="225"/>
      <c r="U20" s="225"/>
      <c r="V20" s="225">
        <v>50590</v>
      </c>
      <c r="W20" s="225"/>
      <c r="X20" s="225">
        <v>89378</v>
      </c>
      <c r="Y20" s="225"/>
      <c r="Z20" s="225">
        <v>122107</v>
      </c>
      <c r="AA20" s="225"/>
      <c r="AB20" s="225">
        <v>99733</v>
      </c>
      <c r="AC20" s="225">
        <v>84195</v>
      </c>
    </row>
    <row r="21" spans="1:29" x14ac:dyDescent="0.35">
      <c r="A21" s="209" t="s">
        <v>388</v>
      </c>
      <c r="B21" s="447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>
        <v>522074</v>
      </c>
      <c r="O21" s="225">
        <v>539523</v>
      </c>
      <c r="P21" s="225">
        <v>539529</v>
      </c>
      <c r="Q21" s="225">
        <v>539523</v>
      </c>
      <c r="R21" s="225">
        <v>539522.01609000005</v>
      </c>
      <c r="S21" s="225">
        <v>894487</v>
      </c>
      <c r="T21" s="225">
        <v>39007.652040000001</v>
      </c>
      <c r="U21" s="225"/>
      <c r="V21" s="225"/>
      <c r="W21" s="225"/>
      <c r="X21" s="225">
        <v>0</v>
      </c>
      <c r="Y21" s="225"/>
      <c r="Z21" s="225"/>
      <c r="AA21" s="225"/>
      <c r="AB21" s="225"/>
      <c r="AC21" s="225"/>
    </row>
    <row r="22" spans="1:29" x14ac:dyDescent="0.35">
      <c r="A22" s="209" t="s">
        <v>651</v>
      </c>
      <c r="B22" s="447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>
        <v>12206</v>
      </c>
      <c r="AC22" s="225">
        <v>11691</v>
      </c>
    </row>
    <row r="23" spans="1:29" x14ac:dyDescent="0.35">
      <c r="A23" s="209" t="s">
        <v>652</v>
      </c>
      <c r="B23" s="447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>
        <v>47581</v>
      </c>
      <c r="T23" s="225"/>
      <c r="U23" s="225"/>
      <c r="V23" s="225">
        <v>19100</v>
      </c>
      <c r="W23" s="225"/>
      <c r="X23" s="225">
        <v>45493</v>
      </c>
      <c r="Y23" s="225">
        <v>52803.999999999993</v>
      </c>
      <c r="Z23" s="225">
        <v>2918</v>
      </c>
      <c r="AA23" s="225">
        <v>56137</v>
      </c>
      <c r="AB23" s="225"/>
      <c r="AC23" s="225"/>
    </row>
    <row r="24" spans="1:29" ht="15" thickBot="1" x14ac:dyDescent="0.4">
      <c r="A24" s="209" t="s">
        <v>653</v>
      </c>
      <c r="B24" s="447"/>
      <c r="C24" s="225">
        <v>77</v>
      </c>
      <c r="D24" s="225">
        <v>3127</v>
      </c>
      <c r="E24" s="225">
        <v>649</v>
      </c>
      <c r="F24" s="225">
        <v>709</v>
      </c>
      <c r="G24" s="225">
        <v>752</v>
      </c>
      <c r="H24" s="225">
        <v>2234</v>
      </c>
      <c r="I24" s="225">
        <v>4005</v>
      </c>
      <c r="J24" s="225">
        <v>9876</v>
      </c>
      <c r="K24" s="225">
        <v>21825</v>
      </c>
      <c r="L24" s="225">
        <v>109156</v>
      </c>
      <c r="M24" s="225">
        <v>156964</v>
      </c>
      <c r="N24" s="225">
        <f>955</f>
        <v>955</v>
      </c>
      <c r="O24" s="225">
        <v>316698</v>
      </c>
      <c r="P24" s="225">
        <v>276868</v>
      </c>
      <c r="Q24" s="225">
        <v>215676</v>
      </c>
      <c r="R24" s="225">
        <v>6454.1773599999988</v>
      </c>
      <c r="S24" s="225">
        <v>5430</v>
      </c>
      <c r="T24" s="225">
        <v>40134.849019999994</v>
      </c>
      <c r="U24" s="225">
        <v>36519.999999999993</v>
      </c>
      <c r="V24" s="225">
        <v>11304</v>
      </c>
      <c r="W24" s="225">
        <v>45000</v>
      </c>
      <c r="X24" s="225">
        <v>59867</v>
      </c>
      <c r="Y24" s="225">
        <v>73417</v>
      </c>
      <c r="Z24" s="225">
        <v>118577</v>
      </c>
      <c r="AA24" s="225">
        <v>220922</v>
      </c>
      <c r="AB24" s="225">
        <v>66339</v>
      </c>
      <c r="AC24" s="225">
        <v>55143</v>
      </c>
    </row>
    <row r="25" spans="1:29" ht="15" thickBot="1" x14ac:dyDescent="0.4">
      <c r="A25" s="213" t="s">
        <v>333</v>
      </c>
      <c r="B25" s="446"/>
      <c r="C25" s="214">
        <f t="shared" ref="C25:AB25" si="1">+C26+C36</f>
        <v>0</v>
      </c>
      <c r="D25" s="214">
        <f t="shared" si="1"/>
        <v>62105</v>
      </c>
      <c r="E25" s="214">
        <f t="shared" si="1"/>
        <v>105035</v>
      </c>
      <c r="F25" s="214">
        <f t="shared" si="1"/>
        <v>265181</v>
      </c>
      <c r="G25" s="214">
        <f t="shared" si="1"/>
        <v>370557</v>
      </c>
      <c r="H25" s="214">
        <f t="shared" si="1"/>
        <v>500952</v>
      </c>
      <c r="I25" s="214">
        <f t="shared" si="1"/>
        <v>714460</v>
      </c>
      <c r="J25" s="214">
        <f t="shared" si="1"/>
        <v>1372972</v>
      </c>
      <c r="K25" s="214">
        <f t="shared" si="1"/>
        <v>2282515</v>
      </c>
      <c r="L25" s="214">
        <f t="shared" si="1"/>
        <v>3311726</v>
      </c>
      <c r="M25" s="214">
        <f t="shared" si="1"/>
        <v>4705114</v>
      </c>
      <c r="N25" s="214">
        <f t="shared" si="1"/>
        <v>6208259</v>
      </c>
      <c r="O25" s="214">
        <f t="shared" si="1"/>
        <v>6829014</v>
      </c>
      <c r="P25" s="214">
        <f t="shared" si="1"/>
        <v>7359980</v>
      </c>
      <c r="Q25" s="214">
        <f t="shared" si="1"/>
        <v>7902355</v>
      </c>
      <c r="R25" s="214">
        <f t="shared" si="1"/>
        <v>8501681.7630300019</v>
      </c>
      <c r="S25" s="214">
        <f t="shared" si="1"/>
        <v>8270307.4796500001</v>
      </c>
      <c r="T25" s="214">
        <f t="shared" si="1"/>
        <v>8217936.1825200003</v>
      </c>
      <c r="U25" s="214">
        <f t="shared" si="1"/>
        <v>8359026.9709699992</v>
      </c>
      <c r="V25" s="214">
        <f t="shared" si="1"/>
        <v>8274367</v>
      </c>
      <c r="W25" s="214">
        <f t="shared" si="1"/>
        <v>19818000</v>
      </c>
      <c r="X25" s="214">
        <f t="shared" si="1"/>
        <v>19613431</v>
      </c>
      <c r="Y25" s="214">
        <f t="shared" si="1"/>
        <v>19522176</v>
      </c>
      <c r="Z25" s="214">
        <f t="shared" si="1"/>
        <v>19531105</v>
      </c>
      <c r="AA25" s="214">
        <f t="shared" si="1"/>
        <v>19529851</v>
      </c>
      <c r="AB25" s="214">
        <f t="shared" si="1"/>
        <v>20240703</v>
      </c>
      <c r="AC25" s="214">
        <f>+AC26+AC36</f>
        <v>21250852</v>
      </c>
    </row>
    <row r="26" spans="1:29" ht="15" thickBot="1" x14ac:dyDescent="0.4">
      <c r="A26" s="213" t="s">
        <v>334</v>
      </c>
      <c r="B26" s="446"/>
      <c r="C26" s="214">
        <f t="shared" ref="C26:AB26" si="2">SUM(C27:C35)</f>
        <v>0</v>
      </c>
      <c r="D26" s="214">
        <f t="shared" si="2"/>
        <v>0</v>
      </c>
      <c r="E26" s="214">
        <f t="shared" si="2"/>
        <v>12719</v>
      </c>
      <c r="F26" s="214">
        <f t="shared" si="2"/>
        <v>155557</v>
      </c>
      <c r="G26" s="214">
        <f t="shared" si="2"/>
        <v>300590</v>
      </c>
      <c r="H26" s="214">
        <f t="shared" si="2"/>
        <v>405381</v>
      </c>
      <c r="I26" s="214">
        <f t="shared" si="2"/>
        <v>546109</v>
      </c>
      <c r="J26" s="214">
        <f t="shared" si="2"/>
        <v>1114199</v>
      </c>
      <c r="K26" s="214">
        <f t="shared" si="2"/>
        <v>2273617</v>
      </c>
      <c r="L26" s="214">
        <f t="shared" si="2"/>
        <v>3302553</v>
      </c>
      <c r="M26" s="214">
        <f t="shared" si="2"/>
        <v>4695717</v>
      </c>
      <c r="N26" s="214">
        <f t="shared" si="2"/>
        <v>6198708</v>
      </c>
      <c r="O26" s="214">
        <f t="shared" si="2"/>
        <v>6820856</v>
      </c>
      <c r="P26" s="214">
        <f t="shared" si="2"/>
        <v>7351827</v>
      </c>
      <c r="Q26" s="214">
        <f t="shared" si="2"/>
        <v>7891978</v>
      </c>
      <c r="R26" s="214">
        <f t="shared" si="2"/>
        <v>8491276.2002600022</v>
      </c>
      <c r="S26" s="214">
        <f t="shared" si="2"/>
        <v>8257910.66873</v>
      </c>
      <c r="T26" s="214">
        <f t="shared" si="2"/>
        <v>8206174.2815399999</v>
      </c>
      <c r="U26" s="214">
        <f t="shared" si="2"/>
        <v>8350633.9999999991</v>
      </c>
      <c r="V26" s="214">
        <f t="shared" si="2"/>
        <v>8262413</v>
      </c>
      <c r="W26" s="214">
        <f t="shared" si="2"/>
        <v>9085000</v>
      </c>
      <c r="X26" s="214">
        <f t="shared" si="2"/>
        <v>9217286</v>
      </c>
      <c r="Y26" s="214">
        <f t="shared" si="2"/>
        <v>9001278</v>
      </c>
      <c r="Z26" s="214">
        <f t="shared" si="2"/>
        <v>9136854</v>
      </c>
      <c r="AA26" s="214">
        <f t="shared" si="2"/>
        <v>9253020</v>
      </c>
      <c r="AB26" s="214">
        <f t="shared" si="2"/>
        <v>9295443</v>
      </c>
      <c r="AC26" s="214">
        <f>SUM(AC27:AC35)</f>
        <v>9362193</v>
      </c>
    </row>
    <row r="27" spans="1:29" x14ac:dyDescent="0.35">
      <c r="A27" s="209" t="s">
        <v>327</v>
      </c>
      <c r="B27" s="447"/>
      <c r="C27" s="225">
        <v>0</v>
      </c>
      <c r="D27" s="225">
        <v>0</v>
      </c>
      <c r="E27" s="225">
        <v>102</v>
      </c>
      <c r="F27" s="225">
        <v>102</v>
      </c>
      <c r="G27" s="225">
        <v>153</v>
      </c>
      <c r="H27" s="225">
        <v>233</v>
      </c>
      <c r="I27" s="225">
        <v>284</v>
      </c>
      <c r="J27" s="225">
        <v>5430</v>
      </c>
      <c r="K27" s="225">
        <v>17427</v>
      </c>
      <c r="L27" s="225">
        <v>15</v>
      </c>
      <c r="M27" s="225">
        <v>58</v>
      </c>
      <c r="N27" s="225">
        <v>6397</v>
      </c>
      <c r="O27" s="225">
        <v>7010</v>
      </c>
      <c r="P27" s="225">
        <v>7010</v>
      </c>
      <c r="Q27" s="225">
        <v>7010</v>
      </c>
      <c r="R27" s="225">
        <v>7009.5854799999988</v>
      </c>
      <c r="S27" s="225">
        <f>6980+30</f>
        <v>7010</v>
      </c>
      <c r="T27" s="225">
        <v>7009.5854799999988</v>
      </c>
      <c r="U27" s="225">
        <v>6000</v>
      </c>
      <c r="V27" s="225">
        <v>7010.0000000000009</v>
      </c>
      <c r="W27" s="225">
        <v>6000</v>
      </c>
      <c r="X27" s="225">
        <v>7010.0000000000009</v>
      </c>
      <c r="Y27" s="225">
        <v>7011.0000000000009</v>
      </c>
      <c r="Z27" s="225">
        <v>7010</v>
      </c>
      <c r="AA27" s="225">
        <v>7011.0000000000009</v>
      </c>
      <c r="AB27" s="225">
        <v>418</v>
      </c>
      <c r="AC27" s="225">
        <v>419</v>
      </c>
    </row>
    <row r="28" spans="1:29" x14ac:dyDescent="0.35">
      <c r="A28" s="209" t="s">
        <v>647</v>
      </c>
      <c r="B28" s="447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>
        <v>28390</v>
      </c>
      <c r="AC28" s="225">
        <v>36210</v>
      </c>
    </row>
    <row r="29" spans="1:29" x14ac:dyDescent="0.35">
      <c r="A29" s="209" t="s">
        <v>654</v>
      </c>
      <c r="B29" s="447"/>
      <c r="C29" s="225">
        <v>0</v>
      </c>
      <c r="D29" s="225">
        <v>0</v>
      </c>
      <c r="E29" s="225">
        <v>9922</v>
      </c>
      <c r="F29" s="225">
        <v>152919</v>
      </c>
      <c r="G29" s="225">
        <v>297674</v>
      </c>
      <c r="H29" s="225">
        <v>399777</v>
      </c>
      <c r="I29" s="225">
        <v>534538</v>
      </c>
      <c r="J29" s="225">
        <v>0</v>
      </c>
      <c r="K29" s="225"/>
      <c r="L29" s="225">
        <v>125702</v>
      </c>
      <c r="M29" s="225">
        <v>130172</v>
      </c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AB29" s="225"/>
      <c r="AC29" s="225"/>
    </row>
    <row r="30" spans="1:29" x14ac:dyDescent="0.35">
      <c r="A30" s="209" t="s">
        <v>388</v>
      </c>
      <c r="B30" s="447"/>
      <c r="C30" s="225">
        <v>0</v>
      </c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1091001</v>
      </c>
      <c r="K30" s="235">
        <v>1766627</v>
      </c>
      <c r="L30" s="235">
        <v>2696012</v>
      </c>
      <c r="M30" s="235">
        <v>4122146</v>
      </c>
      <c r="N30" s="235">
        <v>5826235</v>
      </c>
      <c r="O30" s="225">
        <v>6755820</v>
      </c>
      <c r="P30" s="225">
        <v>7285342</v>
      </c>
      <c r="Q30" s="225">
        <v>7848461</v>
      </c>
      <c r="R30" s="225">
        <v>8446221.6795300003</v>
      </c>
      <c r="S30" s="225">
        <v>8213445</v>
      </c>
      <c r="T30" s="225">
        <v>8161349</v>
      </c>
      <c r="U30" s="225">
        <v>8307300.9999999991</v>
      </c>
      <c r="V30" s="225">
        <v>8216430</v>
      </c>
      <c r="W30" s="225">
        <v>8474000</v>
      </c>
      <c r="X30" s="225">
        <f>8578748+83170</f>
        <v>8661918</v>
      </c>
      <c r="Y30" s="225">
        <v>8465832</v>
      </c>
      <c r="Z30" s="225">
        <v>8544763</v>
      </c>
      <c r="AA30" s="225">
        <v>8629885</v>
      </c>
      <c r="AB30" s="225">
        <v>8658547</v>
      </c>
      <c r="AC30" s="225">
        <v>8673451</v>
      </c>
    </row>
    <row r="31" spans="1:29" x14ac:dyDescent="0.35">
      <c r="A31" s="209" t="s">
        <v>655</v>
      </c>
      <c r="B31" s="447"/>
      <c r="C31" s="225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/>
      <c r="K31" s="225">
        <v>0</v>
      </c>
      <c r="L31" s="225"/>
      <c r="M31" s="225">
        <v>22508</v>
      </c>
      <c r="N31" s="225">
        <v>30079</v>
      </c>
      <c r="O31" s="225">
        <v>33938</v>
      </c>
      <c r="P31" s="225">
        <v>35323</v>
      </c>
      <c r="Q31" s="225">
        <v>35669</v>
      </c>
      <c r="R31" s="225">
        <v>37251.444859999996</v>
      </c>
      <c r="S31" s="225">
        <v>37455.668729999998</v>
      </c>
      <c r="T31" s="225"/>
      <c r="U31" s="225">
        <v>37333</v>
      </c>
      <c r="V31" s="225">
        <v>38768</v>
      </c>
      <c r="W31" s="225">
        <v>442000</v>
      </c>
      <c r="X31" s="225">
        <v>495209</v>
      </c>
      <c r="Y31" s="225">
        <v>506808</v>
      </c>
      <c r="Z31" s="225">
        <v>523122</v>
      </c>
      <c r="AA31" s="225">
        <v>552189.00000000012</v>
      </c>
      <c r="AB31" s="225">
        <v>551682</v>
      </c>
      <c r="AC31" s="225">
        <v>594989</v>
      </c>
    </row>
    <row r="32" spans="1:29" x14ac:dyDescent="0.35">
      <c r="A32" s="209" t="s">
        <v>656</v>
      </c>
      <c r="B32" s="447"/>
      <c r="C32" s="225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/>
      <c r="K32" s="225">
        <v>0</v>
      </c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</row>
    <row r="33" spans="1:30" x14ac:dyDescent="0.35">
      <c r="A33" s="209" t="s">
        <v>324</v>
      </c>
      <c r="B33" s="447"/>
      <c r="C33" s="225">
        <v>0</v>
      </c>
      <c r="D33" s="225">
        <v>0</v>
      </c>
      <c r="E33" s="225">
        <v>0</v>
      </c>
      <c r="F33" s="225">
        <v>0</v>
      </c>
      <c r="G33" s="225">
        <v>388</v>
      </c>
      <c r="H33" s="225">
        <v>3100</v>
      </c>
      <c r="I33" s="225">
        <v>9223</v>
      </c>
      <c r="J33" s="225">
        <v>15879</v>
      </c>
      <c r="K33" s="225">
        <v>18197</v>
      </c>
      <c r="L33" s="225">
        <v>20140</v>
      </c>
      <c r="M33" s="225">
        <v>21446</v>
      </c>
      <c r="N33" s="225">
        <v>21946</v>
      </c>
      <c r="O33" s="225">
        <v>21963</v>
      </c>
      <c r="P33" s="225">
        <v>22027</v>
      </c>
      <c r="Q33" s="225"/>
      <c r="R33" s="225"/>
      <c r="S33" s="225"/>
      <c r="T33" s="225"/>
      <c r="U33" s="225"/>
      <c r="V33" s="225"/>
      <c r="W33" s="225"/>
      <c r="X33" s="225"/>
      <c r="Y33" s="225"/>
      <c r="Z33" s="225">
        <v>18392</v>
      </c>
      <c r="AA33" s="225">
        <v>18392</v>
      </c>
      <c r="AB33" s="225">
        <v>18392</v>
      </c>
      <c r="AC33" s="225">
        <v>19760</v>
      </c>
    </row>
    <row r="34" spans="1:30" x14ac:dyDescent="0.35">
      <c r="A34" s="209" t="s">
        <v>651</v>
      </c>
      <c r="B34" s="447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>
        <v>22552</v>
      </c>
      <c r="AC34" s="225">
        <v>18950</v>
      </c>
    </row>
    <row r="35" spans="1:30" ht="15" thickBot="1" x14ac:dyDescent="0.4">
      <c r="A35" s="209" t="s">
        <v>392</v>
      </c>
      <c r="B35" s="447"/>
      <c r="C35" s="225">
        <v>0</v>
      </c>
      <c r="D35" s="225">
        <v>0</v>
      </c>
      <c r="E35" s="225">
        <v>2695</v>
      </c>
      <c r="F35" s="225">
        <v>2536</v>
      </c>
      <c r="G35" s="225">
        <v>2375</v>
      </c>
      <c r="H35" s="225">
        <v>2271</v>
      </c>
      <c r="I35" s="225">
        <v>2064</v>
      </c>
      <c r="J35" s="225">
        <v>1889</v>
      </c>
      <c r="K35" s="225">
        <v>471366</v>
      </c>
      <c r="L35" s="225">
        <v>460684</v>
      </c>
      <c r="M35" s="225">
        <v>399387</v>
      </c>
      <c r="N35" s="225">
        <v>314051</v>
      </c>
      <c r="O35" s="225">
        <v>2125</v>
      </c>
      <c r="P35" s="225">
        <v>2125</v>
      </c>
      <c r="Q35" s="225">
        <v>838</v>
      </c>
      <c r="R35" s="225">
        <v>793.49038999999993</v>
      </c>
      <c r="S35" s="225"/>
      <c r="T35" s="225">
        <v>37815.696059999995</v>
      </c>
      <c r="U35" s="225"/>
      <c r="V35" s="225">
        <v>205</v>
      </c>
      <c r="W35" s="225">
        <v>163000</v>
      </c>
      <c r="X35" s="225">
        <f>30037+23112</f>
        <v>53149</v>
      </c>
      <c r="Y35" s="225">
        <v>21627</v>
      </c>
      <c r="Z35" s="225">
        <v>43567</v>
      </c>
      <c r="AA35" s="225">
        <v>45543</v>
      </c>
      <c r="AB35" s="225">
        <v>15462</v>
      </c>
      <c r="AC35" s="225">
        <v>18414</v>
      </c>
    </row>
    <row r="36" spans="1:30" ht="15" thickBot="1" x14ac:dyDescent="0.4">
      <c r="A36" s="213" t="s">
        <v>340</v>
      </c>
      <c r="B36" s="446"/>
      <c r="C36" s="214">
        <f t="shared" ref="C36:X36" si="3">SUM(C37:C42)</f>
        <v>0</v>
      </c>
      <c r="D36" s="214">
        <f t="shared" si="3"/>
        <v>62105</v>
      </c>
      <c r="E36" s="214">
        <f t="shared" si="3"/>
        <v>92316</v>
      </c>
      <c r="F36" s="214">
        <f t="shared" si="3"/>
        <v>109624</v>
      </c>
      <c r="G36" s="214">
        <f t="shared" si="3"/>
        <v>69967</v>
      </c>
      <c r="H36" s="214">
        <f t="shared" si="3"/>
        <v>95571</v>
      </c>
      <c r="I36" s="214">
        <f t="shared" si="3"/>
        <v>168351</v>
      </c>
      <c r="J36" s="214">
        <f t="shared" si="3"/>
        <v>258773</v>
      </c>
      <c r="K36" s="214">
        <f t="shared" si="3"/>
        <v>8898</v>
      </c>
      <c r="L36" s="214">
        <f t="shared" si="3"/>
        <v>9173</v>
      </c>
      <c r="M36" s="214">
        <f t="shared" si="3"/>
        <v>9397</v>
      </c>
      <c r="N36" s="214">
        <f t="shared" si="3"/>
        <v>9551</v>
      </c>
      <c r="O36" s="214">
        <f t="shared" si="3"/>
        <v>8158</v>
      </c>
      <c r="P36" s="214">
        <f t="shared" si="3"/>
        <v>8153</v>
      </c>
      <c r="Q36" s="214">
        <f t="shared" si="3"/>
        <v>10377</v>
      </c>
      <c r="R36" s="214">
        <f t="shared" si="3"/>
        <v>10405.562770000333</v>
      </c>
      <c r="S36" s="214">
        <f t="shared" si="3"/>
        <v>12396.81092</v>
      </c>
      <c r="T36" s="214">
        <f t="shared" si="3"/>
        <v>11761.900980000031</v>
      </c>
      <c r="U36" s="214">
        <f t="shared" si="3"/>
        <v>8392.9709700001131</v>
      </c>
      <c r="V36" s="214">
        <f t="shared" si="3"/>
        <v>11953.9999999998</v>
      </c>
      <c r="W36" s="214">
        <f t="shared" si="3"/>
        <v>10733000</v>
      </c>
      <c r="X36" s="214">
        <f t="shared" si="3"/>
        <v>10396145</v>
      </c>
      <c r="Y36" s="214">
        <f>SUM(Y37:Y42)</f>
        <v>10520898.000000002</v>
      </c>
      <c r="Z36" s="214">
        <f>SUM(Z37:Z42)</f>
        <v>10394251</v>
      </c>
      <c r="AA36" s="214">
        <f>SUM(AA37:AA42)</f>
        <v>10276831</v>
      </c>
      <c r="AB36" s="214">
        <f>SUM(AB37:AB42)</f>
        <v>10945260</v>
      </c>
      <c r="AC36" s="214">
        <f>SUM(AC37:AC42)</f>
        <v>11888659</v>
      </c>
    </row>
    <row r="37" spans="1:30" x14ac:dyDescent="0.35">
      <c r="A37" s="209" t="s">
        <v>341</v>
      </c>
      <c r="B37" s="44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35"/>
      <c r="T37" s="235">
        <v>210.00013999992007</v>
      </c>
      <c r="U37" s="235"/>
      <c r="V37" s="235">
        <v>-405.00000000020009</v>
      </c>
      <c r="W37" s="235">
        <v>5084000</v>
      </c>
      <c r="X37" s="235">
        <v>0</v>
      </c>
      <c r="Y37" s="235"/>
      <c r="Z37" s="235"/>
      <c r="AA37" s="235"/>
      <c r="AB37" s="235"/>
      <c r="AC37" s="236"/>
    </row>
    <row r="38" spans="1:30" x14ac:dyDescent="0.35">
      <c r="A38" s="209" t="s">
        <v>652</v>
      </c>
      <c r="B38" s="446"/>
      <c r="C38" s="235">
        <v>0</v>
      </c>
      <c r="D38" s="235">
        <v>0</v>
      </c>
      <c r="E38" s="235">
        <v>83809</v>
      </c>
      <c r="F38" s="235">
        <v>100773</v>
      </c>
      <c r="G38" s="235">
        <v>61115</v>
      </c>
      <c r="H38" s="235">
        <v>86737</v>
      </c>
      <c r="I38" s="235">
        <v>159486</v>
      </c>
      <c r="J38" s="235">
        <v>249925</v>
      </c>
      <c r="K38" s="235">
        <v>0</v>
      </c>
      <c r="L38" s="235"/>
      <c r="M38" s="235"/>
      <c r="N38" s="235"/>
      <c r="O38" s="235"/>
      <c r="P38" s="235"/>
      <c r="Q38" s="235"/>
      <c r="R38" s="235"/>
      <c r="S38" s="235">
        <v>793.49038999999993</v>
      </c>
      <c r="T38" s="235"/>
      <c r="U38" s="235"/>
      <c r="V38" s="235"/>
      <c r="W38" s="235"/>
      <c r="X38" s="235"/>
      <c r="Y38" s="235"/>
      <c r="Z38" s="235"/>
      <c r="AA38" s="235"/>
      <c r="AB38" s="235"/>
      <c r="AC38" s="236"/>
    </row>
    <row r="39" spans="1:30" x14ac:dyDescent="0.35">
      <c r="A39" s="209" t="s">
        <v>319</v>
      </c>
      <c r="B39" s="44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>
        <v>36713</v>
      </c>
      <c r="Z39" s="235"/>
      <c r="AA39" s="235"/>
      <c r="AB39" s="235"/>
      <c r="AC39" s="236"/>
    </row>
    <row r="40" spans="1:30" x14ac:dyDescent="0.35">
      <c r="A40" s="209" t="s">
        <v>343</v>
      </c>
      <c r="B40" s="446"/>
      <c r="C40" s="235">
        <v>0</v>
      </c>
      <c r="D40" s="235">
        <v>62105</v>
      </c>
      <c r="E40" s="235">
        <v>0</v>
      </c>
      <c r="F40" s="235">
        <v>1236</v>
      </c>
      <c r="G40" s="235">
        <v>847</v>
      </c>
      <c r="H40" s="235">
        <v>883</v>
      </c>
      <c r="I40" s="235">
        <v>977</v>
      </c>
      <c r="J40" s="235">
        <v>1005</v>
      </c>
      <c r="K40" s="235">
        <v>829</v>
      </c>
      <c r="L40" s="235">
        <v>1119</v>
      </c>
      <c r="M40" s="235">
        <v>1119</v>
      </c>
      <c r="N40" s="235">
        <v>1236</v>
      </c>
      <c r="O40" s="235"/>
      <c r="P40" s="235"/>
      <c r="Q40" s="235">
        <v>1518</v>
      </c>
      <c r="R40" s="235">
        <v>1542.6197700003345</v>
      </c>
      <c r="S40" s="235">
        <v>1705</v>
      </c>
      <c r="T40" s="235">
        <v>1717.779470000113</v>
      </c>
      <c r="U40" s="235">
        <v>26.97097000011313</v>
      </c>
      <c r="V40" s="235">
        <v>1775</v>
      </c>
      <c r="W40" s="235">
        <v>5045000</v>
      </c>
      <c r="X40" s="235">
        <v>5002017</v>
      </c>
      <c r="Y40" s="235">
        <v>4959919.0000000009</v>
      </c>
      <c r="Z40" s="235">
        <v>4925018</v>
      </c>
      <c r="AA40" s="235">
        <v>4891026</v>
      </c>
      <c r="AB40" s="235">
        <v>5624712</v>
      </c>
      <c r="AC40" s="236">
        <v>6641910</v>
      </c>
    </row>
    <row r="41" spans="1:30" x14ac:dyDescent="0.35">
      <c r="A41" s="209" t="s">
        <v>344</v>
      </c>
      <c r="B41" s="446"/>
      <c r="C41" s="235">
        <v>0</v>
      </c>
      <c r="D41" s="235">
        <v>0</v>
      </c>
      <c r="E41" s="235">
        <v>8507</v>
      </c>
      <c r="F41" s="235">
        <v>7615</v>
      </c>
      <c r="G41" s="235">
        <v>8005</v>
      </c>
      <c r="H41" s="235">
        <v>7951</v>
      </c>
      <c r="I41" s="235">
        <v>7888</v>
      </c>
      <c r="J41" s="235">
        <v>7843</v>
      </c>
      <c r="K41" s="235">
        <v>8069</v>
      </c>
      <c r="L41" s="235">
        <v>8054</v>
      </c>
      <c r="M41" s="235">
        <v>8278</v>
      </c>
      <c r="N41" s="235">
        <v>8315</v>
      </c>
      <c r="O41" s="235">
        <v>8158</v>
      </c>
      <c r="P41" s="235">
        <v>8153</v>
      </c>
      <c r="Q41" s="235">
        <v>8859</v>
      </c>
      <c r="R41" s="235">
        <v>8862.9429999999993</v>
      </c>
      <c r="S41" s="235">
        <v>9898.3205300000009</v>
      </c>
      <c r="T41" s="235">
        <v>9834.1213699999989</v>
      </c>
      <c r="U41" s="235">
        <v>8366</v>
      </c>
      <c r="V41" s="235">
        <v>10584</v>
      </c>
      <c r="W41" s="235">
        <v>604000</v>
      </c>
      <c r="X41" s="235">
        <v>5394128</v>
      </c>
      <c r="Y41" s="235">
        <v>5441802.0000000009</v>
      </c>
      <c r="Z41" s="235">
        <v>5362361</v>
      </c>
      <c r="AA41" s="235">
        <v>5281314</v>
      </c>
      <c r="AB41" s="235">
        <v>5217751</v>
      </c>
      <c r="AC41" s="236">
        <v>5144555</v>
      </c>
    </row>
    <row r="42" spans="1:30" ht="15" thickBot="1" x14ac:dyDescent="0.4">
      <c r="A42" s="209" t="s">
        <v>564</v>
      </c>
      <c r="B42" s="446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>
        <v>82464</v>
      </c>
      <c r="Z42" s="235">
        <v>106872</v>
      </c>
      <c r="AA42" s="235">
        <v>104491</v>
      </c>
      <c r="AB42" s="235">
        <v>102797</v>
      </c>
      <c r="AC42" s="236">
        <v>102194</v>
      </c>
    </row>
    <row r="43" spans="1:30" ht="15" thickBot="1" x14ac:dyDescent="0.4">
      <c r="A43" s="213" t="s">
        <v>346</v>
      </c>
      <c r="B43" s="446"/>
      <c r="C43" s="214">
        <f t="shared" ref="C43:AB43" si="4">+C8+C25</f>
        <v>24357</v>
      </c>
      <c r="D43" s="214">
        <f t="shared" si="4"/>
        <v>71109</v>
      </c>
      <c r="E43" s="214">
        <f t="shared" si="4"/>
        <v>114336</v>
      </c>
      <c r="F43" s="214">
        <f t="shared" si="4"/>
        <v>298426</v>
      </c>
      <c r="G43" s="214">
        <f t="shared" si="4"/>
        <v>634608</v>
      </c>
      <c r="H43" s="214">
        <f t="shared" si="4"/>
        <v>905166</v>
      </c>
      <c r="I43" s="214">
        <f t="shared" si="4"/>
        <v>1443744</v>
      </c>
      <c r="J43" s="214">
        <f t="shared" si="4"/>
        <v>2265480</v>
      </c>
      <c r="K43" s="214">
        <f t="shared" si="4"/>
        <v>2964619</v>
      </c>
      <c r="L43" s="214">
        <f t="shared" si="4"/>
        <v>4572688</v>
      </c>
      <c r="M43" s="214">
        <f t="shared" si="4"/>
        <v>5351819</v>
      </c>
      <c r="N43" s="214">
        <f t="shared" si="4"/>
        <v>7354316</v>
      </c>
      <c r="O43" s="214">
        <f t="shared" si="4"/>
        <v>8206610</v>
      </c>
      <c r="P43" s="214">
        <f t="shared" si="4"/>
        <v>8714529</v>
      </c>
      <c r="Q43" s="214">
        <f t="shared" si="4"/>
        <v>9075743</v>
      </c>
      <c r="R43" s="214">
        <f t="shared" si="4"/>
        <v>9507578.487160001</v>
      </c>
      <c r="S43" s="214">
        <f t="shared" si="4"/>
        <v>9559072.5491499994</v>
      </c>
      <c r="T43" s="214">
        <f t="shared" si="4"/>
        <v>9764957.6228700001</v>
      </c>
      <c r="U43" s="214">
        <f t="shared" si="4"/>
        <v>10034768.970969999</v>
      </c>
      <c r="V43" s="214">
        <f t="shared" si="4"/>
        <v>10297623</v>
      </c>
      <c r="W43" s="214">
        <f t="shared" si="4"/>
        <v>22542000</v>
      </c>
      <c r="X43" s="214">
        <f t="shared" si="4"/>
        <v>22319257</v>
      </c>
      <c r="Y43" s="214">
        <f t="shared" si="4"/>
        <v>22582803</v>
      </c>
      <c r="Z43" s="214">
        <f t="shared" si="4"/>
        <v>22620434</v>
      </c>
      <c r="AA43" s="214">
        <f t="shared" si="4"/>
        <v>22767499</v>
      </c>
      <c r="AB43" s="214">
        <f t="shared" si="4"/>
        <v>23347301</v>
      </c>
      <c r="AC43" s="214">
        <f>+AC8+AC25</f>
        <v>25336782</v>
      </c>
      <c r="AD43" s="114"/>
    </row>
    <row r="44" spans="1:30" x14ac:dyDescent="0.35">
      <c r="A44" s="209"/>
      <c r="B44" s="210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</row>
    <row r="45" spans="1:30" ht="15" thickBot="1" x14ac:dyDescent="0.4">
      <c r="A45" s="5" t="s">
        <v>657</v>
      </c>
      <c r="B45" s="445"/>
      <c r="C45" s="573" t="s">
        <v>57</v>
      </c>
      <c r="D45" s="573" t="s">
        <v>58</v>
      </c>
      <c r="E45" s="573" t="s">
        <v>59</v>
      </c>
      <c r="F45" s="573" t="s">
        <v>60</v>
      </c>
      <c r="G45" s="573" t="s">
        <v>61</v>
      </c>
      <c r="H45" s="573" t="s">
        <v>62</v>
      </c>
      <c r="I45" s="573" t="s">
        <v>63</v>
      </c>
      <c r="J45" s="573" t="s">
        <v>64</v>
      </c>
      <c r="K45" s="573" t="s">
        <v>65</v>
      </c>
      <c r="L45" s="573" t="s">
        <v>66</v>
      </c>
      <c r="M45" s="573" t="s">
        <v>67</v>
      </c>
      <c r="N45" s="573" t="s">
        <v>68</v>
      </c>
      <c r="O45" s="573" t="s">
        <v>69</v>
      </c>
      <c r="P45" s="573" t="s">
        <v>70</v>
      </c>
      <c r="Q45" s="573" t="s">
        <v>71</v>
      </c>
      <c r="R45" s="573" t="s">
        <v>72</v>
      </c>
      <c r="S45" s="573" t="s">
        <v>73</v>
      </c>
      <c r="T45" s="573" t="str">
        <f>T7</f>
        <v>2T21</v>
      </c>
      <c r="U45" s="573" t="s">
        <v>75</v>
      </c>
      <c r="V45" s="573" t="s">
        <v>76</v>
      </c>
      <c r="W45" s="573" t="s">
        <v>77</v>
      </c>
      <c r="X45" s="573" t="s">
        <v>78</v>
      </c>
      <c r="Y45" s="573" t="s">
        <v>79</v>
      </c>
      <c r="Z45" s="573" t="str">
        <f>Z7</f>
        <v>4T22</v>
      </c>
      <c r="AA45" s="573" t="str">
        <f>AA7</f>
        <v>1T23</v>
      </c>
      <c r="AB45" s="573" t="s">
        <v>82</v>
      </c>
      <c r="AC45" s="573" t="s">
        <v>83</v>
      </c>
    </row>
    <row r="46" spans="1:30" ht="15" thickBot="1" x14ac:dyDescent="0.4">
      <c r="A46" s="213" t="s">
        <v>316</v>
      </c>
      <c r="B46" s="446"/>
      <c r="C46" s="214">
        <f>SUM(C47:C64)</f>
        <v>24287</v>
      </c>
      <c r="D46" s="214">
        <f t="shared" ref="D46:N46" si="5">SUM(D47:D64)</f>
        <v>3238</v>
      </c>
      <c r="E46" s="214">
        <f t="shared" si="5"/>
        <v>17477</v>
      </c>
      <c r="F46" s="214">
        <f t="shared" si="5"/>
        <v>80669</v>
      </c>
      <c r="G46" s="214">
        <f t="shared" si="5"/>
        <v>34315</v>
      </c>
      <c r="H46" s="214">
        <f t="shared" si="5"/>
        <v>36639</v>
      </c>
      <c r="I46" s="214">
        <f t="shared" si="5"/>
        <v>261798</v>
      </c>
      <c r="J46" s="214">
        <f t="shared" si="5"/>
        <v>653824</v>
      </c>
      <c r="K46" s="214">
        <f t="shared" si="5"/>
        <v>784183</v>
      </c>
      <c r="L46" s="214">
        <f t="shared" si="5"/>
        <v>702660</v>
      </c>
      <c r="M46" s="214">
        <f t="shared" si="5"/>
        <v>874890</v>
      </c>
      <c r="N46" s="214">
        <f t="shared" si="5"/>
        <v>1077650</v>
      </c>
      <c r="O46" s="214">
        <f>SUM(O47:O64)</f>
        <v>1047204</v>
      </c>
      <c r="P46" s="214">
        <v>1014684</v>
      </c>
      <c r="Q46" s="214">
        <f>SUM(Q47:Q64)</f>
        <v>568890</v>
      </c>
      <c r="R46" s="214">
        <f>SUM(R47:R64)</f>
        <v>298636.99665697006</v>
      </c>
      <c r="S46" s="214">
        <f>SUM(S47:S64)</f>
        <v>253812</v>
      </c>
      <c r="T46" s="214">
        <v>483447.30434000009</v>
      </c>
      <c r="U46" s="214">
        <v>546740.00000000012</v>
      </c>
      <c r="V46" s="214">
        <v>430895.00000000006</v>
      </c>
      <c r="W46" s="214">
        <v>1091000</v>
      </c>
      <c r="X46" s="214">
        <f t="shared" ref="X46:AC46" si="6">SUM(X47:X64)</f>
        <v>1197665</v>
      </c>
      <c r="Y46" s="214">
        <f t="shared" si="6"/>
        <v>1168481</v>
      </c>
      <c r="Z46" s="214">
        <f t="shared" si="6"/>
        <v>1159805</v>
      </c>
      <c r="AA46" s="214">
        <f t="shared" si="6"/>
        <v>1296624</v>
      </c>
      <c r="AB46" s="214">
        <f t="shared" si="6"/>
        <v>1730151</v>
      </c>
      <c r="AC46" s="214">
        <f t="shared" si="6"/>
        <v>3181433</v>
      </c>
    </row>
    <row r="47" spans="1:30" x14ac:dyDescent="0.35">
      <c r="A47" s="218" t="s">
        <v>348</v>
      </c>
      <c r="B47" s="447"/>
      <c r="C47" s="225">
        <v>0</v>
      </c>
      <c r="D47" s="225">
        <v>28</v>
      </c>
      <c r="E47" s="225">
        <v>0</v>
      </c>
      <c r="F47" s="225">
        <v>66008</v>
      </c>
      <c r="G47" s="225">
        <v>18912</v>
      </c>
      <c r="H47" s="225">
        <v>16293</v>
      </c>
      <c r="I47" s="225">
        <v>43085</v>
      </c>
      <c r="J47" s="225">
        <v>228708</v>
      </c>
      <c r="K47" s="225">
        <v>337565</v>
      </c>
      <c r="L47" s="225">
        <v>242809</v>
      </c>
      <c r="M47" s="225">
        <v>173367</v>
      </c>
      <c r="N47" s="225">
        <v>288450</v>
      </c>
      <c r="O47" s="225">
        <v>225457</v>
      </c>
      <c r="P47" s="225">
        <v>182318</v>
      </c>
      <c r="Q47" s="225">
        <v>169298</v>
      </c>
      <c r="R47" s="225">
        <v>124130.2257</v>
      </c>
      <c r="S47" s="225">
        <v>64001</v>
      </c>
      <c r="T47" s="225">
        <v>65092.070379999997</v>
      </c>
      <c r="U47" s="225">
        <v>45597</v>
      </c>
      <c r="V47" s="225">
        <v>75745.999999999985</v>
      </c>
      <c r="W47" s="225">
        <v>101000</v>
      </c>
      <c r="X47" s="225">
        <v>100471</v>
      </c>
      <c r="Y47" s="225">
        <v>123503</v>
      </c>
      <c r="Z47" s="225">
        <v>142710</v>
      </c>
      <c r="AA47" s="225">
        <v>133972</v>
      </c>
      <c r="AB47" s="225">
        <v>341895</v>
      </c>
      <c r="AC47" s="225">
        <v>204683</v>
      </c>
    </row>
    <row r="48" spans="1:30" x14ac:dyDescent="0.35">
      <c r="A48" s="218" t="s">
        <v>350</v>
      </c>
      <c r="B48" s="447"/>
      <c r="C48" s="225">
        <v>0</v>
      </c>
      <c r="D48" s="225">
        <v>0</v>
      </c>
      <c r="E48" s="225">
        <v>2740</v>
      </c>
      <c r="F48" s="225">
        <v>0</v>
      </c>
      <c r="G48" s="225">
        <v>532</v>
      </c>
      <c r="H48" s="225">
        <v>609</v>
      </c>
      <c r="I48" s="225">
        <v>745</v>
      </c>
      <c r="J48" s="225">
        <v>633</v>
      </c>
      <c r="K48" s="225">
        <v>1206</v>
      </c>
      <c r="L48" s="225">
        <v>927</v>
      </c>
      <c r="M48" s="225">
        <v>1047</v>
      </c>
      <c r="N48" s="225">
        <v>973</v>
      </c>
      <c r="O48" s="225">
        <v>1746</v>
      </c>
      <c r="P48" s="225">
        <v>2093</v>
      </c>
      <c r="Q48" s="225">
        <v>2912</v>
      </c>
      <c r="R48" s="225">
        <v>7349.5765300000003</v>
      </c>
      <c r="S48" s="225">
        <v>2771</v>
      </c>
      <c r="T48" s="225">
        <v>6152.6860300000008</v>
      </c>
      <c r="U48" s="225">
        <v>8000</v>
      </c>
      <c r="V48" s="225">
        <v>8798</v>
      </c>
      <c r="W48" s="225">
        <v>19000</v>
      </c>
      <c r="X48" s="225">
        <v>12556</v>
      </c>
      <c r="Y48" s="225">
        <v>20549.999999999996</v>
      </c>
      <c r="Z48" s="225">
        <v>22541</v>
      </c>
      <c r="AA48" s="225">
        <v>39760.999999999993</v>
      </c>
      <c r="AB48" s="225">
        <v>18709</v>
      </c>
      <c r="AC48" s="225">
        <v>22003</v>
      </c>
    </row>
    <row r="49" spans="1:29" x14ac:dyDescent="0.35">
      <c r="A49" s="209" t="s">
        <v>384</v>
      </c>
      <c r="B49" s="447"/>
      <c r="C49" s="225">
        <v>24287</v>
      </c>
      <c r="D49" s="225">
        <v>3019</v>
      </c>
      <c r="E49" s="225">
        <v>10363</v>
      </c>
      <c r="F49" s="225">
        <v>0</v>
      </c>
      <c r="G49" s="225">
        <v>1722</v>
      </c>
      <c r="H49" s="225">
        <v>1734</v>
      </c>
      <c r="I49" s="225">
        <v>2652</v>
      </c>
      <c r="J49" s="225">
        <v>3191</v>
      </c>
      <c r="K49" s="225">
        <v>3854</v>
      </c>
      <c r="L49" s="225">
        <v>4393</v>
      </c>
      <c r="M49" s="225">
        <v>3024</v>
      </c>
      <c r="N49" s="225"/>
      <c r="O49" s="225"/>
      <c r="P49" s="225"/>
      <c r="Q49" s="225"/>
      <c r="S49" s="225"/>
      <c r="T49" s="225">
        <v>38104.424030000002</v>
      </c>
      <c r="AB49" s="225"/>
      <c r="AC49" s="225"/>
    </row>
    <row r="50" spans="1:29" x14ac:dyDescent="0.35">
      <c r="A50" s="209" t="s">
        <v>658</v>
      </c>
      <c r="B50" s="447"/>
      <c r="C50" s="225">
        <v>0</v>
      </c>
      <c r="D50" s="225"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0</v>
      </c>
      <c r="J50" s="225"/>
      <c r="K50" s="225"/>
      <c r="L50" s="225"/>
      <c r="M50" s="225"/>
      <c r="N50" s="225"/>
      <c r="O50" s="225"/>
      <c r="P50" s="225"/>
      <c r="Q50" s="225"/>
      <c r="R50" s="225">
        <v>56070.170169999998</v>
      </c>
      <c r="S50" s="225"/>
      <c r="T50" s="225">
        <v>3179.5745499999998</v>
      </c>
      <c r="U50" s="225">
        <v>66000</v>
      </c>
      <c r="V50" s="225">
        <v>66000</v>
      </c>
      <c r="W50" s="225">
        <v>130000</v>
      </c>
      <c r="X50" s="225">
        <v>143117</v>
      </c>
      <c r="Y50" s="225">
        <v>157876</v>
      </c>
      <c r="Z50" s="225"/>
      <c r="AA50" s="225">
        <v>37043</v>
      </c>
      <c r="AB50" s="225"/>
      <c r="AC50" s="225"/>
    </row>
    <row r="51" spans="1:29" x14ac:dyDescent="0.35">
      <c r="A51" s="209" t="s">
        <v>659</v>
      </c>
      <c r="B51" s="447"/>
      <c r="C51" s="225">
        <v>0</v>
      </c>
      <c r="D51" s="225">
        <v>0</v>
      </c>
      <c r="E51" s="225">
        <v>0</v>
      </c>
      <c r="F51" s="225">
        <v>0</v>
      </c>
      <c r="G51" s="225">
        <v>0</v>
      </c>
      <c r="H51" s="225">
        <v>0</v>
      </c>
      <c r="I51" s="225">
        <v>0</v>
      </c>
      <c r="J51" s="225"/>
      <c r="K51" s="225"/>
      <c r="L51" s="225"/>
      <c r="M51" s="225"/>
      <c r="N51" s="225"/>
      <c r="O51" s="225"/>
      <c r="P51" s="225"/>
      <c r="Q51" s="225"/>
      <c r="R51" s="225">
        <v>1845.8968599999998</v>
      </c>
      <c r="S51" s="225"/>
      <c r="U51" s="225">
        <v>3389.0000000000005</v>
      </c>
      <c r="V51" s="225">
        <v>4413</v>
      </c>
      <c r="W51" s="225">
        <v>7000</v>
      </c>
      <c r="X51" s="225">
        <v>123713</v>
      </c>
      <c r="Y51" s="225">
        <v>7128</v>
      </c>
      <c r="Z51" s="225"/>
      <c r="AA51" s="225">
        <v>9219</v>
      </c>
      <c r="AB51" s="225"/>
      <c r="AC51" s="225"/>
    </row>
    <row r="52" spans="1:29" x14ac:dyDescent="0.35">
      <c r="A52" s="218" t="s">
        <v>367</v>
      </c>
      <c r="B52" s="447"/>
      <c r="C52" s="225">
        <v>0</v>
      </c>
      <c r="D52" s="225">
        <v>0</v>
      </c>
      <c r="E52" s="225">
        <v>0</v>
      </c>
      <c r="F52" s="225">
        <v>0</v>
      </c>
      <c r="G52" s="225">
        <v>0</v>
      </c>
      <c r="H52" s="225">
        <v>0</v>
      </c>
      <c r="I52" s="225">
        <v>192243</v>
      </c>
      <c r="J52" s="225">
        <v>196666</v>
      </c>
      <c r="K52" s="225">
        <v>202031</v>
      </c>
      <c r="L52" s="225">
        <v>207509</v>
      </c>
      <c r="M52" s="225">
        <v>442381</v>
      </c>
      <c r="N52" s="225">
        <v>758663</v>
      </c>
      <c r="O52" s="225">
        <v>782288</v>
      </c>
      <c r="P52" s="225">
        <v>765994</v>
      </c>
      <c r="Q52" s="225">
        <v>323553</v>
      </c>
      <c r="R52" s="225">
        <v>9433.4777300000005</v>
      </c>
      <c r="S52" s="225">
        <v>80704</v>
      </c>
      <c r="T52" s="225">
        <v>37554.970009999997</v>
      </c>
      <c r="U52" s="225">
        <v>188880</v>
      </c>
      <c r="V52" s="225">
        <v>222518.00000000003</v>
      </c>
      <c r="W52" s="225">
        <v>394000</v>
      </c>
      <c r="X52" s="225">
        <v>512800</v>
      </c>
      <c r="Y52" s="225">
        <v>276173</v>
      </c>
      <c r="Z52" s="225">
        <v>388448</v>
      </c>
      <c r="AA52" s="225">
        <v>393649</v>
      </c>
      <c r="AB52" s="225">
        <v>623337</v>
      </c>
      <c r="AC52" s="225">
        <v>1940426</v>
      </c>
    </row>
    <row r="53" spans="1:29" x14ac:dyDescent="0.35">
      <c r="A53" s="218" t="s">
        <v>191</v>
      </c>
      <c r="B53" s="447"/>
      <c r="C53" s="225">
        <v>0</v>
      </c>
      <c r="D53" s="225">
        <v>0</v>
      </c>
      <c r="E53" s="225">
        <v>0</v>
      </c>
      <c r="F53" s="225">
        <v>0</v>
      </c>
      <c r="G53" s="225">
        <v>0</v>
      </c>
      <c r="H53" s="225">
        <v>0</v>
      </c>
      <c r="I53" s="225">
        <v>0</v>
      </c>
      <c r="J53" s="225">
        <v>191826</v>
      </c>
      <c r="K53" s="225">
        <v>195950</v>
      </c>
      <c r="L53" s="225">
        <v>200490</v>
      </c>
      <c r="M53" s="225">
        <v>203176</v>
      </c>
      <c r="N53" s="225"/>
      <c r="O53" s="225">
        <v>7713</v>
      </c>
      <c r="P53" s="225">
        <v>29862</v>
      </c>
      <c r="Q53" s="225">
        <v>40876</v>
      </c>
      <c r="R53" s="225">
        <v>49828.318809999997</v>
      </c>
      <c r="S53" s="225">
        <v>43356</v>
      </c>
      <c r="T53" s="225">
        <v>21130.181550000001</v>
      </c>
      <c r="U53" s="225">
        <v>12098</v>
      </c>
      <c r="V53" s="225">
        <v>18276</v>
      </c>
      <c r="W53" s="225">
        <v>142000</v>
      </c>
      <c r="X53" s="225">
        <v>124015</v>
      </c>
      <c r="Y53" s="225">
        <v>137794</v>
      </c>
      <c r="Z53" s="225">
        <v>168177</v>
      </c>
      <c r="AA53" s="225">
        <v>189854</v>
      </c>
      <c r="AB53" s="225">
        <v>194389</v>
      </c>
      <c r="AC53" s="225">
        <v>499539</v>
      </c>
    </row>
    <row r="54" spans="1:29" x14ac:dyDescent="0.35">
      <c r="A54" s="209" t="s">
        <v>353</v>
      </c>
      <c r="B54" s="447"/>
      <c r="C54" s="225">
        <v>0</v>
      </c>
      <c r="D54" s="225">
        <v>142</v>
      </c>
      <c r="E54" s="225">
        <v>235</v>
      </c>
      <c r="F54" s="225">
        <v>6328</v>
      </c>
      <c r="G54" s="225">
        <v>8694</v>
      </c>
      <c r="H54" s="225">
        <v>9547</v>
      </c>
      <c r="I54" s="225">
        <v>13279</v>
      </c>
      <c r="J54" s="225">
        <v>20884</v>
      </c>
      <c r="K54" s="225">
        <v>22895</v>
      </c>
      <c r="L54" s="225">
        <v>28495</v>
      </c>
      <c r="M54" s="225">
        <v>32846</v>
      </c>
      <c r="N54" s="225">
        <v>13096</v>
      </c>
      <c r="O54" s="225">
        <v>10247</v>
      </c>
      <c r="P54" s="225">
        <v>12634</v>
      </c>
      <c r="Q54" s="225">
        <v>13245</v>
      </c>
      <c r="R54" s="225">
        <v>14729.65632</v>
      </c>
      <c r="S54" s="225">
        <v>12391</v>
      </c>
      <c r="T54" s="225">
        <v>13029.624029999999</v>
      </c>
      <c r="U54" s="225">
        <v>10968</v>
      </c>
      <c r="V54" s="225">
        <v>13855</v>
      </c>
      <c r="W54" s="225">
        <v>23000</v>
      </c>
      <c r="X54" s="225">
        <v>21259</v>
      </c>
      <c r="Y54" s="225">
        <v>26237</v>
      </c>
      <c r="Z54" s="225">
        <v>23309</v>
      </c>
      <c r="AA54" s="225">
        <v>22047</v>
      </c>
      <c r="AB54" s="225">
        <v>29012</v>
      </c>
      <c r="AC54" s="225">
        <v>35317</v>
      </c>
    </row>
    <row r="55" spans="1:29" x14ac:dyDescent="0.35">
      <c r="A55" s="209" t="s">
        <v>660</v>
      </c>
      <c r="B55" s="447"/>
      <c r="C55" s="225">
        <v>0</v>
      </c>
      <c r="D55" s="225">
        <v>49</v>
      </c>
      <c r="E55" s="225">
        <v>60</v>
      </c>
      <c r="F55" s="225">
        <v>231</v>
      </c>
      <c r="G55" s="225">
        <v>198</v>
      </c>
      <c r="H55" s="225">
        <v>37</v>
      </c>
      <c r="I55" s="225">
        <v>144</v>
      </c>
      <c r="J55" s="225">
        <v>1404</v>
      </c>
      <c r="K55" s="225">
        <v>4126</v>
      </c>
      <c r="L55" s="225">
        <v>1542</v>
      </c>
      <c r="M55" s="225">
        <v>1496</v>
      </c>
      <c r="N55" s="225">
        <v>985</v>
      </c>
      <c r="O55" s="225">
        <v>103</v>
      </c>
      <c r="P55" s="225">
        <v>131</v>
      </c>
      <c r="Q55" s="225">
        <v>109</v>
      </c>
      <c r="R55" s="225">
        <v>14654.163509999998</v>
      </c>
      <c r="S55" s="225">
        <v>18480</v>
      </c>
      <c r="T55" s="225">
        <v>11520.532959999999</v>
      </c>
      <c r="U55" s="225">
        <v>11285</v>
      </c>
      <c r="V55" s="225">
        <v>15782</v>
      </c>
      <c r="W55" s="225">
        <v>82000</v>
      </c>
      <c r="X55" s="225">
        <v>35001</v>
      </c>
      <c r="Y55" s="225">
        <v>54054</v>
      </c>
      <c r="Z55" s="225">
        <v>70710</v>
      </c>
      <c r="AA55" s="225">
        <v>85872</v>
      </c>
      <c r="AB55" s="225">
        <v>45526</v>
      </c>
      <c r="AC55" s="225">
        <v>68347</v>
      </c>
    </row>
    <row r="56" spans="1:29" x14ac:dyDescent="0.35">
      <c r="A56" s="209" t="s">
        <v>661</v>
      </c>
      <c r="B56" s="447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>
        <v>41487.999999999993</v>
      </c>
      <c r="Z56" s="225">
        <v>42859</v>
      </c>
      <c r="AA56" s="225">
        <v>44240</v>
      </c>
      <c r="AB56" s="225">
        <v>45721</v>
      </c>
      <c r="AC56" s="225">
        <v>47342</v>
      </c>
    </row>
    <row r="57" spans="1:29" x14ac:dyDescent="0.35">
      <c r="A57" s="209" t="s">
        <v>355</v>
      </c>
      <c r="B57" s="447"/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5">
        <v>0</v>
      </c>
      <c r="J57" s="225"/>
      <c r="K57" s="225">
        <v>7090</v>
      </c>
      <c r="L57" s="225">
        <v>7090</v>
      </c>
      <c r="M57" s="225">
        <v>7090</v>
      </c>
      <c r="N57" s="225">
        <v>7090</v>
      </c>
      <c r="O57" s="225">
        <v>7090</v>
      </c>
      <c r="P57" s="225">
        <v>7090</v>
      </c>
      <c r="Q57" s="225">
        <v>7090</v>
      </c>
      <c r="R57" s="225">
        <v>16142.617516970002</v>
      </c>
      <c r="S57" s="225">
        <v>16169</v>
      </c>
      <c r="T57" s="225">
        <v>190615.68894000005</v>
      </c>
      <c r="U57" s="225">
        <v>190442</v>
      </c>
      <c r="V57" s="225"/>
      <c r="W57" s="225"/>
      <c r="X57" s="225">
        <v>51574</v>
      </c>
      <c r="Y57" s="225">
        <v>51196</v>
      </c>
      <c r="Z57" s="225">
        <v>36962</v>
      </c>
      <c r="AA57" s="225">
        <v>36961.999999999985</v>
      </c>
      <c r="AB57" s="225">
        <v>36962</v>
      </c>
      <c r="AC57" s="225">
        <v>36962</v>
      </c>
    </row>
    <row r="58" spans="1:29" x14ac:dyDescent="0.35">
      <c r="A58" s="209" t="s">
        <v>364</v>
      </c>
      <c r="B58" s="447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>
        <v>1271</v>
      </c>
      <c r="Z58" s="225">
        <v>2510</v>
      </c>
      <c r="AA58" s="225">
        <v>1906</v>
      </c>
      <c r="AB58" s="225">
        <v>2433</v>
      </c>
      <c r="AC58" s="225">
        <v>2477</v>
      </c>
    </row>
    <row r="59" spans="1:29" x14ac:dyDescent="0.35">
      <c r="A59" s="209" t="s">
        <v>662</v>
      </c>
      <c r="B59" s="447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>
        <v>164558</v>
      </c>
      <c r="Z59" s="225"/>
      <c r="AA59" s="225"/>
      <c r="AB59" s="225"/>
      <c r="AC59" s="225"/>
    </row>
    <row r="60" spans="1:29" x14ac:dyDescent="0.35">
      <c r="A60" s="209" t="s">
        <v>358</v>
      </c>
      <c r="B60" s="447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>
        <v>7975</v>
      </c>
      <c r="AA60" s="225"/>
      <c r="AB60" s="225"/>
      <c r="AC60" s="225">
        <v>11602</v>
      </c>
    </row>
    <row r="61" spans="1:29" x14ac:dyDescent="0.35">
      <c r="A61" s="209" t="s">
        <v>359</v>
      </c>
      <c r="B61" s="447"/>
      <c r="C61" s="225">
        <v>0</v>
      </c>
      <c r="D61" s="225">
        <v>0</v>
      </c>
      <c r="E61" s="225">
        <v>0</v>
      </c>
      <c r="F61" s="225">
        <v>0</v>
      </c>
      <c r="G61" s="225">
        <v>0</v>
      </c>
      <c r="H61" s="225">
        <v>2297</v>
      </c>
      <c r="I61" s="225">
        <v>2715</v>
      </c>
      <c r="J61" s="225">
        <v>3133</v>
      </c>
      <c r="K61" s="225">
        <v>2332</v>
      </c>
      <c r="L61" s="225">
        <v>2011</v>
      </c>
      <c r="M61" s="225">
        <v>2749</v>
      </c>
      <c r="N61" s="225">
        <v>3449</v>
      </c>
      <c r="O61" s="225">
        <v>4459</v>
      </c>
      <c r="P61" s="225">
        <v>3358</v>
      </c>
      <c r="Q61" s="225">
        <v>3223</v>
      </c>
      <c r="S61" s="225">
        <v>6151</v>
      </c>
      <c r="X61" s="225">
        <v>2691</v>
      </c>
      <c r="Y61" s="225"/>
      <c r="Z61" s="225">
        <v>5566</v>
      </c>
      <c r="AA61" s="225"/>
      <c r="AB61" s="225">
        <v>879</v>
      </c>
      <c r="AC61" s="225">
        <v>4735</v>
      </c>
    </row>
    <row r="62" spans="1:29" x14ac:dyDescent="0.35">
      <c r="A62" s="209" t="s">
        <v>325</v>
      </c>
      <c r="B62" s="447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S62" s="225"/>
      <c r="X62" s="225"/>
      <c r="Y62" s="225"/>
      <c r="Z62" s="225">
        <v>15719</v>
      </c>
      <c r="AA62" s="225"/>
      <c r="AB62" s="225">
        <v>115138</v>
      </c>
      <c r="AC62" s="225">
        <v>17214</v>
      </c>
    </row>
    <row r="63" spans="1:29" x14ac:dyDescent="0.35">
      <c r="A63" s="209" t="s">
        <v>663</v>
      </c>
      <c r="B63" s="447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S63" s="225"/>
      <c r="X63" s="225"/>
      <c r="Y63" s="225"/>
      <c r="Z63" s="225">
        <v>0</v>
      </c>
      <c r="AA63" s="225"/>
      <c r="AB63" s="225">
        <v>11684</v>
      </c>
      <c r="AC63" s="225">
        <v>11303</v>
      </c>
    </row>
    <row r="64" spans="1:29" ht="15" thickBot="1" x14ac:dyDescent="0.4">
      <c r="A64" s="209" t="s">
        <v>366</v>
      </c>
      <c r="B64" s="447"/>
      <c r="C64" s="225">
        <v>0</v>
      </c>
      <c r="D64" s="225">
        <v>0</v>
      </c>
      <c r="E64" s="225">
        <v>4079</v>
      </c>
      <c r="F64" s="225">
        <v>8102</v>
      </c>
      <c r="G64" s="225">
        <v>4257</v>
      </c>
      <c r="H64" s="225">
        <v>6122</v>
      </c>
      <c r="I64" s="225">
        <v>6935</v>
      </c>
      <c r="J64" s="225">
        <v>7379</v>
      </c>
      <c r="K64" s="225">
        <v>7134</v>
      </c>
      <c r="L64" s="225">
        <v>7394</v>
      </c>
      <c r="M64" s="225">
        <f>7672+42</f>
        <v>7714</v>
      </c>
      <c r="N64" s="225">
        <f>96+4848</f>
        <v>4944</v>
      </c>
      <c r="O64" s="225">
        <v>8101</v>
      </c>
      <c r="P64" s="225">
        <v>11204</v>
      </c>
      <c r="Q64" s="225">
        <v>8584</v>
      </c>
      <c r="R64" s="225">
        <v>4452.893509999999</v>
      </c>
      <c r="S64" s="225">
        <f>7051+2738</f>
        <v>9789</v>
      </c>
      <c r="T64" s="225">
        <v>97067.551860000007</v>
      </c>
      <c r="U64" s="225">
        <v>10081</v>
      </c>
      <c r="V64" s="225">
        <v>5507</v>
      </c>
      <c r="W64" s="225">
        <v>62000</v>
      </c>
      <c r="X64" s="225">
        <f>69269+1199</f>
        <v>70468</v>
      </c>
      <c r="Y64" s="225">
        <v>106653</v>
      </c>
      <c r="Z64" s="225">
        <v>232319</v>
      </c>
      <c r="AA64" s="225">
        <v>302099</v>
      </c>
      <c r="AB64" s="225">
        <v>264466</v>
      </c>
      <c r="AC64" s="225">
        <v>279483</v>
      </c>
    </row>
    <row r="65" spans="1:29" ht="15" thickBot="1" x14ac:dyDescent="0.4">
      <c r="A65" s="213" t="s">
        <v>333</v>
      </c>
      <c r="B65" s="446"/>
      <c r="C65" s="214">
        <f>SUM(C66:C73)</f>
        <v>0</v>
      </c>
      <c r="D65" s="214">
        <f t="shared" ref="D65:O65" si="7">SUM(D66:D73)</f>
        <v>72226</v>
      </c>
      <c r="E65" s="214">
        <f t="shared" si="7"/>
        <v>25871</v>
      </c>
      <c r="F65" s="214">
        <f t="shared" si="7"/>
        <v>15936</v>
      </c>
      <c r="G65" s="214">
        <f t="shared" si="7"/>
        <v>214938</v>
      </c>
      <c r="H65" s="214">
        <f t="shared" si="7"/>
        <v>423474</v>
      </c>
      <c r="I65" s="214">
        <f t="shared" si="7"/>
        <v>661420</v>
      </c>
      <c r="J65" s="214">
        <f t="shared" si="7"/>
        <v>837906</v>
      </c>
      <c r="K65" s="214">
        <f t="shared" si="7"/>
        <v>1205511</v>
      </c>
      <c r="L65" s="214">
        <f t="shared" si="7"/>
        <v>2607975</v>
      </c>
      <c r="M65" s="214">
        <f t="shared" si="7"/>
        <v>2991750</v>
      </c>
      <c r="N65" s="214">
        <f t="shared" si="7"/>
        <v>4204509</v>
      </c>
      <c r="O65" s="214">
        <f t="shared" si="7"/>
        <v>4825283</v>
      </c>
      <c r="P65" s="214">
        <v>5156798</v>
      </c>
      <c r="Q65" s="214">
        <f>SUM(Q66:Q78)</f>
        <v>5639272</v>
      </c>
      <c r="R65" s="214">
        <f>SUM(R66:R78)</f>
        <v>6128968.7959399996</v>
      </c>
      <c r="S65" s="214">
        <f>SUM(S66:S78)</f>
        <v>6195196.8664199999</v>
      </c>
      <c r="T65" s="214">
        <v>7035625.5264500007</v>
      </c>
      <c r="U65" s="214">
        <v>7210624.0000000009</v>
      </c>
      <c r="V65" s="214">
        <v>7527803</v>
      </c>
      <c r="W65" s="214">
        <v>11992000</v>
      </c>
      <c r="X65" s="214">
        <f t="shared" ref="X65:AC65" si="8">SUM(X66:X78)</f>
        <v>11875112</v>
      </c>
      <c r="Y65" s="214">
        <f t="shared" si="8"/>
        <v>11912021</v>
      </c>
      <c r="Z65" s="214">
        <f t="shared" si="8"/>
        <v>11841652</v>
      </c>
      <c r="AA65" s="214">
        <f t="shared" si="8"/>
        <v>11896546</v>
      </c>
      <c r="AB65" s="214">
        <f t="shared" si="8"/>
        <v>12041735</v>
      </c>
      <c r="AC65" s="214">
        <f t="shared" si="8"/>
        <v>11943672</v>
      </c>
    </row>
    <row r="66" spans="1:29" x14ac:dyDescent="0.35">
      <c r="A66" s="209" t="s">
        <v>384</v>
      </c>
      <c r="B66" s="447"/>
      <c r="C66" s="225">
        <v>0</v>
      </c>
      <c r="D66" s="225">
        <v>0</v>
      </c>
      <c r="E66" s="225">
        <v>0</v>
      </c>
      <c r="F66" s="225">
        <v>1610</v>
      </c>
      <c r="G66" s="225">
        <v>0</v>
      </c>
      <c r="H66" s="225">
        <v>0</v>
      </c>
      <c r="I66" s="225">
        <v>0</v>
      </c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>
        <v>60250.258270000006</v>
      </c>
      <c r="U66" s="225"/>
      <c r="V66" s="225"/>
      <c r="W66" s="225"/>
      <c r="X66" s="225"/>
      <c r="Y66" s="225"/>
      <c r="Z66" s="225"/>
      <c r="AA66" s="225"/>
      <c r="AB66" s="225"/>
      <c r="AC66" s="225"/>
    </row>
    <row r="67" spans="1:29" x14ac:dyDescent="0.35">
      <c r="A67" s="209" t="s">
        <v>367</v>
      </c>
      <c r="B67" s="447"/>
      <c r="C67" s="225">
        <v>0</v>
      </c>
      <c r="D67" s="225">
        <v>0</v>
      </c>
      <c r="E67" s="225">
        <v>0</v>
      </c>
      <c r="F67" s="225">
        <v>0</v>
      </c>
      <c r="G67" s="225">
        <v>185062</v>
      </c>
      <c r="H67" s="225">
        <v>188632</v>
      </c>
      <c r="I67" s="225">
        <v>406519</v>
      </c>
      <c r="J67" s="225">
        <v>658969</v>
      </c>
      <c r="K67" s="225">
        <v>719543</v>
      </c>
      <c r="L67" s="225">
        <v>1538020</v>
      </c>
      <c r="M67" s="225">
        <v>1656626</v>
      </c>
      <c r="N67" s="225">
        <v>2359374</v>
      </c>
      <c r="O67" s="225">
        <v>2706500</v>
      </c>
      <c r="P67" s="225">
        <v>2882698</v>
      </c>
      <c r="Q67" s="225">
        <v>2977255</v>
      </c>
      <c r="R67" s="225">
        <v>3350686.1304899999</v>
      </c>
      <c r="S67" s="225">
        <v>3459313.4</v>
      </c>
      <c r="T67" s="225">
        <v>3521072.0155699998</v>
      </c>
      <c r="U67" s="225">
        <v>3652628</v>
      </c>
      <c r="V67" s="225">
        <v>3748334</v>
      </c>
      <c r="W67" s="225">
        <v>6495000</v>
      </c>
      <c r="X67" s="225">
        <v>6554050</v>
      </c>
      <c r="Y67" s="225">
        <v>6456956</v>
      </c>
      <c r="Z67" s="225">
        <v>6359699</v>
      </c>
      <c r="AA67" s="225">
        <v>6310396</v>
      </c>
      <c r="AB67" s="225">
        <v>6342744</v>
      </c>
      <c r="AC67" s="225">
        <v>6510146</v>
      </c>
    </row>
    <row r="68" spans="1:29" x14ac:dyDescent="0.35">
      <c r="A68" s="209" t="s">
        <v>191</v>
      </c>
      <c r="B68" s="447"/>
      <c r="C68" s="225">
        <v>0</v>
      </c>
      <c r="D68" s="225">
        <v>0</v>
      </c>
      <c r="E68" s="225">
        <v>0</v>
      </c>
      <c r="F68" s="225">
        <v>0</v>
      </c>
      <c r="G68" s="225">
        <v>0</v>
      </c>
      <c r="H68" s="225">
        <v>185187</v>
      </c>
      <c r="I68" s="225">
        <v>188575</v>
      </c>
      <c r="J68" s="225"/>
      <c r="K68" s="225">
        <v>191933</v>
      </c>
      <c r="L68" s="225">
        <v>557602</v>
      </c>
      <c r="M68" s="225">
        <v>567577</v>
      </c>
      <c r="N68" s="225">
        <v>579838</v>
      </c>
      <c r="O68" s="225">
        <v>588727</v>
      </c>
      <c r="P68" s="225">
        <v>568215</v>
      </c>
      <c r="Q68" s="225">
        <v>572676</v>
      </c>
      <c r="R68" s="225">
        <v>589498.81111000001</v>
      </c>
      <c r="S68" s="225">
        <v>605076.53295000002</v>
      </c>
      <c r="T68" s="225">
        <v>1432077.4351199998</v>
      </c>
      <c r="U68" s="225">
        <v>1469598</v>
      </c>
      <c r="V68" s="225">
        <v>1621700</v>
      </c>
      <c r="W68" s="225">
        <v>2798000</v>
      </c>
      <c r="X68" s="225">
        <v>2884830</v>
      </c>
      <c r="Y68" s="225">
        <v>2854276</v>
      </c>
      <c r="Z68" s="225">
        <v>2789233</v>
      </c>
      <c r="AA68" s="225">
        <v>2827239</v>
      </c>
      <c r="AB68" s="225">
        <v>2836582</v>
      </c>
      <c r="AC68" s="225">
        <v>2531266</v>
      </c>
    </row>
    <row r="69" spans="1:29" x14ac:dyDescent="0.35">
      <c r="A69" s="209" t="s">
        <v>664</v>
      </c>
      <c r="B69" s="447"/>
      <c r="C69" s="225">
        <v>0</v>
      </c>
      <c r="D69" s="225">
        <v>0</v>
      </c>
      <c r="E69" s="225">
        <v>0</v>
      </c>
      <c r="F69" s="225">
        <v>0</v>
      </c>
      <c r="G69" s="225">
        <v>0</v>
      </c>
      <c r="H69" s="225">
        <v>0</v>
      </c>
      <c r="I69" s="225">
        <v>0</v>
      </c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>
        <v>0</v>
      </c>
      <c r="U69" s="225"/>
      <c r="V69" s="225"/>
      <c r="W69" s="225">
        <v>9000</v>
      </c>
      <c r="X69" s="225"/>
      <c r="Y69" s="225">
        <v>7744</v>
      </c>
      <c r="Z69" s="225"/>
      <c r="AA69" s="225"/>
      <c r="AB69" s="225"/>
      <c r="AC69" s="225"/>
    </row>
    <row r="70" spans="1:29" x14ac:dyDescent="0.35">
      <c r="A70" s="209" t="s">
        <v>665</v>
      </c>
      <c r="B70" s="447"/>
      <c r="C70" s="225">
        <v>0</v>
      </c>
      <c r="D70" s="225">
        <v>0</v>
      </c>
      <c r="E70" s="225">
        <v>0</v>
      </c>
      <c r="F70" s="225">
        <v>350</v>
      </c>
      <c r="G70" s="225">
        <v>3447</v>
      </c>
      <c r="H70" s="225">
        <v>8200</v>
      </c>
      <c r="I70" s="225">
        <v>12603</v>
      </c>
      <c r="J70" s="225">
        <v>76977</v>
      </c>
      <c r="K70" s="225">
        <v>163147</v>
      </c>
      <c r="L70" s="225">
        <v>503083</v>
      </c>
      <c r="M70" s="225">
        <v>350673</v>
      </c>
      <c r="N70" s="225">
        <f>1261995</f>
        <v>1261995</v>
      </c>
      <c r="O70" s="225">
        <v>850830</v>
      </c>
      <c r="P70" s="225">
        <v>963595</v>
      </c>
      <c r="Q70" s="225">
        <v>989112</v>
      </c>
      <c r="R70" s="225">
        <v>1081237.10411</v>
      </c>
      <c r="S70" s="225">
        <v>1089702.3999999999</v>
      </c>
      <c r="T70" s="225">
        <v>1119300.7274100001</v>
      </c>
      <c r="U70" s="225">
        <v>1149696</v>
      </c>
      <c r="V70" s="225">
        <v>1185862</v>
      </c>
      <c r="W70" s="225">
        <v>1425000</v>
      </c>
      <c r="X70" s="225">
        <v>1263558</v>
      </c>
      <c r="Y70" s="225">
        <v>1295731.9999999998</v>
      </c>
      <c r="Z70" s="225">
        <v>1327670</v>
      </c>
      <c r="AA70" s="225">
        <v>1359071</v>
      </c>
      <c r="AB70" s="225">
        <v>1393235</v>
      </c>
      <c r="AC70" s="225">
        <v>1424445</v>
      </c>
    </row>
    <row r="71" spans="1:29" x14ac:dyDescent="0.35">
      <c r="A71" s="209" t="s">
        <v>666</v>
      </c>
      <c r="B71" s="447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>
        <v>679226</v>
      </c>
      <c r="P71" s="225">
        <v>731790</v>
      </c>
      <c r="Q71" s="225"/>
      <c r="R71" s="225"/>
      <c r="S71" s="225"/>
      <c r="Z71" s="225">
        <v>5133</v>
      </c>
      <c r="AA71" s="225">
        <v>5144</v>
      </c>
      <c r="AB71" s="225">
        <v>4825</v>
      </c>
      <c r="AC71" s="225">
        <v>4227</v>
      </c>
    </row>
    <row r="72" spans="1:29" x14ac:dyDescent="0.35">
      <c r="A72" s="209" t="s">
        <v>581</v>
      </c>
      <c r="B72" s="447"/>
      <c r="C72" s="225">
        <v>0</v>
      </c>
      <c r="D72" s="225">
        <v>72226</v>
      </c>
      <c r="E72" s="225">
        <v>25871</v>
      </c>
      <c r="F72" s="225">
        <v>0</v>
      </c>
      <c r="G72" s="225">
        <v>0</v>
      </c>
      <c r="H72" s="225">
        <v>6730</v>
      </c>
      <c r="I72" s="225">
        <v>7995</v>
      </c>
      <c r="J72" s="225">
        <v>1000</v>
      </c>
      <c r="K72" s="225">
        <v>5309</v>
      </c>
      <c r="L72" s="225">
        <v>9270</v>
      </c>
      <c r="M72" s="225">
        <v>9270</v>
      </c>
      <c r="N72" s="225">
        <v>3302</v>
      </c>
      <c r="O72" s="225"/>
      <c r="P72" s="225"/>
      <c r="Q72" s="225"/>
      <c r="R72" s="225"/>
      <c r="S72" s="225"/>
      <c r="AB72" s="225"/>
      <c r="AC72" s="225"/>
    </row>
    <row r="73" spans="1:29" x14ac:dyDescent="0.35">
      <c r="A73" s="209" t="s">
        <v>661</v>
      </c>
      <c r="B73" s="447"/>
      <c r="C73" s="225">
        <v>0</v>
      </c>
      <c r="D73" s="225">
        <v>0</v>
      </c>
      <c r="E73" s="225">
        <v>0</v>
      </c>
      <c r="F73" s="225">
        <v>13976</v>
      </c>
      <c r="G73" s="225">
        <v>26429</v>
      </c>
      <c r="H73" s="225">
        <v>34725</v>
      </c>
      <c r="I73" s="225">
        <v>45728</v>
      </c>
      <c r="J73" s="225">
        <v>100960</v>
      </c>
      <c r="K73" s="225">
        <v>125579</v>
      </c>
      <c r="L73" s="225"/>
      <c r="M73" s="225">
        <v>407604</v>
      </c>
      <c r="N73" s="225"/>
      <c r="O73" s="225"/>
      <c r="P73" s="225"/>
      <c r="Q73" s="225">
        <v>788709</v>
      </c>
      <c r="R73" s="225">
        <v>852729.31106999994</v>
      </c>
      <c r="S73" s="225">
        <v>876532.53347000002</v>
      </c>
      <c r="T73" s="225">
        <v>899364.96822000004</v>
      </c>
      <c r="U73" s="225">
        <v>919627</v>
      </c>
      <c r="V73" s="225">
        <v>952887</v>
      </c>
      <c r="W73" s="225">
        <v>981000</v>
      </c>
      <c r="X73" s="225">
        <v>875418.00000000012</v>
      </c>
      <c r="Y73" s="225">
        <v>982579</v>
      </c>
      <c r="Z73" s="225">
        <v>1004448</v>
      </c>
      <c r="AA73" s="225">
        <v>1025769</v>
      </c>
      <c r="AB73" s="225">
        <v>1048661</v>
      </c>
      <c r="AC73" s="225">
        <v>1074265</v>
      </c>
    </row>
    <row r="74" spans="1:29" x14ac:dyDescent="0.35">
      <c r="A74" s="209" t="s">
        <v>364</v>
      </c>
      <c r="B74" s="447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>
        <v>58239</v>
      </c>
      <c r="Z74" s="225">
        <v>64893</v>
      </c>
      <c r="AA74" s="225">
        <v>64861.999999999993</v>
      </c>
      <c r="AB74" s="225">
        <v>64533</v>
      </c>
      <c r="AC74" s="225">
        <v>64189</v>
      </c>
    </row>
    <row r="75" spans="1:29" x14ac:dyDescent="0.35">
      <c r="A75" s="209" t="s">
        <v>663</v>
      </c>
      <c r="B75" s="447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>
        <v>21406</v>
      </c>
      <c r="AC75" s="225">
        <v>17968</v>
      </c>
    </row>
    <row r="76" spans="1:29" x14ac:dyDescent="0.35">
      <c r="A76" s="209" t="s">
        <v>667</v>
      </c>
      <c r="B76" s="447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>
        <v>63982</v>
      </c>
      <c r="Z76" s="225"/>
      <c r="AA76" s="225"/>
      <c r="AB76" s="225"/>
      <c r="AC76" s="225"/>
    </row>
    <row r="77" spans="1:29" x14ac:dyDescent="0.35">
      <c r="A77" s="209" t="s">
        <v>668</v>
      </c>
      <c r="B77" s="447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>
        <v>45912</v>
      </c>
      <c r="Z77" s="225"/>
      <c r="AA77" s="225"/>
      <c r="AB77" s="225"/>
      <c r="AC77" s="225"/>
    </row>
    <row r="78" spans="1:29" ht="15" thickBot="1" x14ac:dyDescent="0.4">
      <c r="A78" s="209" t="s">
        <v>366</v>
      </c>
      <c r="B78" s="447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>
        <v>10500</v>
      </c>
      <c r="Q78" s="225">
        <v>311520</v>
      </c>
      <c r="R78" s="225">
        <v>254817.43916000001</v>
      </c>
      <c r="S78" s="225">
        <f>161012+3560</f>
        <v>164572</v>
      </c>
      <c r="T78" s="225">
        <v>3560.1218599999997</v>
      </c>
      <c r="U78" s="225">
        <v>19075</v>
      </c>
      <c r="V78" s="225">
        <v>19020</v>
      </c>
      <c r="W78" s="225">
        <v>284000</v>
      </c>
      <c r="X78" s="225">
        <f>58422+72756+166078</f>
        <v>297256</v>
      </c>
      <c r="Y78" s="225">
        <v>146601</v>
      </c>
      <c r="Z78" s="225">
        <v>290576</v>
      </c>
      <c r="AA78" s="225">
        <v>304065</v>
      </c>
      <c r="AB78" s="225">
        <v>329749</v>
      </c>
      <c r="AC78" s="225">
        <v>317166</v>
      </c>
    </row>
    <row r="79" spans="1:29" ht="15" thickBot="1" x14ac:dyDescent="0.4">
      <c r="A79" s="213" t="s">
        <v>371</v>
      </c>
      <c r="B79" s="446"/>
      <c r="C79" s="214">
        <f t="shared" ref="C79:O79" si="9">SUM(C80:C87)</f>
        <v>70</v>
      </c>
      <c r="D79" s="214">
        <f t="shared" si="9"/>
        <v>-4355</v>
      </c>
      <c r="E79" s="214">
        <f t="shared" si="9"/>
        <v>70988</v>
      </c>
      <c r="F79" s="214">
        <f t="shared" si="9"/>
        <v>201821</v>
      </c>
      <c r="G79" s="214">
        <f t="shared" si="9"/>
        <v>385355</v>
      </c>
      <c r="H79" s="214">
        <f t="shared" si="9"/>
        <v>445053</v>
      </c>
      <c r="I79" s="214">
        <f t="shared" si="9"/>
        <v>520526</v>
      </c>
      <c r="J79" s="214">
        <f t="shared" si="9"/>
        <v>773750</v>
      </c>
      <c r="K79" s="214">
        <f t="shared" si="9"/>
        <v>974925</v>
      </c>
      <c r="L79" s="214">
        <f t="shared" si="9"/>
        <v>1262053</v>
      </c>
      <c r="M79" s="214">
        <f t="shared" si="9"/>
        <v>1485179</v>
      </c>
      <c r="N79" s="214">
        <f t="shared" si="9"/>
        <v>2072158</v>
      </c>
      <c r="O79" s="214">
        <f t="shared" si="9"/>
        <v>2334123</v>
      </c>
      <c r="P79" s="214">
        <v>2543047</v>
      </c>
      <c r="Q79" s="214">
        <f>SUM(Q80:Q87)</f>
        <v>2867581</v>
      </c>
      <c r="R79" s="214">
        <f>SUM(R80:R87)</f>
        <v>3080309.7254330302</v>
      </c>
      <c r="S79" s="214">
        <f>SUM(S80:S87)</f>
        <v>3110064.0337499999</v>
      </c>
      <c r="T79" s="214">
        <v>2245883.92753</v>
      </c>
      <c r="U79" s="214">
        <v>2279417.9999999995</v>
      </c>
      <c r="V79" s="214">
        <v>2339625.9999999995</v>
      </c>
      <c r="W79" s="214">
        <v>9459000</v>
      </c>
      <c r="X79" s="214">
        <f>SUM(X80:X87)</f>
        <v>9246480</v>
      </c>
      <c r="Y79" s="214">
        <f>SUM(Y80:Y87)</f>
        <v>9502301</v>
      </c>
      <c r="Z79" s="214">
        <f>SUM(Z80:Z87)</f>
        <v>9618977</v>
      </c>
      <c r="AA79" s="214">
        <f>SUM(AA80:AA87)</f>
        <v>9574329</v>
      </c>
      <c r="AB79" s="214">
        <f>SUM(AB80:AB88)</f>
        <v>9575415</v>
      </c>
      <c r="AC79" s="214">
        <f>SUM(AC80:AC88)</f>
        <v>10211677</v>
      </c>
    </row>
    <row r="80" spans="1:29" x14ac:dyDescent="0.35">
      <c r="A80" s="209" t="s">
        <v>402</v>
      </c>
      <c r="B80" s="447"/>
      <c r="C80" s="225">
        <v>70</v>
      </c>
      <c r="D80" s="225">
        <v>80</v>
      </c>
      <c r="E80" s="225">
        <v>72035</v>
      </c>
      <c r="F80" s="225">
        <v>203970</v>
      </c>
      <c r="G80" s="225">
        <v>384101</v>
      </c>
      <c r="H80" s="225">
        <v>442001</v>
      </c>
      <c r="I80" s="225">
        <v>513136</v>
      </c>
      <c r="J80" s="225">
        <v>629159</v>
      </c>
      <c r="K80" s="225">
        <v>741670</v>
      </c>
      <c r="L80" s="225">
        <v>892186</v>
      </c>
      <c r="M80" s="225">
        <v>899151</v>
      </c>
      <c r="N80" s="225">
        <v>908421</v>
      </c>
      <c r="O80" s="225">
        <v>921871</v>
      </c>
      <c r="P80" s="225">
        <v>932992</v>
      </c>
      <c r="Q80" s="225">
        <v>967397</v>
      </c>
      <c r="R80" s="225">
        <v>1038183.86096</v>
      </c>
      <c r="S80" s="225">
        <v>1017550</v>
      </c>
      <c r="T80" s="225">
        <v>288183.86095999996</v>
      </c>
      <c r="U80" s="225">
        <v>287667.99999999988</v>
      </c>
      <c r="V80" s="225">
        <v>288183.99999999994</v>
      </c>
      <c r="W80" s="225">
        <v>7322000</v>
      </c>
      <c r="X80" s="225">
        <v>7322402</v>
      </c>
      <c r="Y80" s="225">
        <v>7426740</v>
      </c>
      <c r="Z80" s="225">
        <v>7427042</v>
      </c>
      <c r="AA80" s="225">
        <v>7427043</v>
      </c>
      <c r="AB80" s="225">
        <v>7427043</v>
      </c>
      <c r="AC80" s="225">
        <v>7737043</v>
      </c>
    </row>
    <row r="81" spans="1:29" x14ac:dyDescent="0.35">
      <c r="A81" s="209" t="s">
        <v>374</v>
      </c>
      <c r="B81" s="447"/>
      <c r="C81" s="225">
        <v>0</v>
      </c>
      <c r="D81" s="225">
        <v>0</v>
      </c>
      <c r="E81" s="225">
        <v>0</v>
      </c>
      <c r="F81" s="225">
        <v>0</v>
      </c>
      <c r="G81" s="225">
        <v>0</v>
      </c>
      <c r="H81" s="225">
        <v>0</v>
      </c>
      <c r="I81" s="225">
        <v>0</v>
      </c>
      <c r="J81" s="225">
        <v>0</v>
      </c>
      <c r="K81" s="225"/>
      <c r="L81" s="225"/>
      <c r="M81" s="225"/>
      <c r="N81" s="225"/>
      <c r="O81" s="225"/>
      <c r="P81" s="225"/>
      <c r="Q81" s="225"/>
      <c r="R81" s="225">
        <v>4480.2093299999997</v>
      </c>
      <c r="S81" s="225">
        <v>5076.0337499999996</v>
      </c>
      <c r="T81" s="225">
        <v>5678.4784399999999</v>
      </c>
      <c r="U81" s="225">
        <v>6000</v>
      </c>
      <c r="V81" s="225">
        <v>6850</v>
      </c>
      <c r="W81" s="225">
        <v>7000</v>
      </c>
      <c r="X81" s="225">
        <v>7488</v>
      </c>
      <c r="Y81" s="225">
        <v>7817</v>
      </c>
      <c r="Z81" s="225">
        <v>8112</v>
      </c>
      <c r="AA81" s="225">
        <v>8245</v>
      </c>
      <c r="AB81" s="225">
        <v>8427</v>
      </c>
      <c r="AC81" s="225">
        <v>8592</v>
      </c>
    </row>
    <row r="82" spans="1:29" x14ac:dyDescent="0.35">
      <c r="A82" s="209" t="s">
        <v>376</v>
      </c>
      <c r="B82" s="447"/>
      <c r="C82" s="225">
        <v>0</v>
      </c>
      <c r="D82" s="225">
        <v>0</v>
      </c>
      <c r="E82" s="225">
        <v>0</v>
      </c>
      <c r="F82" s="225">
        <v>0</v>
      </c>
      <c r="G82" s="225">
        <v>0</v>
      </c>
      <c r="H82" s="225">
        <v>0</v>
      </c>
      <c r="I82" s="225">
        <v>0</v>
      </c>
      <c r="J82" s="225">
        <v>144591</v>
      </c>
      <c r="K82" s="225">
        <v>137501</v>
      </c>
      <c r="L82" s="225">
        <v>137501</v>
      </c>
      <c r="M82" s="225">
        <v>137501</v>
      </c>
      <c r="N82" s="225">
        <v>137501</v>
      </c>
      <c r="O82" s="225">
        <v>1163738</v>
      </c>
      <c r="P82" s="225">
        <v>1163738</v>
      </c>
      <c r="Q82" s="225">
        <v>1163738</v>
      </c>
      <c r="R82" s="225">
        <v>116411.75521303012</v>
      </c>
      <c r="S82" s="225">
        <f>2037150</f>
        <v>2037150</v>
      </c>
      <c r="T82" s="225">
        <v>1863172.5837200002</v>
      </c>
      <c r="U82" s="225">
        <v>1863943.0000000002</v>
      </c>
      <c r="V82" s="225">
        <v>1863174.9999999998</v>
      </c>
      <c r="W82" s="225">
        <v>2045000</v>
      </c>
      <c r="X82" s="225">
        <v>1992014</v>
      </c>
      <c r="Y82" s="225">
        <v>1886831.9999999998</v>
      </c>
      <c r="Z82" s="225">
        <v>2199542</v>
      </c>
      <c r="AA82" s="225">
        <v>2199538.9999999995</v>
      </c>
      <c r="AB82" s="225">
        <v>2199539</v>
      </c>
      <c r="AC82" s="225">
        <v>2199539</v>
      </c>
    </row>
    <row r="83" spans="1:29" x14ac:dyDescent="0.35">
      <c r="A83" s="209" t="s">
        <v>373</v>
      </c>
      <c r="B83" s="447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>
        <v>-69407</v>
      </c>
      <c r="AB83" s="225">
        <v>-115855</v>
      </c>
      <c r="AC83" s="225">
        <v>-5386</v>
      </c>
    </row>
    <row r="84" spans="1:29" x14ac:dyDescent="0.35">
      <c r="A84" s="209" t="s">
        <v>669</v>
      </c>
      <c r="B84" s="447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Y84" s="225">
        <v>180912</v>
      </c>
      <c r="Z84" s="225"/>
      <c r="AA84" s="225"/>
      <c r="AB84" s="225"/>
      <c r="AC84" s="225"/>
    </row>
    <row r="85" spans="1:29" x14ac:dyDescent="0.35">
      <c r="A85" s="209" t="s">
        <v>670</v>
      </c>
      <c r="B85" s="447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Y85" s="225"/>
      <c r="Z85" s="225"/>
      <c r="AA85" s="225"/>
      <c r="AB85" s="225"/>
      <c r="AC85" s="225"/>
    </row>
    <row r="86" spans="1:29" x14ac:dyDescent="0.35">
      <c r="A86" s="209" t="s">
        <v>671</v>
      </c>
      <c r="B86" s="447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Y86" s="225"/>
      <c r="Z86" s="225"/>
      <c r="AA86" s="225"/>
      <c r="AB86" s="225"/>
      <c r="AC86" s="225"/>
    </row>
    <row r="87" spans="1:29" x14ac:dyDescent="0.35">
      <c r="A87" s="209" t="s">
        <v>403</v>
      </c>
      <c r="B87" s="447"/>
      <c r="C87" s="225">
        <v>0</v>
      </c>
      <c r="D87" s="225">
        <v>-4435</v>
      </c>
      <c r="E87" s="225">
        <v>-1047</v>
      </c>
      <c r="F87" s="225">
        <v>-2149</v>
      </c>
      <c r="G87" s="225">
        <v>1254</v>
      </c>
      <c r="H87" s="225">
        <v>3052</v>
      </c>
      <c r="I87" s="225">
        <v>7390</v>
      </c>
      <c r="J87" s="225">
        <v>0</v>
      </c>
      <c r="K87" s="225">
        <v>95754</v>
      </c>
      <c r="L87" s="225">
        <v>232366</v>
      </c>
      <c r="M87" s="225">
        <v>448527</v>
      </c>
      <c r="N87" s="225">
        <v>1026236</v>
      </c>
      <c r="O87" s="225">
        <v>248514</v>
      </c>
      <c r="P87" s="225">
        <v>446317</v>
      </c>
      <c r="Q87" s="225">
        <v>736446</v>
      </c>
      <c r="R87" s="225">
        <v>1921233.8999300001</v>
      </c>
      <c r="S87" s="225">
        <f>20768+29520</f>
        <v>50288</v>
      </c>
      <c r="T87" s="225">
        <v>88849.004409999965</v>
      </c>
      <c r="U87" s="225">
        <v>121807.00000000001</v>
      </c>
      <c r="V87" s="225">
        <v>181417.00000000003</v>
      </c>
      <c r="W87" s="225">
        <v>85000</v>
      </c>
      <c r="X87" s="225">
        <v>-75424</v>
      </c>
      <c r="Y87" s="225"/>
      <c r="Z87" s="225">
        <v>-15719</v>
      </c>
      <c r="AA87" s="225">
        <v>8908.9999999999782</v>
      </c>
      <c r="AB87" s="225">
        <v>0</v>
      </c>
      <c r="AC87" s="225"/>
    </row>
    <row r="88" spans="1:29" ht="15" thickBot="1" x14ac:dyDescent="0.4">
      <c r="A88" s="209" t="s">
        <v>576</v>
      </c>
      <c r="B88" s="447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>
        <v>56261</v>
      </c>
      <c r="AC88" s="225">
        <v>271889</v>
      </c>
    </row>
    <row r="89" spans="1:29" ht="15" thickBot="1" x14ac:dyDescent="0.4">
      <c r="A89" s="213" t="s">
        <v>380</v>
      </c>
      <c r="B89" s="446"/>
      <c r="C89" s="214">
        <f t="shared" ref="C89:O89" si="10">C79+C65+C46</f>
        <v>24357</v>
      </c>
      <c r="D89" s="214">
        <f t="shared" si="10"/>
        <v>71109</v>
      </c>
      <c r="E89" s="214">
        <f t="shared" si="10"/>
        <v>114336</v>
      </c>
      <c r="F89" s="214">
        <f t="shared" si="10"/>
        <v>298426</v>
      </c>
      <c r="G89" s="214">
        <f t="shared" si="10"/>
        <v>634608</v>
      </c>
      <c r="H89" s="214">
        <f t="shared" si="10"/>
        <v>905166</v>
      </c>
      <c r="I89" s="214">
        <f t="shared" si="10"/>
        <v>1443744</v>
      </c>
      <c r="J89" s="214">
        <f t="shared" si="10"/>
        <v>2265480</v>
      </c>
      <c r="K89" s="214">
        <f t="shared" si="10"/>
        <v>2964619</v>
      </c>
      <c r="L89" s="214">
        <f t="shared" si="10"/>
        <v>4572688</v>
      </c>
      <c r="M89" s="214">
        <f t="shared" si="10"/>
        <v>5351819</v>
      </c>
      <c r="N89" s="214">
        <f t="shared" si="10"/>
        <v>7354317</v>
      </c>
      <c r="O89" s="214">
        <f t="shared" si="10"/>
        <v>8206610</v>
      </c>
      <c r="P89" s="214">
        <v>8714529</v>
      </c>
      <c r="Q89" s="214">
        <f>Q79+Q65+Q46</f>
        <v>9075743</v>
      </c>
      <c r="R89" s="214">
        <f>R79+R65+R46</f>
        <v>9507915.518029999</v>
      </c>
      <c r="S89" s="214">
        <f>S79+S65+S46</f>
        <v>9559072.9001700003</v>
      </c>
      <c r="T89" s="214">
        <v>9764956.75832</v>
      </c>
      <c r="U89" s="214">
        <v>10036782.000000002</v>
      </c>
      <c r="V89" s="214">
        <v>10298324</v>
      </c>
      <c r="W89" s="214">
        <v>22542000</v>
      </c>
      <c r="X89" s="214">
        <f t="shared" ref="X89:AC89" si="11">SUM(X79+X65+X46)</f>
        <v>22319257</v>
      </c>
      <c r="Y89" s="214">
        <f t="shared" si="11"/>
        <v>22582803</v>
      </c>
      <c r="Z89" s="214">
        <f t="shared" si="11"/>
        <v>22620434</v>
      </c>
      <c r="AA89" s="214">
        <f t="shared" si="11"/>
        <v>22767499</v>
      </c>
      <c r="AB89" s="214">
        <f t="shared" si="11"/>
        <v>23347301</v>
      </c>
      <c r="AC89" s="214">
        <f t="shared" si="11"/>
        <v>25336782</v>
      </c>
    </row>
    <row r="90" spans="1:29" s="223" customFormat="1" ht="12" x14ac:dyDescent="0.3">
      <c r="B90" s="3"/>
      <c r="C90" s="224"/>
      <c r="D90" s="224"/>
      <c r="E90" s="224"/>
      <c r="F90" s="224"/>
      <c r="G90" s="224"/>
      <c r="H90" s="224"/>
      <c r="I90" s="224"/>
      <c r="J90" s="224"/>
      <c r="K90" s="224">
        <f t="shared" ref="K90:Y90" si="12">K89-K43</f>
        <v>0</v>
      </c>
      <c r="L90" s="224">
        <f t="shared" si="12"/>
        <v>0</v>
      </c>
      <c r="M90" s="224">
        <f t="shared" si="12"/>
        <v>0</v>
      </c>
      <c r="N90" s="224">
        <f t="shared" si="12"/>
        <v>1</v>
      </c>
      <c r="O90" s="224">
        <f t="shared" si="12"/>
        <v>0</v>
      </c>
      <c r="P90" s="224">
        <f t="shared" si="12"/>
        <v>0</v>
      </c>
      <c r="Q90" s="224">
        <f t="shared" si="12"/>
        <v>0</v>
      </c>
      <c r="R90" s="224">
        <f t="shared" si="12"/>
        <v>337.03086999803782</v>
      </c>
      <c r="S90" s="224">
        <f t="shared" si="12"/>
        <v>0.35102000087499619</v>
      </c>
      <c r="T90" s="224">
        <f t="shared" si="12"/>
        <v>-0.86455000005662441</v>
      </c>
      <c r="U90" s="224">
        <f t="shared" si="12"/>
        <v>2013.0290300026536</v>
      </c>
      <c r="V90" s="224">
        <f t="shared" si="12"/>
        <v>701</v>
      </c>
      <c r="W90" s="224">
        <f t="shared" si="12"/>
        <v>0</v>
      </c>
      <c r="X90" s="224">
        <f t="shared" si="12"/>
        <v>0</v>
      </c>
      <c r="Y90" s="224">
        <f t="shared" si="12"/>
        <v>0</v>
      </c>
      <c r="Z90" s="224">
        <f>Z89-Z43</f>
        <v>0</v>
      </c>
      <c r="AA90" s="224">
        <f>AA89-AA43</f>
        <v>0</v>
      </c>
      <c r="AB90" s="224">
        <f>AB89-AB43</f>
        <v>0</v>
      </c>
      <c r="AC90" s="224">
        <f>AC89-AC43</f>
        <v>0</v>
      </c>
    </row>
    <row r="91" spans="1:29" x14ac:dyDescent="0.35">
      <c r="C91" s="114"/>
      <c r="D91" s="114"/>
      <c r="E91" s="114"/>
      <c r="F91" s="114"/>
      <c r="G91" s="114"/>
      <c r="H91" s="114"/>
      <c r="I91" s="114"/>
      <c r="J91" s="114"/>
    </row>
    <row r="92" spans="1:29" x14ac:dyDescent="0.35"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CDDE3-984A-4048-8A4C-129408EAF035}">
  <sheetPr>
    <tabColor theme="9" tint="0.79998168889431442"/>
  </sheetPr>
  <dimension ref="A6:AC62"/>
  <sheetViews>
    <sheetView showGridLines="0" zoomScale="85" zoomScaleNormal="85" workbookViewId="0">
      <pane xSplit="1" ySplit="7" topLeftCell="B8" activePane="bottomRight" state="frozen"/>
      <selection activeCell="AN2" sqref="AN2"/>
      <selection pane="topRight" activeCell="AN2" sqref="AN2"/>
      <selection pane="bottomLeft" activeCell="AN2" sqref="AN2"/>
      <selection pane="bottomRight" activeCell="Y22" sqref="Y22"/>
    </sheetView>
  </sheetViews>
  <sheetFormatPr defaultColWidth="9.1796875" defaultRowHeight="14.5" outlineLevelCol="1" x14ac:dyDescent="0.35"/>
  <cols>
    <col min="1" max="1" width="40.7265625" style="37" bestFit="1" customWidth="1"/>
    <col min="2" max="2" width="4" customWidth="1"/>
    <col min="3" max="11" width="8" style="37" hidden="1" customWidth="1" outlineLevel="1"/>
    <col min="12" max="12" width="9" style="37" hidden="1" customWidth="1" outlineLevel="1"/>
    <col min="13" max="13" width="8" style="37" hidden="1" customWidth="1" outlineLevel="1"/>
    <col min="14" max="14" width="9" style="37" hidden="1" customWidth="1" outlineLevel="1"/>
    <col min="15" max="22" width="10.1796875" style="37" hidden="1" customWidth="1" outlineLevel="1"/>
    <col min="23" max="23" width="10.1796875" style="37" customWidth="1" collapsed="1"/>
    <col min="24" max="29" width="10.1796875" style="37" customWidth="1"/>
    <col min="30" max="16384" width="9.1796875" style="37"/>
  </cols>
  <sheetData>
    <row r="6" spans="1:29" x14ac:dyDescent="0.35">
      <c r="A6" s="41" t="s">
        <v>672</v>
      </c>
      <c r="B6" s="168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5" thickBot="1" x14ac:dyDescent="0.4">
      <c r="A7" s="5" t="s">
        <v>646</v>
      </c>
      <c r="B7" s="445"/>
      <c r="C7" s="573" t="s">
        <v>57</v>
      </c>
      <c r="D7" s="573" t="s">
        <v>58</v>
      </c>
      <c r="E7" s="573" t="s">
        <v>59</v>
      </c>
      <c r="F7" s="573" t="s">
        <v>60</v>
      </c>
      <c r="G7" s="573" t="s">
        <v>61</v>
      </c>
      <c r="H7" s="573" t="s">
        <v>62</v>
      </c>
      <c r="I7" s="573" t="s">
        <v>63</v>
      </c>
      <c r="J7" s="573" t="s">
        <v>64</v>
      </c>
      <c r="K7" s="573" t="s">
        <v>65</v>
      </c>
      <c r="L7" s="573" t="s">
        <v>66</v>
      </c>
      <c r="M7" s="573" t="s">
        <v>67</v>
      </c>
      <c r="N7" s="573" t="s">
        <v>68</v>
      </c>
      <c r="O7" s="573" t="s">
        <v>69</v>
      </c>
      <c r="P7" s="573" t="s">
        <v>70</v>
      </c>
      <c r="Q7" s="573" t="s">
        <v>71</v>
      </c>
      <c r="R7" s="573" t="s">
        <v>72</v>
      </c>
      <c r="S7" s="573" t="s">
        <v>73</v>
      </c>
      <c r="T7" s="573" t="s">
        <v>74</v>
      </c>
      <c r="U7" s="573" t="s">
        <v>75</v>
      </c>
      <c r="V7" s="573" t="s">
        <v>76</v>
      </c>
      <c r="W7" s="573" t="s">
        <v>77</v>
      </c>
      <c r="X7" s="573" t="s">
        <v>78</v>
      </c>
      <c r="Y7" s="573" t="s">
        <v>79</v>
      </c>
      <c r="Z7" s="573" t="s">
        <v>80</v>
      </c>
      <c r="AA7" s="573" t="s">
        <v>81</v>
      </c>
      <c r="AB7" s="573" t="s">
        <v>82</v>
      </c>
      <c r="AC7" s="573" t="s">
        <v>83</v>
      </c>
    </row>
    <row r="8" spans="1:29" ht="15" thickBot="1" x14ac:dyDescent="0.4">
      <c r="A8" s="213" t="s">
        <v>316</v>
      </c>
      <c r="B8" s="446"/>
      <c r="C8" s="214">
        <f t="shared" ref="C8:X8" si="0">SUM(C9:C17)</f>
        <v>171219</v>
      </c>
      <c r="D8" s="214">
        <f t="shared" si="0"/>
        <v>183918</v>
      </c>
      <c r="E8" s="214">
        <f t="shared" si="0"/>
        <v>181916</v>
      </c>
      <c r="F8" s="214">
        <f t="shared" si="0"/>
        <v>184514.09099</v>
      </c>
      <c r="G8" s="214">
        <f t="shared" si="0"/>
        <v>214484.36794999999</v>
      </c>
      <c r="H8" s="214">
        <f t="shared" si="0"/>
        <v>257867.12044999999</v>
      </c>
      <c r="I8" s="214">
        <f t="shared" si="0"/>
        <v>244160.73475</v>
      </c>
      <c r="J8" s="214">
        <f t="shared" si="0"/>
        <v>429564</v>
      </c>
      <c r="K8" s="214">
        <f t="shared" si="0"/>
        <v>226585</v>
      </c>
      <c r="L8" s="214">
        <f t="shared" si="0"/>
        <v>525665.91397999995</v>
      </c>
      <c r="M8" s="214">
        <f t="shared" si="0"/>
        <v>372330</v>
      </c>
      <c r="N8" s="214">
        <f t="shared" si="0"/>
        <v>415678</v>
      </c>
      <c r="O8" s="214">
        <f t="shared" si="0"/>
        <v>396000</v>
      </c>
      <c r="P8" s="214">
        <f t="shared" si="0"/>
        <v>433000</v>
      </c>
      <c r="Q8" s="214">
        <f t="shared" si="0"/>
        <v>453439</v>
      </c>
      <c r="R8" s="214">
        <f t="shared" si="0"/>
        <v>244150.48240000004</v>
      </c>
      <c r="S8" s="214">
        <f t="shared" si="0"/>
        <v>276312.03283000004</v>
      </c>
      <c r="T8" s="214">
        <f t="shared" si="0"/>
        <v>292340.36845999997</v>
      </c>
      <c r="U8" s="214">
        <f t="shared" si="0"/>
        <v>331380</v>
      </c>
      <c r="V8" s="214">
        <f t="shared" si="0"/>
        <v>310985</v>
      </c>
      <c r="W8" s="214">
        <f t="shared" si="0"/>
        <v>311860</v>
      </c>
      <c r="X8" s="214">
        <f t="shared" si="0"/>
        <v>354665</v>
      </c>
      <c r="Y8" s="214">
        <f>SUM(Y9:Y17)</f>
        <v>381920</v>
      </c>
      <c r="Z8" s="214">
        <f>SUM(Z9:Z17)</f>
        <v>410413</v>
      </c>
      <c r="AA8" s="214">
        <f>SUM(AA9:AA17)</f>
        <v>417799</v>
      </c>
      <c r="AB8" s="214">
        <f>SUM(AB9:AB17)</f>
        <v>470237</v>
      </c>
      <c r="AC8" s="214">
        <f>SUM(AC9:AC17)</f>
        <v>396009</v>
      </c>
    </row>
    <row r="9" spans="1:29" x14ac:dyDescent="0.35">
      <c r="A9" s="209" t="s">
        <v>317</v>
      </c>
      <c r="B9" s="447"/>
      <c r="C9" s="225">
        <v>20017</v>
      </c>
      <c r="D9" s="225">
        <v>31039</v>
      </c>
      <c r="E9" s="225">
        <v>27585</v>
      </c>
      <c r="F9" s="225">
        <v>24860.337339999998</v>
      </c>
      <c r="G9" s="225">
        <v>26222.019659999998</v>
      </c>
      <c r="H9" s="225">
        <v>36803.74504999999</v>
      </c>
      <c r="I9" s="225">
        <v>44593.012780000005</v>
      </c>
      <c r="J9" s="225">
        <v>190567</v>
      </c>
      <c r="K9" s="225">
        <v>48232</v>
      </c>
      <c r="L9" s="225">
        <v>328398.07150999998</v>
      </c>
      <c r="M9" s="225">
        <v>170761</v>
      </c>
      <c r="N9" s="225">
        <v>182169</v>
      </c>
      <c r="O9" s="225">
        <v>86000</v>
      </c>
      <c r="P9" s="225">
        <v>1000</v>
      </c>
      <c r="Q9" s="225"/>
      <c r="R9" s="225"/>
      <c r="S9" s="225">
        <v>241.30263000000002</v>
      </c>
      <c r="T9" s="225">
        <v>263.55959999999993</v>
      </c>
      <c r="U9" s="225">
        <v>552</v>
      </c>
      <c r="V9" s="225">
        <v>459</v>
      </c>
      <c r="W9" s="225"/>
      <c r="X9" s="225">
        <v>52957</v>
      </c>
      <c r="Y9" s="225">
        <v>54807</v>
      </c>
      <c r="Z9" s="225">
        <v>54742</v>
      </c>
      <c r="AA9" s="225">
        <v>67595</v>
      </c>
      <c r="AB9" s="225">
        <v>56889</v>
      </c>
      <c r="AC9" s="225">
        <v>88108</v>
      </c>
    </row>
    <row r="10" spans="1:29" x14ac:dyDescent="0.35">
      <c r="A10" s="209" t="s">
        <v>673</v>
      </c>
      <c r="B10" s="447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>
        <v>104000</v>
      </c>
      <c r="P10" s="225">
        <v>214000</v>
      </c>
      <c r="Q10" s="225">
        <v>237632</v>
      </c>
      <c r="R10" s="225">
        <v>30842.341870000004</v>
      </c>
      <c r="S10" s="225">
        <v>58287.746789999997</v>
      </c>
      <c r="T10" s="225">
        <v>86941.151489999989</v>
      </c>
      <c r="U10" s="225">
        <v>110782</v>
      </c>
      <c r="V10" s="225">
        <v>93462</v>
      </c>
      <c r="W10" s="225">
        <v>108000</v>
      </c>
      <c r="X10" s="225">
        <v>89990</v>
      </c>
      <c r="Y10" s="225">
        <v>95032</v>
      </c>
      <c r="Z10" s="225">
        <v>117259</v>
      </c>
      <c r="AA10" s="225">
        <v>116763</v>
      </c>
      <c r="AB10" s="225">
        <v>173512</v>
      </c>
      <c r="AC10" s="225">
        <v>147526</v>
      </c>
    </row>
    <row r="11" spans="1:29" x14ac:dyDescent="0.35">
      <c r="A11" s="209" t="s">
        <v>674</v>
      </c>
      <c r="B11" s="447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>
        <v>18180</v>
      </c>
      <c r="O11" s="225">
        <v>19000</v>
      </c>
      <c r="P11" s="225">
        <v>17000</v>
      </c>
      <c r="Q11" s="225">
        <v>18330</v>
      </c>
      <c r="R11" s="225">
        <v>17992.447079999998</v>
      </c>
      <c r="S11" s="225">
        <v>17959.653009999998</v>
      </c>
      <c r="T11" s="225">
        <v>16758.484550000001</v>
      </c>
      <c r="U11" s="225">
        <v>18414</v>
      </c>
      <c r="V11" s="225">
        <v>17714</v>
      </c>
      <c r="W11" s="225">
        <v>17440</v>
      </c>
      <c r="X11" s="225">
        <v>16332</v>
      </c>
      <c r="Y11" s="225">
        <v>15900</v>
      </c>
      <c r="Z11" s="225">
        <v>20095</v>
      </c>
      <c r="AA11" s="225">
        <v>20645</v>
      </c>
      <c r="AB11" s="225">
        <v>22512</v>
      </c>
      <c r="AC11" s="225">
        <v>15867</v>
      </c>
    </row>
    <row r="12" spans="1:29" x14ac:dyDescent="0.35">
      <c r="A12" s="209" t="s">
        <v>648</v>
      </c>
      <c r="B12" s="447"/>
      <c r="C12" s="225">
        <v>146377</v>
      </c>
      <c r="D12" s="225">
        <v>146671</v>
      </c>
      <c r="E12" s="225">
        <v>151696</v>
      </c>
      <c r="F12" s="225">
        <v>157698.73431</v>
      </c>
      <c r="G12" s="225">
        <v>186523.63626999999</v>
      </c>
      <c r="H12" s="225">
        <v>219098</v>
      </c>
      <c r="I12" s="225">
        <v>196205.51</v>
      </c>
      <c r="J12" s="225">
        <v>226332</v>
      </c>
      <c r="K12" s="225">
        <v>171597</v>
      </c>
      <c r="L12" s="225">
        <v>189764.93137999999</v>
      </c>
      <c r="M12" s="225">
        <v>193691</v>
      </c>
      <c r="N12" s="225">
        <v>177618</v>
      </c>
      <c r="O12" s="225">
        <v>169000</v>
      </c>
      <c r="P12" s="225">
        <v>169000</v>
      </c>
      <c r="Q12" s="225">
        <v>169377</v>
      </c>
      <c r="R12" s="225">
        <v>169376.74008000002</v>
      </c>
      <c r="S12" s="225">
        <v>179376.74008000002</v>
      </c>
      <c r="T12" s="225">
        <v>166552</v>
      </c>
      <c r="U12" s="225">
        <v>184478</v>
      </c>
      <c r="V12" s="225">
        <v>181983</v>
      </c>
      <c r="W12" s="225">
        <v>169420</v>
      </c>
      <c r="X12" s="225">
        <v>0</v>
      </c>
      <c r="Y12" s="225"/>
      <c r="Z12" s="225"/>
    </row>
    <row r="13" spans="1:29" x14ac:dyDescent="0.35">
      <c r="A13" s="209" t="s">
        <v>649</v>
      </c>
      <c r="B13" s="447"/>
      <c r="C13" s="225">
        <v>1167</v>
      </c>
      <c r="D13" s="225">
        <v>1941</v>
      </c>
      <c r="E13" s="225">
        <v>816</v>
      </c>
      <c r="F13" s="225">
        <v>874</v>
      </c>
      <c r="G13" s="225">
        <v>830</v>
      </c>
      <c r="H13" s="225">
        <v>946</v>
      </c>
      <c r="I13" s="225">
        <v>2792</v>
      </c>
      <c r="J13" s="225">
        <v>6056</v>
      </c>
      <c r="K13" s="225">
        <v>5640</v>
      </c>
      <c r="L13" s="225">
        <v>6129.9110899999996</v>
      </c>
      <c r="M13" s="225">
        <v>6990</v>
      </c>
      <c r="N13" s="225">
        <f>752+5664</f>
        <v>6416</v>
      </c>
      <c r="O13" s="225">
        <v>7000</v>
      </c>
      <c r="P13" s="225">
        <v>20000</v>
      </c>
      <c r="Q13" s="225">
        <v>16000</v>
      </c>
      <c r="R13" s="225">
        <v>14654.76748</v>
      </c>
      <c r="S13" s="225">
        <v>8537.892170000001</v>
      </c>
      <c r="T13" s="225">
        <v>12099.892750000001</v>
      </c>
      <c r="U13" s="225">
        <v>8150</v>
      </c>
      <c r="V13" s="225">
        <v>8170.9999999999991</v>
      </c>
      <c r="W13" s="225">
        <v>8000</v>
      </c>
      <c r="X13" s="225">
        <v>8170.9999999999991</v>
      </c>
      <c r="Y13" s="225">
        <v>8500</v>
      </c>
      <c r="Z13" s="225">
        <v>8901</v>
      </c>
      <c r="AA13" s="225">
        <v>9322</v>
      </c>
      <c r="AB13" s="225">
        <v>6107</v>
      </c>
      <c r="AC13" s="225">
        <v>6756</v>
      </c>
    </row>
    <row r="14" spans="1:29" x14ac:dyDescent="0.35">
      <c r="A14" s="209" t="s">
        <v>650</v>
      </c>
      <c r="B14" s="447"/>
      <c r="C14" s="225">
        <v>164</v>
      </c>
      <c r="D14" s="225">
        <v>67</v>
      </c>
      <c r="E14" s="225">
        <v>255</v>
      </c>
      <c r="F14" s="225">
        <v>248.58382999999998</v>
      </c>
      <c r="G14" s="225">
        <v>166.49234999999999</v>
      </c>
      <c r="H14" s="225">
        <v>46</v>
      </c>
      <c r="I14" s="225">
        <v>139.21197000000001</v>
      </c>
      <c r="J14" s="225" t="s">
        <v>243</v>
      </c>
      <c r="K14" s="225" t="s">
        <v>243</v>
      </c>
      <c r="L14" s="225">
        <v>2</v>
      </c>
      <c r="M14" s="225">
        <v>71</v>
      </c>
      <c r="N14" s="225">
        <v>25141</v>
      </c>
      <c r="O14" s="225"/>
      <c r="P14" s="225"/>
      <c r="Q14" s="225">
        <v>4403</v>
      </c>
      <c r="R14" s="225">
        <v>3205.4012399999992</v>
      </c>
      <c r="S14" s="225">
        <v>3225.6693499999997</v>
      </c>
      <c r="T14" s="225">
        <v>6448.2821500000009</v>
      </c>
      <c r="U14" s="225">
        <v>6464</v>
      </c>
      <c r="V14" s="225">
        <v>815</v>
      </c>
      <c r="W14" s="225">
        <v>1000</v>
      </c>
      <c r="X14" s="225">
        <v>0</v>
      </c>
      <c r="Y14" s="225"/>
      <c r="Z14" s="225"/>
      <c r="AA14" s="225"/>
      <c r="AB14" s="225">
        <v>0</v>
      </c>
      <c r="AC14" s="225"/>
    </row>
    <row r="15" spans="1:29" x14ac:dyDescent="0.35">
      <c r="A15" s="209" t="s">
        <v>551</v>
      </c>
      <c r="B15" s="447"/>
      <c r="C15" s="225">
        <v>2166</v>
      </c>
      <c r="D15" s="225">
        <v>2188</v>
      </c>
      <c r="E15" s="225">
        <v>1401</v>
      </c>
      <c r="F15" s="225">
        <v>659.43551000000002</v>
      </c>
      <c r="G15" s="225">
        <v>635.48128000000008</v>
      </c>
      <c r="H15" s="225">
        <v>634.38592000000006</v>
      </c>
      <c r="I15" s="225">
        <v>0</v>
      </c>
      <c r="J15" s="225" t="s">
        <v>243</v>
      </c>
      <c r="K15" s="225" t="s">
        <v>243</v>
      </c>
      <c r="L15" s="225"/>
      <c r="M15" s="225">
        <v>0</v>
      </c>
      <c r="N15" s="225">
        <v>5171</v>
      </c>
      <c r="O15" s="225">
        <v>5000</v>
      </c>
      <c r="P15" s="225">
        <v>5000</v>
      </c>
      <c r="Q15" s="225">
        <v>5697</v>
      </c>
      <c r="R15" s="225">
        <v>5697</v>
      </c>
      <c r="S15" s="225">
        <v>6447.3053</v>
      </c>
      <c r="T15" s="225">
        <v>821.54069000000004</v>
      </c>
      <c r="U15" s="225">
        <v>817</v>
      </c>
      <c r="V15" s="225">
        <v>6449</v>
      </c>
      <c r="W15" s="225">
        <v>6000</v>
      </c>
      <c r="X15" s="225">
        <v>6456</v>
      </c>
      <c r="Y15" s="225">
        <v>6456</v>
      </c>
      <c r="Z15" s="225">
        <v>7005</v>
      </c>
      <c r="AA15" s="225">
        <v>7016</v>
      </c>
      <c r="AB15" s="225">
        <v>7003</v>
      </c>
      <c r="AC15" s="225">
        <v>6923</v>
      </c>
    </row>
    <row r="16" spans="1:29" x14ac:dyDescent="0.35">
      <c r="A16" s="209" t="s">
        <v>675</v>
      </c>
      <c r="B16" s="447"/>
      <c r="C16" s="225">
        <v>1328</v>
      </c>
      <c r="D16" s="225">
        <v>2012</v>
      </c>
      <c r="E16" s="225">
        <v>163</v>
      </c>
      <c r="F16" s="225">
        <v>173</v>
      </c>
      <c r="G16" s="225">
        <v>106.73839</v>
      </c>
      <c r="H16" s="225">
        <v>338.98947999999996</v>
      </c>
      <c r="I16" s="225">
        <v>431</v>
      </c>
      <c r="J16" s="225">
        <v>6609</v>
      </c>
      <c r="K16" s="225">
        <v>1116</v>
      </c>
      <c r="L16" s="225">
        <v>1371</v>
      </c>
      <c r="M16" s="225">
        <v>817</v>
      </c>
      <c r="N16" s="225">
        <v>983</v>
      </c>
      <c r="O16" s="225">
        <v>6000</v>
      </c>
      <c r="P16" s="225">
        <v>7000</v>
      </c>
      <c r="Q16" s="225">
        <v>2000</v>
      </c>
      <c r="R16" s="225">
        <v>2381.7846500000001</v>
      </c>
      <c r="S16" s="225">
        <v>2235.7234999999996</v>
      </c>
      <c r="T16" s="225">
        <v>2455.45723</v>
      </c>
      <c r="U16" s="225">
        <v>1723</v>
      </c>
      <c r="V16" s="225">
        <v>1932</v>
      </c>
      <c r="W16" s="225">
        <v>2000</v>
      </c>
      <c r="X16" s="225">
        <v>180759</v>
      </c>
      <c r="Y16" s="225">
        <v>7042</v>
      </c>
      <c r="Z16" s="225">
        <v>2870</v>
      </c>
      <c r="AA16" s="225">
        <v>2396</v>
      </c>
      <c r="AB16" s="225">
        <v>797</v>
      </c>
      <c r="AC16" s="225">
        <v>1249</v>
      </c>
    </row>
    <row r="17" spans="1:29" ht="15" thickBot="1" x14ac:dyDescent="0.4">
      <c r="A17" s="209" t="s">
        <v>331</v>
      </c>
      <c r="B17" s="447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>
        <v>194183</v>
      </c>
      <c r="Z17" s="225">
        <v>199541</v>
      </c>
      <c r="AA17" s="225">
        <v>194062</v>
      </c>
      <c r="AB17" s="225">
        <v>203417</v>
      </c>
      <c r="AC17" s="225">
        <v>129580</v>
      </c>
    </row>
    <row r="18" spans="1:29" ht="15" thickBot="1" x14ac:dyDescent="0.4">
      <c r="A18" s="213" t="s">
        <v>333</v>
      </c>
      <c r="B18" s="446"/>
      <c r="C18" s="214">
        <f t="shared" ref="C18:AC18" si="1">C19+C28</f>
        <v>439974</v>
      </c>
      <c r="D18" s="214">
        <f t="shared" si="1"/>
        <v>436432.04950000002</v>
      </c>
      <c r="E18" s="214">
        <f t="shared" si="1"/>
        <v>431927.04950000002</v>
      </c>
      <c r="F18" s="214">
        <f t="shared" si="1"/>
        <v>440250.53160000005</v>
      </c>
      <c r="G18" s="214">
        <f t="shared" si="1"/>
        <v>421578.04950000002</v>
      </c>
      <c r="H18" s="214">
        <f t="shared" si="1"/>
        <v>395865.59128000005</v>
      </c>
      <c r="I18" s="214">
        <f t="shared" si="1"/>
        <v>422652.31109000003</v>
      </c>
      <c r="J18" s="214">
        <f t="shared" si="1"/>
        <v>451106</v>
      </c>
      <c r="K18" s="214">
        <f t="shared" si="1"/>
        <v>521018</v>
      </c>
      <c r="L18" s="214">
        <f t="shared" si="1"/>
        <v>547422.24542999989</v>
      </c>
      <c r="M18" s="214">
        <f t="shared" si="1"/>
        <v>551206</v>
      </c>
      <c r="N18" s="214">
        <f t="shared" si="1"/>
        <v>874347</v>
      </c>
      <c r="O18" s="214">
        <f t="shared" si="1"/>
        <v>874000</v>
      </c>
      <c r="P18" s="214">
        <f t="shared" si="1"/>
        <v>869000</v>
      </c>
      <c r="Q18" s="214">
        <f t="shared" si="1"/>
        <v>861782</v>
      </c>
      <c r="R18" s="214">
        <f t="shared" si="1"/>
        <v>830167.97762999998</v>
      </c>
      <c r="S18" s="214">
        <f t="shared" si="1"/>
        <v>811185.67625999998</v>
      </c>
      <c r="T18" s="214">
        <f t="shared" si="1"/>
        <v>815825.08623999998</v>
      </c>
      <c r="U18" s="214">
        <f t="shared" si="1"/>
        <v>787359.32689999999</v>
      </c>
      <c r="V18" s="214">
        <f t="shared" si="1"/>
        <v>777858.32689999999</v>
      </c>
      <c r="W18" s="214">
        <f t="shared" si="1"/>
        <v>770384.32689999999</v>
      </c>
      <c r="X18" s="214">
        <f t="shared" si="1"/>
        <v>752023</v>
      </c>
      <c r="Y18" s="214">
        <f t="shared" si="1"/>
        <v>720209</v>
      </c>
      <c r="Z18" s="214">
        <f t="shared" si="1"/>
        <v>696507</v>
      </c>
      <c r="AA18" s="214">
        <f t="shared" si="1"/>
        <v>686138</v>
      </c>
      <c r="AB18" s="214">
        <f t="shared" si="1"/>
        <v>678018</v>
      </c>
      <c r="AC18" s="214">
        <f t="shared" si="1"/>
        <v>747636</v>
      </c>
    </row>
    <row r="19" spans="1:29" ht="15" thickBot="1" x14ac:dyDescent="0.4">
      <c r="A19" s="213" t="s">
        <v>334</v>
      </c>
      <c r="B19" s="446"/>
      <c r="C19" s="214">
        <f t="shared" ref="C19:AC19" si="2">SUM(C20:C27)</f>
        <v>439597</v>
      </c>
      <c r="D19" s="214">
        <f t="shared" si="2"/>
        <v>436070.04950000002</v>
      </c>
      <c r="E19" s="214">
        <f t="shared" si="2"/>
        <v>431580.04950000002</v>
      </c>
      <c r="F19" s="214">
        <f t="shared" si="2"/>
        <v>439918.35872000002</v>
      </c>
      <c r="G19" s="214">
        <f t="shared" si="2"/>
        <v>421261.04950000002</v>
      </c>
      <c r="H19" s="214">
        <f t="shared" si="2"/>
        <v>395461.04607000004</v>
      </c>
      <c r="I19" s="214">
        <f t="shared" si="2"/>
        <v>422171.31109000003</v>
      </c>
      <c r="J19" s="214">
        <f t="shared" si="2"/>
        <v>450162</v>
      </c>
      <c r="K19" s="214">
        <f t="shared" si="2"/>
        <v>519369</v>
      </c>
      <c r="L19" s="214">
        <f t="shared" si="2"/>
        <v>545789.24542999989</v>
      </c>
      <c r="M19" s="214">
        <f t="shared" si="2"/>
        <v>532998</v>
      </c>
      <c r="N19" s="214">
        <f t="shared" si="2"/>
        <v>873473</v>
      </c>
      <c r="O19" s="214">
        <f t="shared" si="2"/>
        <v>873000</v>
      </c>
      <c r="P19" s="214">
        <f t="shared" si="2"/>
        <v>868000</v>
      </c>
      <c r="Q19" s="214">
        <f t="shared" si="2"/>
        <v>860801</v>
      </c>
      <c r="R19" s="214">
        <f t="shared" si="2"/>
        <v>830167.97762999998</v>
      </c>
      <c r="S19" s="214">
        <f t="shared" si="2"/>
        <v>811045.48005000001</v>
      </c>
      <c r="T19" s="214">
        <f t="shared" si="2"/>
        <v>815783.32689999999</v>
      </c>
      <c r="U19" s="214">
        <f t="shared" si="2"/>
        <v>787359.32689999999</v>
      </c>
      <c r="V19" s="214">
        <f t="shared" si="2"/>
        <v>777506.32689999999</v>
      </c>
      <c r="W19" s="214">
        <f t="shared" si="2"/>
        <v>770032.32689999999</v>
      </c>
      <c r="X19" s="214">
        <f t="shared" si="2"/>
        <v>751671</v>
      </c>
      <c r="Y19" s="214">
        <f t="shared" si="2"/>
        <v>719876</v>
      </c>
      <c r="Z19" s="214">
        <f t="shared" si="2"/>
        <v>696279</v>
      </c>
      <c r="AA19" s="214">
        <f t="shared" si="2"/>
        <v>686138</v>
      </c>
      <c r="AB19" s="214">
        <f t="shared" si="2"/>
        <v>678018</v>
      </c>
      <c r="AC19" s="214">
        <f t="shared" si="2"/>
        <v>747636</v>
      </c>
    </row>
    <row r="20" spans="1:29" x14ac:dyDescent="0.35">
      <c r="A20" s="209" t="s">
        <v>648</v>
      </c>
      <c r="B20" s="447"/>
      <c r="C20" s="225">
        <v>427379</v>
      </c>
      <c r="D20" s="225">
        <v>423647</v>
      </c>
      <c r="E20" s="225">
        <v>420211</v>
      </c>
      <c r="F20" s="225">
        <v>428427.65499000001</v>
      </c>
      <c r="G20" s="225">
        <v>410406</v>
      </c>
      <c r="H20" s="225">
        <v>384489.4</v>
      </c>
      <c r="I20" s="225">
        <v>411422</v>
      </c>
      <c r="J20" s="225">
        <v>371614</v>
      </c>
      <c r="K20" s="225">
        <v>479616</v>
      </c>
      <c r="L20" s="225">
        <v>451093.85552999994</v>
      </c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>
        <v>0</v>
      </c>
      <c r="Y20" s="225"/>
      <c r="Z20" s="225"/>
      <c r="AA20" s="225"/>
      <c r="AB20" s="225"/>
      <c r="AC20" s="225"/>
    </row>
    <row r="21" spans="1:29" x14ac:dyDescent="0.35">
      <c r="A21" s="209" t="s">
        <v>676</v>
      </c>
      <c r="B21" s="447"/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78309</v>
      </c>
      <c r="K21" s="225">
        <v>36648</v>
      </c>
      <c r="L21" s="225">
        <v>94662.389900000009</v>
      </c>
      <c r="M21" s="225">
        <v>532965</v>
      </c>
      <c r="N21" s="225">
        <v>873440</v>
      </c>
      <c r="O21" s="225">
        <v>873000</v>
      </c>
      <c r="P21" s="225">
        <v>868000</v>
      </c>
      <c r="Q21" s="225">
        <v>860801</v>
      </c>
      <c r="R21" s="225">
        <v>829167.97762999998</v>
      </c>
      <c r="S21" s="225">
        <v>811013.15315000003</v>
      </c>
      <c r="T21" s="225">
        <v>815751</v>
      </c>
      <c r="U21" s="225">
        <v>787327</v>
      </c>
      <c r="V21" s="225">
        <v>777474</v>
      </c>
      <c r="W21" s="225">
        <v>770000</v>
      </c>
      <c r="X21" s="225">
        <v>751671</v>
      </c>
      <c r="Y21" s="225">
        <v>718977</v>
      </c>
      <c r="Z21" s="225">
        <v>696247</v>
      </c>
      <c r="AA21" s="225">
        <v>686106</v>
      </c>
      <c r="AB21" s="225">
        <v>677986</v>
      </c>
      <c r="AC21" s="225">
        <v>747604</v>
      </c>
    </row>
    <row r="22" spans="1:29" x14ac:dyDescent="0.35">
      <c r="A22" s="209" t="s">
        <v>677</v>
      </c>
      <c r="B22" s="447"/>
      <c r="C22" s="225"/>
      <c r="D22" s="225"/>
      <c r="E22" s="225"/>
      <c r="F22" s="225"/>
      <c r="G22" s="225"/>
      <c r="H22" s="225"/>
      <c r="I22" s="225"/>
      <c r="J22" s="225"/>
      <c r="K22" s="225">
        <v>3073</v>
      </c>
      <c r="L22" s="225">
        <v>0</v>
      </c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>
        <v>0</v>
      </c>
      <c r="Y22" s="225"/>
      <c r="Z22" s="225"/>
      <c r="AA22" s="225"/>
      <c r="AB22" s="225"/>
      <c r="AC22" s="225"/>
    </row>
    <row r="23" spans="1:29" x14ac:dyDescent="0.35">
      <c r="A23" s="209" t="s">
        <v>655</v>
      </c>
      <c r="B23" s="447"/>
      <c r="C23" s="225">
        <v>12212</v>
      </c>
      <c r="D23" s="225">
        <v>12417</v>
      </c>
      <c r="E23" s="225">
        <v>11363</v>
      </c>
      <c r="F23" s="225">
        <v>11484.55423</v>
      </c>
      <c r="G23" s="225">
        <v>10849</v>
      </c>
      <c r="H23" s="225">
        <v>10965.59657</v>
      </c>
      <c r="I23" s="225">
        <v>10743.26159</v>
      </c>
      <c r="J23" s="225">
        <v>0</v>
      </c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>
        <v>0</v>
      </c>
      <c r="Y23" s="225"/>
      <c r="Z23" s="225"/>
      <c r="AA23" s="225"/>
      <c r="AB23" s="225"/>
      <c r="AC23" s="225"/>
    </row>
    <row r="24" spans="1:29" x14ac:dyDescent="0.35">
      <c r="A24" s="209" t="s">
        <v>327</v>
      </c>
      <c r="B24" s="447"/>
      <c r="C24" s="225">
        <v>0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207</v>
      </c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>
        <v>0</v>
      </c>
      <c r="Y24" s="225"/>
      <c r="Z24" s="225"/>
      <c r="AA24" s="225"/>
      <c r="AB24" s="225"/>
      <c r="AC24" s="225"/>
    </row>
    <row r="25" spans="1:29" x14ac:dyDescent="0.35">
      <c r="A25" s="209" t="s">
        <v>551</v>
      </c>
      <c r="B25" s="447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</row>
    <row r="26" spans="1:29" x14ac:dyDescent="0.35">
      <c r="A26" s="209" t="s">
        <v>342</v>
      </c>
      <c r="B26" s="447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>
        <v>0</v>
      </c>
      <c r="Y26" s="225">
        <v>867</v>
      </c>
      <c r="Z26" s="225"/>
      <c r="AA26" s="225"/>
      <c r="AB26" s="225"/>
      <c r="AC26" s="225"/>
    </row>
    <row r="27" spans="1:29" ht="15" thickBot="1" x14ac:dyDescent="0.4">
      <c r="A27" s="209" t="s">
        <v>324</v>
      </c>
      <c r="B27" s="447"/>
      <c r="C27" s="225">
        <v>6</v>
      </c>
      <c r="D27" s="225">
        <v>6.0495000000000001</v>
      </c>
      <c r="E27" s="225">
        <v>6.0495000000000001</v>
      </c>
      <c r="F27" s="225">
        <v>6.1494999999999997</v>
      </c>
      <c r="G27" s="225">
        <v>6.0495000000000001</v>
      </c>
      <c r="H27" s="225">
        <v>6.0495000000000001</v>
      </c>
      <c r="I27" s="225">
        <v>6.0495000000000001</v>
      </c>
      <c r="J27" s="225">
        <v>32</v>
      </c>
      <c r="K27" s="225">
        <v>32</v>
      </c>
      <c r="L27" s="225">
        <v>33</v>
      </c>
      <c r="M27" s="225">
        <v>33</v>
      </c>
      <c r="N27" s="225">
        <v>33</v>
      </c>
      <c r="O27" s="225"/>
      <c r="P27" s="225"/>
      <c r="Q27" s="225"/>
      <c r="R27" s="225">
        <v>1000</v>
      </c>
      <c r="S27" s="225">
        <v>32.326900000000002</v>
      </c>
      <c r="T27" s="225">
        <v>32.326900000000002</v>
      </c>
      <c r="U27" s="225">
        <v>32.326900000000002</v>
      </c>
      <c r="V27" s="225">
        <v>32.326900000000002</v>
      </c>
      <c r="W27" s="225">
        <v>32.326900000000002</v>
      </c>
      <c r="X27" s="225">
        <v>0</v>
      </c>
      <c r="Y27" s="225">
        <v>32</v>
      </c>
      <c r="Z27" s="225">
        <v>32</v>
      </c>
      <c r="AA27" s="225">
        <v>32</v>
      </c>
      <c r="AB27" s="225">
        <v>32</v>
      </c>
      <c r="AC27" s="225">
        <v>32</v>
      </c>
    </row>
    <row r="28" spans="1:29" ht="15" thickBot="1" x14ac:dyDescent="0.4">
      <c r="A28" s="213" t="s">
        <v>340</v>
      </c>
      <c r="B28" s="446"/>
      <c r="C28" s="214">
        <f t="shared" ref="C28:X28" si="3">SUM(C29:C30)</f>
        <v>377</v>
      </c>
      <c r="D28" s="214">
        <f t="shared" si="3"/>
        <v>362</v>
      </c>
      <c r="E28" s="214">
        <f t="shared" si="3"/>
        <v>347</v>
      </c>
      <c r="F28" s="214">
        <f t="shared" si="3"/>
        <v>332.17288000000002</v>
      </c>
      <c r="G28" s="214">
        <f t="shared" si="3"/>
        <v>317</v>
      </c>
      <c r="H28" s="214">
        <f t="shared" si="3"/>
        <v>404.54521</v>
      </c>
      <c r="I28" s="214">
        <f t="shared" si="3"/>
        <v>481</v>
      </c>
      <c r="J28" s="214">
        <f t="shared" si="3"/>
        <v>944</v>
      </c>
      <c r="K28" s="214">
        <f t="shared" si="3"/>
        <v>1649</v>
      </c>
      <c r="L28" s="214">
        <f t="shared" si="3"/>
        <v>1633</v>
      </c>
      <c r="M28" s="214">
        <f t="shared" si="3"/>
        <v>18208</v>
      </c>
      <c r="N28" s="214">
        <f t="shared" si="3"/>
        <v>874</v>
      </c>
      <c r="O28" s="214">
        <f t="shared" si="3"/>
        <v>1000</v>
      </c>
      <c r="P28" s="214">
        <f t="shared" si="3"/>
        <v>1000</v>
      </c>
      <c r="Q28" s="214">
        <f t="shared" si="3"/>
        <v>981</v>
      </c>
      <c r="R28" s="214">
        <f t="shared" si="3"/>
        <v>0</v>
      </c>
      <c r="S28" s="214">
        <f t="shared" si="3"/>
        <v>140.19620999997852</v>
      </c>
      <c r="T28" s="214">
        <f t="shared" si="3"/>
        <v>41.759339999955309</v>
      </c>
      <c r="U28" s="214">
        <f t="shared" si="3"/>
        <v>0</v>
      </c>
      <c r="V28" s="214">
        <f t="shared" si="3"/>
        <v>352</v>
      </c>
      <c r="W28" s="214">
        <f t="shared" si="3"/>
        <v>352</v>
      </c>
      <c r="X28" s="214">
        <f t="shared" si="3"/>
        <v>352</v>
      </c>
      <c r="Y28" s="214">
        <f>SUM(Y29:Y30)</f>
        <v>333</v>
      </c>
      <c r="Z28" s="214">
        <f>SUM(Z29:Z30)</f>
        <v>228</v>
      </c>
      <c r="AA28" s="214">
        <f>SUM(AA29:AA30)</f>
        <v>0</v>
      </c>
      <c r="AB28" s="214">
        <f>SUM(AB29:AB30)</f>
        <v>0</v>
      </c>
      <c r="AC28" s="214">
        <f>SUM(AC29:AC30)</f>
        <v>0</v>
      </c>
    </row>
    <row r="29" spans="1:29" x14ac:dyDescent="0.35">
      <c r="A29" s="209" t="s">
        <v>343</v>
      </c>
      <c r="B29" s="447"/>
      <c r="C29" s="225">
        <v>377</v>
      </c>
      <c r="D29" s="225">
        <v>362</v>
      </c>
      <c r="E29" s="225">
        <v>347</v>
      </c>
      <c r="F29" s="225">
        <v>332.17288000000002</v>
      </c>
      <c r="G29" s="225">
        <v>317</v>
      </c>
      <c r="H29" s="225">
        <v>404.54521</v>
      </c>
      <c r="I29" s="225">
        <v>481</v>
      </c>
      <c r="J29" s="225">
        <v>944</v>
      </c>
      <c r="K29" s="225">
        <v>1649</v>
      </c>
      <c r="L29" s="225">
        <v>1633</v>
      </c>
      <c r="M29" s="225">
        <v>18208</v>
      </c>
      <c r="N29" s="225">
        <v>211</v>
      </c>
      <c r="O29" s="225"/>
      <c r="P29" s="225"/>
      <c r="Q29" s="225"/>
      <c r="R29" s="225"/>
      <c r="S29" s="225">
        <v>140.19620999997852</v>
      </c>
      <c r="T29" s="225">
        <v>41.759339999955309</v>
      </c>
      <c r="U29" s="225"/>
      <c r="V29" s="225">
        <v>352</v>
      </c>
      <c r="W29" s="225">
        <v>352</v>
      </c>
      <c r="X29" s="225">
        <v>352</v>
      </c>
      <c r="Y29" s="225">
        <v>333</v>
      </c>
      <c r="Z29" s="225">
        <v>228</v>
      </c>
      <c r="AA29" s="225"/>
      <c r="AB29" s="225"/>
      <c r="AC29" s="225"/>
    </row>
    <row r="30" spans="1:29" ht="15" thickBot="1" x14ac:dyDescent="0.4">
      <c r="A30" s="209" t="s">
        <v>344</v>
      </c>
      <c r="B30" s="447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>
        <v>663</v>
      </c>
      <c r="O30" s="225">
        <v>1000</v>
      </c>
      <c r="P30" s="225">
        <v>1000</v>
      </c>
      <c r="Q30" s="225">
        <v>981</v>
      </c>
      <c r="R30" s="225"/>
      <c r="S30" s="225"/>
      <c r="T30" s="225"/>
      <c r="U30" s="225"/>
      <c r="V30" s="225"/>
      <c r="W30" s="225"/>
      <c r="X30" s="225">
        <v>0</v>
      </c>
      <c r="Y30" s="225"/>
      <c r="Z30" s="225"/>
      <c r="AA30" s="225"/>
      <c r="AB30" s="225"/>
      <c r="AC30" s="225"/>
    </row>
    <row r="31" spans="1:29" ht="15" thickBot="1" x14ac:dyDescent="0.4">
      <c r="A31" s="213" t="s">
        <v>346</v>
      </c>
      <c r="B31" s="446"/>
      <c r="C31" s="214">
        <f t="shared" ref="C31:AC31" si="4">C18+C8</f>
        <v>611193</v>
      </c>
      <c r="D31" s="214">
        <f t="shared" si="4"/>
        <v>620350.04949999996</v>
      </c>
      <c r="E31" s="214">
        <f t="shared" si="4"/>
        <v>613843.04949999996</v>
      </c>
      <c r="F31" s="214">
        <f t="shared" si="4"/>
        <v>624764.62259000004</v>
      </c>
      <c r="G31" s="214">
        <f t="shared" si="4"/>
        <v>636062.41745000007</v>
      </c>
      <c r="H31" s="214">
        <f t="shared" si="4"/>
        <v>653732.7117300001</v>
      </c>
      <c r="I31" s="214">
        <f t="shared" si="4"/>
        <v>666813.04584000004</v>
      </c>
      <c r="J31" s="214">
        <f t="shared" si="4"/>
        <v>880670</v>
      </c>
      <c r="K31" s="214">
        <f t="shared" si="4"/>
        <v>747603</v>
      </c>
      <c r="L31" s="214">
        <f t="shared" si="4"/>
        <v>1073088.1594099998</v>
      </c>
      <c r="M31" s="214">
        <f t="shared" si="4"/>
        <v>923536</v>
      </c>
      <c r="N31" s="214">
        <f t="shared" si="4"/>
        <v>1290025</v>
      </c>
      <c r="O31" s="214">
        <f t="shared" si="4"/>
        <v>1270000</v>
      </c>
      <c r="P31" s="214">
        <f t="shared" si="4"/>
        <v>1302000</v>
      </c>
      <c r="Q31" s="214">
        <f t="shared" si="4"/>
        <v>1315221</v>
      </c>
      <c r="R31" s="214">
        <f t="shared" si="4"/>
        <v>1074318.46003</v>
      </c>
      <c r="S31" s="214">
        <f t="shared" si="4"/>
        <v>1087497.70909</v>
      </c>
      <c r="T31" s="214">
        <f t="shared" si="4"/>
        <v>1108165.4546999999</v>
      </c>
      <c r="U31" s="214">
        <f t="shared" si="4"/>
        <v>1118739.3269</v>
      </c>
      <c r="V31" s="214">
        <f t="shared" si="4"/>
        <v>1088843.3269</v>
      </c>
      <c r="W31" s="214">
        <f t="shared" si="4"/>
        <v>1082244.3269</v>
      </c>
      <c r="X31" s="214">
        <f t="shared" si="4"/>
        <v>1106688</v>
      </c>
      <c r="Y31" s="214">
        <f t="shared" si="4"/>
        <v>1102129</v>
      </c>
      <c r="Z31" s="214">
        <f t="shared" si="4"/>
        <v>1106920</v>
      </c>
      <c r="AA31" s="214">
        <f t="shared" si="4"/>
        <v>1103937</v>
      </c>
      <c r="AB31" s="214">
        <f t="shared" si="4"/>
        <v>1148255</v>
      </c>
      <c r="AC31" s="214">
        <f t="shared" si="4"/>
        <v>1143645</v>
      </c>
    </row>
    <row r="32" spans="1:29" x14ac:dyDescent="0.35">
      <c r="A32" s="209"/>
      <c r="B32" s="210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</row>
    <row r="33" spans="1:29" ht="15" thickBot="1" x14ac:dyDescent="0.4">
      <c r="A33" s="5" t="s">
        <v>657</v>
      </c>
      <c r="B33" s="445"/>
      <c r="C33" s="573" t="s">
        <v>57</v>
      </c>
      <c r="D33" s="573" t="s">
        <v>58</v>
      </c>
      <c r="E33" s="573" t="s">
        <v>59</v>
      </c>
      <c r="F33" s="573" t="s">
        <v>60</v>
      </c>
      <c r="G33" s="573" t="s">
        <v>61</v>
      </c>
      <c r="H33" s="573" t="s">
        <v>62</v>
      </c>
      <c r="I33" s="573" t="s">
        <v>63</v>
      </c>
      <c r="J33" s="573" t="s">
        <v>64</v>
      </c>
      <c r="K33" s="573" t="s">
        <v>65</v>
      </c>
      <c r="L33" s="573" t="s">
        <v>66</v>
      </c>
      <c r="M33" s="573" t="s">
        <v>67</v>
      </c>
      <c r="N33" s="573" t="s">
        <v>68</v>
      </c>
      <c r="O33" s="573" t="str">
        <f t="shared" ref="O33:T33" si="5">O7</f>
        <v>1T20</v>
      </c>
      <c r="P33" s="573" t="str">
        <f t="shared" si="5"/>
        <v>2T20</v>
      </c>
      <c r="Q33" s="573" t="str">
        <f t="shared" si="5"/>
        <v>3T20</v>
      </c>
      <c r="R33" s="573" t="str">
        <f t="shared" si="5"/>
        <v>4T20</v>
      </c>
      <c r="S33" s="573" t="str">
        <f t="shared" si="5"/>
        <v>1T21</v>
      </c>
      <c r="T33" s="573" t="str">
        <f t="shared" si="5"/>
        <v>2T21</v>
      </c>
      <c r="U33" s="573" t="s">
        <v>75</v>
      </c>
      <c r="V33" s="573" t="s">
        <v>76</v>
      </c>
      <c r="W33" s="573" t="str">
        <f>W7</f>
        <v>1T22</v>
      </c>
      <c r="X33" s="573" t="s">
        <v>78</v>
      </c>
      <c r="Y33" s="573" t="s">
        <v>79</v>
      </c>
      <c r="Z33" s="573" t="str">
        <f>Z7</f>
        <v>4T22</v>
      </c>
      <c r="AA33" s="573" t="str">
        <f>AA7</f>
        <v>1T23</v>
      </c>
      <c r="AB33" s="573" t="s">
        <v>82</v>
      </c>
      <c r="AC33" s="573" t="s">
        <v>83</v>
      </c>
    </row>
    <row r="34" spans="1:29" ht="15" thickBot="1" x14ac:dyDescent="0.4">
      <c r="A34" s="213" t="s">
        <v>316</v>
      </c>
      <c r="B34" s="446"/>
      <c r="C34" s="214">
        <f t="shared" ref="C34:AB34" si="6">SUM(C35:C45)</f>
        <v>53895.29</v>
      </c>
      <c r="D34" s="214">
        <f t="shared" si="6"/>
        <v>53652</v>
      </c>
      <c r="E34" s="214">
        <f t="shared" si="6"/>
        <v>42750.54</v>
      </c>
      <c r="F34" s="214">
        <f t="shared" si="6"/>
        <v>58628.891449999996</v>
      </c>
      <c r="G34" s="214">
        <f t="shared" si="6"/>
        <v>59164.866830000006</v>
      </c>
      <c r="H34" s="214">
        <f t="shared" si="6"/>
        <v>58415.987770000007</v>
      </c>
      <c r="I34" s="214">
        <f t="shared" si="6"/>
        <v>58826.829830000002</v>
      </c>
      <c r="J34" s="214">
        <f t="shared" si="6"/>
        <v>34594</v>
      </c>
      <c r="K34" s="214">
        <f t="shared" si="6"/>
        <v>57462</v>
      </c>
      <c r="L34" s="214">
        <f t="shared" si="6"/>
        <v>43008.251749999996</v>
      </c>
      <c r="M34" s="214">
        <f t="shared" si="6"/>
        <v>47007</v>
      </c>
      <c r="N34" s="214">
        <f t="shared" si="6"/>
        <v>89659</v>
      </c>
      <c r="O34" s="214">
        <f t="shared" si="6"/>
        <v>79000</v>
      </c>
      <c r="P34" s="214">
        <f t="shared" si="6"/>
        <v>94000</v>
      </c>
      <c r="Q34" s="214">
        <f t="shared" si="6"/>
        <v>92500</v>
      </c>
      <c r="R34" s="214">
        <f t="shared" si="6"/>
        <v>59162.379419999997</v>
      </c>
      <c r="S34" s="214">
        <f t="shared" si="6"/>
        <v>55890.406499999997</v>
      </c>
      <c r="T34" s="214">
        <f t="shared" si="6"/>
        <v>103665.12505000002</v>
      </c>
      <c r="U34" s="214">
        <f t="shared" si="6"/>
        <v>98444</v>
      </c>
      <c r="V34" s="214">
        <f t="shared" si="6"/>
        <v>58889</v>
      </c>
      <c r="W34" s="214">
        <f t="shared" si="6"/>
        <v>61000</v>
      </c>
      <c r="X34" s="214">
        <f t="shared" si="6"/>
        <v>84933</v>
      </c>
      <c r="Y34" s="214">
        <f t="shared" si="6"/>
        <v>70685</v>
      </c>
      <c r="Z34" s="214">
        <f t="shared" si="6"/>
        <v>123676</v>
      </c>
      <c r="AA34" s="214">
        <f t="shared" si="6"/>
        <v>111976</v>
      </c>
      <c r="AB34" s="214">
        <f t="shared" si="6"/>
        <v>374958</v>
      </c>
      <c r="AC34" s="214">
        <f>SUM(AC35:AC45)</f>
        <v>342548</v>
      </c>
    </row>
    <row r="35" spans="1:29" x14ac:dyDescent="0.35">
      <c r="A35" s="218" t="s">
        <v>348</v>
      </c>
      <c r="B35" s="447"/>
      <c r="C35" s="225">
        <v>1000</v>
      </c>
      <c r="D35" s="225">
        <v>792</v>
      </c>
      <c r="E35" s="225">
        <v>1105</v>
      </c>
      <c r="F35" s="225">
        <v>6561.8914500000001</v>
      </c>
      <c r="G35" s="225">
        <v>4404</v>
      </c>
      <c r="H35" s="225">
        <v>3463.9611299999997</v>
      </c>
      <c r="I35" s="225">
        <v>3896</v>
      </c>
      <c r="J35" s="225">
        <v>4410</v>
      </c>
      <c r="K35" s="225">
        <v>22621</v>
      </c>
      <c r="L35" s="225">
        <v>21737.251749999999</v>
      </c>
      <c r="M35" s="225">
        <v>22586</v>
      </c>
      <c r="N35" s="225">
        <v>27745</v>
      </c>
      <c r="O35" s="225">
        <v>27000</v>
      </c>
      <c r="P35" s="225">
        <v>31000</v>
      </c>
      <c r="Q35" s="225">
        <v>34326</v>
      </c>
      <c r="R35" s="225">
        <v>32483.488209999996</v>
      </c>
      <c r="S35" s="225">
        <v>30302.26802</v>
      </c>
      <c r="T35" s="225">
        <v>27897.092470000003</v>
      </c>
      <c r="U35" s="225">
        <v>28856</v>
      </c>
      <c r="V35" s="225">
        <v>30420</v>
      </c>
      <c r="W35" s="225">
        <v>29000</v>
      </c>
      <c r="X35" s="225">
        <v>28831</v>
      </c>
      <c r="Y35" s="225">
        <v>28932</v>
      </c>
      <c r="Z35" s="225">
        <v>30329</v>
      </c>
      <c r="AA35" s="225">
        <v>28778</v>
      </c>
      <c r="AB35" s="225">
        <v>28913</v>
      </c>
      <c r="AC35" s="225">
        <v>5997</v>
      </c>
    </row>
    <row r="36" spans="1:29" x14ac:dyDescent="0.35">
      <c r="A36" s="218" t="s">
        <v>350</v>
      </c>
      <c r="B36" s="447"/>
      <c r="C36" s="225">
        <v>786</v>
      </c>
      <c r="D36" s="225">
        <v>858</v>
      </c>
      <c r="E36" s="225">
        <v>875.49</v>
      </c>
      <c r="F36" s="225">
        <v>1013</v>
      </c>
      <c r="G36" s="225">
        <v>677</v>
      </c>
      <c r="H36" s="225">
        <v>767.91060000000004</v>
      </c>
      <c r="I36" s="225">
        <v>865</v>
      </c>
      <c r="J36" s="225"/>
      <c r="K36" s="225">
        <v>741</v>
      </c>
      <c r="L36" s="225">
        <v>1028</v>
      </c>
      <c r="M36" s="225">
        <v>887</v>
      </c>
      <c r="N36" s="225">
        <v>1129</v>
      </c>
      <c r="O36" s="225">
        <v>1000</v>
      </c>
      <c r="P36" s="225">
        <v>1000</v>
      </c>
      <c r="Q36" s="225">
        <v>1000</v>
      </c>
      <c r="R36" s="225">
        <v>807.01054999999997</v>
      </c>
      <c r="S36" s="225">
        <v>838.14433999999994</v>
      </c>
      <c r="T36" s="225">
        <v>775.23567000000025</v>
      </c>
      <c r="U36" s="225">
        <v>1018.9999999999999</v>
      </c>
      <c r="V36" s="225">
        <v>983</v>
      </c>
      <c r="W36" s="225">
        <v>1000</v>
      </c>
      <c r="X36" s="225">
        <v>1085</v>
      </c>
      <c r="Y36" s="225">
        <v>564</v>
      </c>
      <c r="Z36" s="225">
        <v>354</v>
      </c>
      <c r="AA36" s="225">
        <v>422</v>
      </c>
      <c r="AB36" s="225">
        <v>384</v>
      </c>
      <c r="AC36" s="225">
        <v>571</v>
      </c>
    </row>
    <row r="37" spans="1:29" x14ac:dyDescent="0.35">
      <c r="A37" s="209" t="s">
        <v>658</v>
      </c>
      <c r="B37" s="447"/>
      <c r="C37" s="225">
        <v>425</v>
      </c>
      <c r="D37" s="225">
        <v>346</v>
      </c>
      <c r="E37" s="225">
        <v>344.65</v>
      </c>
      <c r="F37" s="225">
        <v>339</v>
      </c>
      <c r="G37" s="225">
        <v>309.36333000000002</v>
      </c>
      <c r="H37" s="225">
        <v>262.28621000000004</v>
      </c>
      <c r="I37" s="225">
        <v>203</v>
      </c>
      <c r="J37" s="225"/>
      <c r="K37" s="225">
        <v>5520</v>
      </c>
      <c r="L37" s="225">
        <v>0</v>
      </c>
      <c r="M37" s="225"/>
      <c r="N37" s="225">
        <v>0</v>
      </c>
      <c r="O37" s="225"/>
      <c r="P37" s="225"/>
      <c r="Q37" s="225"/>
      <c r="R37" s="225"/>
      <c r="S37" s="225">
        <v>0</v>
      </c>
      <c r="T37" s="225"/>
      <c r="U37" s="225"/>
      <c r="V37" s="225"/>
      <c r="W37" s="225"/>
      <c r="X37" s="225">
        <v>0</v>
      </c>
      <c r="Y37" s="225"/>
      <c r="Z37" s="225"/>
      <c r="AA37" s="225"/>
      <c r="AB37" s="225"/>
      <c r="AC37" s="225"/>
    </row>
    <row r="38" spans="1:29" x14ac:dyDescent="0.35">
      <c r="A38" s="218" t="s">
        <v>678</v>
      </c>
      <c r="B38" s="447"/>
      <c r="C38" s="225">
        <v>4970</v>
      </c>
      <c r="D38" s="225">
        <v>5180</v>
      </c>
      <c r="E38" s="225">
        <v>5234</v>
      </c>
      <c r="F38" s="225">
        <v>4074</v>
      </c>
      <c r="G38" s="225">
        <v>4287</v>
      </c>
      <c r="H38" s="225">
        <v>4490</v>
      </c>
      <c r="I38" s="225">
        <v>5017</v>
      </c>
      <c r="J38" s="225">
        <v>3930</v>
      </c>
      <c r="K38" s="225">
        <v>4151</v>
      </c>
      <c r="L38" s="225">
        <v>4991</v>
      </c>
      <c r="M38" s="225">
        <v>5081</v>
      </c>
      <c r="N38" s="225">
        <v>4875</v>
      </c>
      <c r="O38" s="225">
        <v>5000</v>
      </c>
      <c r="P38" s="225">
        <v>5000</v>
      </c>
      <c r="Q38" s="225">
        <v>5487</v>
      </c>
      <c r="R38" s="225">
        <v>6159.9846399999997</v>
      </c>
      <c r="S38" s="225">
        <v>6340.6824900000001</v>
      </c>
      <c r="T38" s="225">
        <v>6534.6705300000003</v>
      </c>
      <c r="U38" s="225">
        <v>6756</v>
      </c>
      <c r="V38" s="225">
        <v>7046</v>
      </c>
      <c r="W38" s="225">
        <v>7000</v>
      </c>
      <c r="X38" s="225">
        <v>7317</v>
      </c>
      <c r="Y38" s="225">
        <v>8215</v>
      </c>
      <c r="Z38" s="225">
        <v>8165</v>
      </c>
      <c r="AA38" s="225">
        <v>9024</v>
      </c>
      <c r="AB38" s="225">
        <v>9467</v>
      </c>
      <c r="AC38" s="225">
        <v>9803</v>
      </c>
    </row>
    <row r="39" spans="1:29" x14ac:dyDescent="0.35">
      <c r="A39" s="209" t="s">
        <v>367</v>
      </c>
      <c r="B39" s="447"/>
      <c r="C39" s="225">
        <v>31257</v>
      </c>
      <c r="D39" s="225">
        <v>31332</v>
      </c>
      <c r="E39" s="225">
        <v>31407.4</v>
      </c>
      <c r="F39" s="225">
        <v>31483</v>
      </c>
      <c r="G39" s="225">
        <v>31538.9935</v>
      </c>
      <c r="H39" s="225">
        <v>31584</v>
      </c>
      <c r="I39" s="225">
        <v>31627</v>
      </c>
      <c r="J39" s="225">
        <v>2124</v>
      </c>
      <c r="K39" s="225"/>
      <c r="L39" s="225">
        <v>7064</v>
      </c>
      <c r="M39" s="225">
        <v>4283</v>
      </c>
      <c r="N39" s="225"/>
      <c r="O39" s="225"/>
      <c r="P39" s="225"/>
      <c r="Q39" s="225"/>
      <c r="R39" s="225"/>
      <c r="S39" s="225">
        <v>0</v>
      </c>
      <c r="T39" s="225"/>
      <c r="U39" s="225">
        <v>0</v>
      </c>
      <c r="V39" s="225"/>
      <c r="W39" s="225"/>
      <c r="X39" s="225">
        <v>0</v>
      </c>
      <c r="Y39" s="225"/>
      <c r="Z39" s="225"/>
      <c r="AA39" s="225"/>
      <c r="AB39" s="225"/>
      <c r="AC39" s="225"/>
    </row>
    <row r="40" spans="1:29" x14ac:dyDescent="0.35">
      <c r="A40" s="221" t="s">
        <v>191</v>
      </c>
      <c r="B40" s="447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>
        <v>6070</v>
      </c>
      <c r="O40" s="225">
        <v>2000</v>
      </c>
      <c r="P40" s="225">
        <v>7000</v>
      </c>
      <c r="Q40" s="225">
        <v>4743</v>
      </c>
      <c r="R40" s="225">
        <v>2907.4266699999998</v>
      </c>
      <c r="S40" s="225">
        <v>2035.0869999999998</v>
      </c>
      <c r="T40" s="225">
        <v>7316.7444100000002</v>
      </c>
      <c r="U40" s="225">
        <v>5359</v>
      </c>
      <c r="V40" s="225">
        <v>8906</v>
      </c>
      <c r="W40" s="225">
        <v>3000</v>
      </c>
      <c r="X40" s="225">
        <v>17120</v>
      </c>
      <c r="Y40" s="225">
        <v>5982</v>
      </c>
      <c r="Z40" s="225">
        <v>56998</v>
      </c>
      <c r="AA40" s="225">
        <v>45990</v>
      </c>
      <c r="AB40" s="225">
        <v>312003</v>
      </c>
      <c r="AC40" s="225">
        <v>299802</v>
      </c>
    </row>
    <row r="41" spans="1:29" x14ac:dyDescent="0.35">
      <c r="A41" s="209" t="s">
        <v>353</v>
      </c>
      <c r="B41" s="447"/>
      <c r="C41" s="225">
        <v>1755.4799999999996</v>
      </c>
      <c r="D41" s="225">
        <v>1495</v>
      </c>
      <c r="E41" s="225">
        <v>1353</v>
      </c>
      <c r="F41" s="225">
        <v>1456</v>
      </c>
      <c r="G41" s="225">
        <v>1415.51</v>
      </c>
      <c r="H41" s="225">
        <v>1537</v>
      </c>
      <c r="I41" s="225">
        <v>1305</v>
      </c>
      <c r="J41" s="225">
        <v>2056</v>
      </c>
      <c r="K41" s="225">
        <v>2584</v>
      </c>
      <c r="L41" s="225">
        <v>2600</v>
      </c>
      <c r="M41" s="225">
        <v>4282</v>
      </c>
      <c r="N41" s="225">
        <v>1898</v>
      </c>
      <c r="O41" s="225">
        <v>2000</v>
      </c>
      <c r="P41" s="225">
        <v>9000</v>
      </c>
      <c r="Q41" s="225">
        <v>5363</v>
      </c>
      <c r="R41" s="225">
        <v>3964.5646900000006</v>
      </c>
      <c r="S41" s="225">
        <v>2391.6796500000005</v>
      </c>
      <c r="T41" s="225">
        <v>2309.8952499999996</v>
      </c>
      <c r="U41" s="225">
        <v>1772</v>
      </c>
      <c r="V41" s="225">
        <v>1694</v>
      </c>
      <c r="W41" s="225">
        <v>2000</v>
      </c>
      <c r="X41" s="225">
        <v>1476</v>
      </c>
      <c r="Y41" s="225">
        <v>1681</v>
      </c>
      <c r="Z41" s="225">
        <v>2288</v>
      </c>
      <c r="AA41" s="225">
        <v>2306</v>
      </c>
      <c r="AB41" s="225">
        <v>2421</v>
      </c>
      <c r="AC41" s="225">
        <v>1996</v>
      </c>
    </row>
    <row r="42" spans="1:29" x14ac:dyDescent="0.35">
      <c r="A42" s="209" t="s">
        <v>679</v>
      </c>
      <c r="B42" s="447"/>
      <c r="C42" s="225">
        <v>2946.3</v>
      </c>
      <c r="D42" s="225">
        <v>2892</v>
      </c>
      <c r="E42" s="225">
        <v>2273</v>
      </c>
      <c r="F42" s="225">
        <v>2738</v>
      </c>
      <c r="G42" s="225">
        <v>5031</v>
      </c>
      <c r="H42" s="225">
        <v>4796</v>
      </c>
      <c r="I42" s="225">
        <v>4389</v>
      </c>
      <c r="J42" s="225">
        <v>4351</v>
      </c>
      <c r="K42" s="225">
        <v>4754</v>
      </c>
      <c r="L42" s="225">
        <v>5504</v>
      </c>
      <c r="M42" s="225">
        <v>9529</v>
      </c>
      <c r="N42" s="225">
        <v>13834</v>
      </c>
      <c r="O42" s="225">
        <v>8000</v>
      </c>
      <c r="P42" s="225">
        <v>7000</v>
      </c>
      <c r="Q42" s="225">
        <v>7581</v>
      </c>
      <c r="R42" s="225">
        <v>9839.9046600000001</v>
      </c>
      <c r="S42" s="225">
        <v>11359.752549999999</v>
      </c>
      <c r="T42" s="225">
        <v>12108.838870000001</v>
      </c>
      <c r="U42" s="225">
        <v>8274</v>
      </c>
      <c r="V42" s="225">
        <v>8346</v>
      </c>
      <c r="W42" s="225">
        <v>8000</v>
      </c>
      <c r="X42" s="225">
        <v>18387</v>
      </c>
      <c r="Y42" s="225">
        <v>6398</v>
      </c>
      <c r="Z42" s="225">
        <v>7430</v>
      </c>
      <c r="AA42" s="225">
        <v>7651</v>
      </c>
      <c r="AB42" s="225">
        <v>3810</v>
      </c>
      <c r="AC42" s="225">
        <v>5711</v>
      </c>
    </row>
    <row r="43" spans="1:29" x14ac:dyDescent="0.35">
      <c r="A43" s="209" t="s">
        <v>680</v>
      </c>
      <c r="B43" s="447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>
        <v>8630</v>
      </c>
      <c r="AB43" s="225">
        <v>8650</v>
      </c>
      <c r="AC43" s="225">
        <v>9326</v>
      </c>
    </row>
    <row r="44" spans="1:29" x14ac:dyDescent="0.35">
      <c r="A44" s="209" t="s">
        <v>395</v>
      </c>
      <c r="B44" s="447"/>
      <c r="C44" s="225">
        <v>10604</v>
      </c>
      <c r="D44" s="225">
        <v>10603</v>
      </c>
      <c r="E44" s="225">
        <v>0</v>
      </c>
      <c r="F44" s="225">
        <v>10885</v>
      </c>
      <c r="G44" s="225">
        <v>10885</v>
      </c>
      <c r="H44" s="225">
        <v>10885.829830000001</v>
      </c>
      <c r="I44" s="225">
        <v>10885.829830000001</v>
      </c>
      <c r="J44" s="225">
        <v>16062</v>
      </c>
      <c r="K44" s="225">
        <v>16062</v>
      </c>
      <c r="L44" s="225">
        <v>0</v>
      </c>
      <c r="M44" s="225">
        <v>272</v>
      </c>
      <c r="N44" s="225">
        <v>33021</v>
      </c>
      <c r="O44" s="225">
        <v>33000</v>
      </c>
      <c r="P44" s="225">
        <v>33000</v>
      </c>
      <c r="Q44" s="225">
        <v>33000</v>
      </c>
      <c r="R44" s="225"/>
      <c r="S44" s="225">
        <v>1160.6124300000001</v>
      </c>
      <c r="T44" s="225">
        <v>45330.449700000005</v>
      </c>
      <c r="U44" s="225">
        <v>45330</v>
      </c>
      <c r="V44" s="225"/>
      <c r="W44" s="225">
        <v>9000</v>
      </c>
      <c r="X44" s="225">
        <v>8773</v>
      </c>
      <c r="Y44" s="225">
        <v>8773</v>
      </c>
      <c r="Z44" s="225">
        <v>8474</v>
      </c>
      <c r="AA44" s="225">
        <v>8474</v>
      </c>
      <c r="AB44" s="225">
        <v>8474</v>
      </c>
      <c r="AC44" s="225">
        <v>8474</v>
      </c>
    </row>
    <row r="45" spans="1:29" ht="15" thickBot="1" x14ac:dyDescent="0.4">
      <c r="A45" s="209" t="s">
        <v>366</v>
      </c>
      <c r="B45" s="447"/>
      <c r="C45" s="225">
        <v>151.51</v>
      </c>
      <c r="D45" s="225">
        <v>154</v>
      </c>
      <c r="E45" s="225">
        <v>158</v>
      </c>
      <c r="F45" s="225">
        <v>79</v>
      </c>
      <c r="G45" s="225">
        <v>617</v>
      </c>
      <c r="H45" s="225">
        <v>629</v>
      </c>
      <c r="I45" s="225">
        <v>639</v>
      </c>
      <c r="J45" s="225">
        <v>1661</v>
      </c>
      <c r="K45" s="225">
        <v>1029</v>
      </c>
      <c r="L45" s="225">
        <v>84</v>
      </c>
      <c r="M45" s="225">
        <v>87</v>
      </c>
      <c r="N45" s="225">
        <v>1087</v>
      </c>
      <c r="O45" s="225">
        <v>1000</v>
      </c>
      <c r="P45" s="225">
        <v>1000</v>
      </c>
      <c r="Q45" s="225">
        <v>1000</v>
      </c>
      <c r="R45" s="225">
        <v>3000</v>
      </c>
      <c r="S45" s="225">
        <v>1462.18002</v>
      </c>
      <c r="T45" s="225">
        <f>1451.19815-59</f>
        <v>1392.1981499999999</v>
      </c>
      <c r="U45" s="225">
        <v>1078</v>
      </c>
      <c r="V45" s="225">
        <v>1494</v>
      </c>
      <c r="W45" s="225">
        <v>2000</v>
      </c>
      <c r="X45" s="225">
        <v>1944</v>
      </c>
      <c r="Y45" s="225">
        <v>10140</v>
      </c>
      <c r="Z45" s="225">
        <v>9638</v>
      </c>
      <c r="AA45" s="225">
        <v>701</v>
      </c>
      <c r="AB45" s="225">
        <v>836</v>
      </c>
      <c r="AC45" s="225">
        <v>868</v>
      </c>
    </row>
    <row r="46" spans="1:29" ht="15" thickBot="1" x14ac:dyDescent="0.4">
      <c r="A46" s="213" t="s">
        <v>333</v>
      </c>
      <c r="B46" s="446"/>
      <c r="C46" s="214">
        <f>SUM(C47:C51)</f>
        <v>169262</v>
      </c>
      <c r="D46" s="214">
        <f t="shared" ref="D46:AB46" si="7">SUM(D47:D51)</f>
        <v>161876</v>
      </c>
      <c r="E46" s="214">
        <f t="shared" si="7"/>
        <v>154134.78</v>
      </c>
      <c r="F46" s="214">
        <f t="shared" si="7"/>
        <v>146340.66070000001</v>
      </c>
      <c r="G46" s="214">
        <f t="shared" si="7"/>
        <v>138022.55407000001</v>
      </c>
      <c r="H46" s="214">
        <f t="shared" si="7"/>
        <v>134972</v>
      </c>
      <c r="I46" s="214">
        <f t="shared" si="7"/>
        <v>128044</v>
      </c>
      <c r="J46" s="214">
        <f t="shared" si="7"/>
        <v>321987</v>
      </c>
      <c r="K46" s="214">
        <f t="shared" si="7"/>
        <v>333442</v>
      </c>
      <c r="L46" s="214">
        <f t="shared" si="7"/>
        <v>647871</v>
      </c>
      <c r="M46" s="214">
        <f t="shared" si="7"/>
        <v>639707</v>
      </c>
      <c r="N46" s="214">
        <f t="shared" si="7"/>
        <v>764963</v>
      </c>
      <c r="O46" s="214">
        <f t="shared" si="7"/>
        <v>773000</v>
      </c>
      <c r="P46" s="214">
        <f t="shared" si="7"/>
        <v>768000</v>
      </c>
      <c r="Q46" s="214">
        <f t="shared" si="7"/>
        <v>761368</v>
      </c>
      <c r="R46" s="214">
        <f t="shared" si="7"/>
        <v>770263.35560000001</v>
      </c>
      <c r="S46" s="214">
        <f t="shared" si="7"/>
        <v>774719.95396999991</v>
      </c>
      <c r="T46" s="214">
        <f t="shared" si="7"/>
        <v>778143.96915000002</v>
      </c>
      <c r="U46" s="214">
        <f t="shared" si="7"/>
        <v>781012</v>
      </c>
      <c r="V46" s="214">
        <f t="shared" si="7"/>
        <v>783271</v>
      </c>
      <c r="W46" s="214">
        <f t="shared" si="7"/>
        <v>781100</v>
      </c>
      <c r="X46" s="214">
        <f t="shared" si="7"/>
        <v>773618</v>
      </c>
      <c r="Y46" s="214">
        <f t="shared" si="7"/>
        <v>773939</v>
      </c>
      <c r="Z46" s="214">
        <f t="shared" si="7"/>
        <v>727802</v>
      </c>
      <c r="AA46" s="214">
        <f t="shared" si="7"/>
        <v>727806</v>
      </c>
      <c r="AB46" s="214">
        <f t="shared" si="7"/>
        <v>484476</v>
      </c>
      <c r="AC46" s="214">
        <f>SUM(AC47:AC51)</f>
        <v>490513</v>
      </c>
    </row>
    <row r="47" spans="1:29" x14ac:dyDescent="0.35">
      <c r="A47" s="209" t="s">
        <v>367</v>
      </c>
      <c r="B47" s="447"/>
      <c r="C47" s="225">
        <v>80746</v>
      </c>
      <c r="D47" s="225">
        <v>73108</v>
      </c>
      <c r="E47" s="225">
        <v>65432</v>
      </c>
      <c r="F47" s="225">
        <v>57718.827170000004</v>
      </c>
      <c r="G47" s="225">
        <v>49936.738109999998</v>
      </c>
      <c r="H47" s="225">
        <v>42112</v>
      </c>
      <c r="I47" s="225">
        <v>34263</v>
      </c>
      <c r="J47" s="225"/>
      <c r="K47" s="225"/>
      <c r="L47" s="225"/>
      <c r="M47" s="225"/>
      <c r="N47" s="225"/>
      <c r="O47" s="225"/>
      <c r="P47" s="225"/>
      <c r="Q47" s="225"/>
      <c r="R47" s="225"/>
      <c r="S47" s="225">
        <v>0</v>
      </c>
      <c r="T47" s="225"/>
      <c r="U47" s="225">
        <v>0</v>
      </c>
      <c r="V47" s="225"/>
      <c r="W47" s="225"/>
      <c r="X47" s="225"/>
      <c r="Y47" s="225"/>
      <c r="Z47" s="225"/>
      <c r="AA47" s="225"/>
      <c r="AB47" s="225"/>
      <c r="AC47" s="225"/>
    </row>
    <row r="48" spans="1:29" x14ac:dyDescent="0.35">
      <c r="A48" s="209" t="s">
        <v>191</v>
      </c>
      <c r="J48" s="225">
        <v>199874</v>
      </c>
      <c r="K48" s="225">
        <v>198014</v>
      </c>
      <c r="L48" s="225">
        <v>498118</v>
      </c>
      <c r="M48" s="225">
        <v>498792</v>
      </c>
      <c r="N48" s="225">
        <v>499827</v>
      </c>
      <c r="O48" s="225">
        <v>501000</v>
      </c>
      <c r="P48" s="225">
        <v>501000</v>
      </c>
      <c r="Q48" s="225">
        <v>502170</v>
      </c>
      <c r="R48" s="225">
        <v>505260.24904000002</v>
      </c>
      <c r="S48" s="225">
        <v>508127.21301000001</v>
      </c>
      <c r="T48" s="225">
        <v>510561.82300999999</v>
      </c>
      <c r="U48" s="225">
        <v>513486</v>
      </c>
      <c r="V48" s="225">
        <v>517658</v>
      </c>
      <c r="W48" s="225">
        <v>520600</v>
      </c>
      <c r="X48" s="225">
        <v>524338</v>
      </c>
      <c r="Y48" s="225">
        <v>523536</v>
      </c>
      <c r="Z48" s="225">
        <v>482922</v>
      </c>
      <c r="AA48" s="225">
        <v>485014</v>
      </c>
      <c r="AB48" s="225">
        <v>236244</v>
      </c>
      <c r="AC48" s="225">
        <v>236668</v>
      </c>
    </row>
    <row r="49" spans="1:29" x14ac:dyDescent="0.35">
      <c r="A49" s="209" t="s">
        <v>366</v>
      </c>
      <c r="B49" s="447"/>
      <c r="C49" s="225">
        <v>14329</v>
      </c>
      <c r="D49" s="225">
        <v>14194</v>
      </c>
      <c r="E49" s="225">
        <v>14058.78</v>
      </c>
      <c r="F49" s="225">
        <v>13923.981109999999</v>
      </c>
      <c r="G49" s="225">
        <v>13395</v>
      </c>
      <c r="H49" s="225">
        <v>13260</v>
      </c>
      <c r="I49" s="225">
        <v>13125</v>
      </c>
      <c r="J49" s="225">
        <v>12990</v>
      </c>
      <c r="K49" s="225">
        <v>12856</v>
      </c>
      <c r="L49" s="225">
        <v>12721</v>
      </c>
      <c r="M49" s="225">
        <v>12586</v>
      </c>
      <c r="N49" s="225">
        <v>12451</v>
      </c>
      <c r="O49" s="225">
        <v>12000</v>
      </c>
      <c r="P49" s="225">
        <v>12000</v>
      </c>
      <c r="Q49" s="225">
        <v>12000</v>
      </c>
      <c r="R49" s="225">
        <v>11912.039509999999</v>
      </c>
      <c r="S49" s="225">
        <v>11777.23589</v>
      </c>
      <c r="T49" s="225">
        <v>11642.432269999999</v>
      </c>
      <c r="U49" s="225">
        <v>11553</v>
      </c>
      <c r="V49" s="225">
        <v>11553</v>
      </c>
      <c r="W49" s="225">
        <v>11500</v>
      </c>
      <c r="X49" s="225">
        <v>11553</v>
      </c>
      <c r="Y49" s="225">
        <v>10968</v>
      </c>
      <c r="Z49" s="225">
        <v>10834</v>
      </c>
      <c r="AA49" s="225">
        <v>10699</v>
      </c>
      <c r="AB49" s="225">
        <v>10564</v>
      </c>
      <c r="AC49" s="225">
        <v>10360</v>
      </c>
    </row>
    <row r="50" spans="1:29" x14ac:dyDescent="0.35">
      <c r="A50" s="209" t="s">
        <v>665</v>
      </c>
      <c r="B50" s="447"/>
      <c r="C50" s="225">
        <v>26920</v>
      </c>
      <c r="D50" s="225">
        <v>27926</v>
      </c>
      <c r="E50" s="225">
        <v>28615</v>
      </c>
      <c r="F50" s="225">
        <v>29288.479879999999</v>
      </c>
      <c r="G50" s="225">
        <v>29901.815960000004</v>
      </c>
      <c r="H50" s="225">
        <v>30728</v>
      </c>
      <c r="I50" s="225">
        <v>31298</v>
      </c>
      <c r="J50" s="225">
        <v>54156</v>
      </c>
      <c r="K50" s="225">
        <v>63783</v>
      </c>
      <c r="L50" s="225">
        <v>76151</v>
      </c>
      <c r="M50" s="225">
        <v>67938</v>
      </c>
      <c r="N50" s="225">
        <v>150778</v>
      </c>
      <c r="O50" s="225">
        <v>156000</v>
      </c>
      <c r="P50" s="225">
        <v>148000</v>
      </c>
      <c r="Q50" s="225">
        <v>140198</v>
      </c>
      <c r="R50" s="225">
        <v>146977.98835000003</v>
      </c>
      <c r="S50" s="225">
        <v>147506.79127999998</v>
      </c>
      <c r="T50" s="225">
        <v>147531.41918</v>
      </c>
      <c r="U50" s="225">
        <v>146378</v>
      </c>
      <c r="V50" s="225">
        <v>143841</v>
      </c>
      <c r="W50" s="225">
        <v>139000</v>
      </c>
      <c r="X50" s="225">
        <v>137616</v>
      </c>
      <c r="Y50" s="225">
        <v>135930</v>
      </c>
      <c r="Z50" s="225">
        <v>129665</v>
      </c>
      <c r="AA50" s="225">
        <v>127096</v>
      </c>
      <c r="AB50" s="225">
        <v>130261</v>
      </c>
      <c r="AC50" s="225">
        <v>134678</v>
      </c>
    </row>
    <row r="51" spans="1:29" ht="15" thickBot="1" x14ac:dyDescent="0.4">
      <c r="A51" s="209" t="s">
        <v>661</v>
      </c>
      <c r="B51" s="447"/>
      <c r="C51" s="225">
        <v>47267</v>
      </c>
      <c r="D51" s="225">
        <v>46648</v>
      </c>
      <c r="E51" s="225">
        <v>46029</v>
      </c>
      <c r="F51" s="225">
        <v>45409.372539999997</v>
      </c>
      <c r="G51" s="225">
        <v>44789</v>
      </c>
      <c r="H51" s="225">
        <v>48872</v>
      </c>
      <c r="I51" s="225">
        <v>49358</v>
      </c>
      <c r="J51" s="225">
        <v>54967</v>
      </c>
      <c r="K51" s="225">
        <v>58789</v>
      </c>
      <c r="L51" s="225">
        <v>60881</v>
      </c>
      <c r="M51" s="225">
        <v>60391</v>
      </c>
      <c r="N51" s="225">
        <v>101907</v>
      </c>
      <c r="O51" s="225">
        <v>104000</v>
      </c>
      <c r="P51" s="225">
        <v>107000</v>
      </c>
      <c r="Q51" s="225">
        <v>107000</v>
      </c>
      <c r="R51" s="225">
        <v>106113.0787</v>
      </c>
      <c r="S51" s="225">
        <v>107308.71378999998</v>
      </c>
      <c r="T51" s="225">
        <v>108408.29469</v>
      </c>
      <c r="U51" s="225">
        <v>109595</v>
      </c>
      <c r="V51" s="225">
        <v>110219</v>
      </c>
      <c r="W51" s="225">
        <v>110000</v>
      </c>
      <c r="X51" s="225">
        <v>100111</v>
      </c>
      <c r="Y51" s="225">
        <v>103505</v>
      </c>
      <c r="Z51" s="225">
        <v>104381</v>
      </c>
      <c r="AA51" s="225">
        <v>104997</v>
      </c>
      <c r="AB51" s="225">
        <v>107407</v>
      </c>
      <c r="AC51" s="225">
        <v>108807</v>
      </c>
    </row>
    <row r="52" spans="1:29" ht="15" thickBot="1" x14ac:dyDescent="0.4">
      <c r="A52" s="213" t="s">
        <v>371</v>
      </c>
      <c r="B52" s="446"/>
      <c r="C52" s="214">
        <f>SUM(C53:C59)</f>
        <v>388035.80000000005</v>
      </c>
      <c r="D52" s="214">
        <f t="shared" ref="D52:Z52" si="8">SUM(D53:D59)</f>
        <v>404822</v>
      </c>
      <c r="E52" s="214">
        <f t="shared" si="8"/>
        <v>416958.04000000004</v>
      </c>
      <c r="F52" s="214">
        <f t="shared" si="8"/>
        <v>419795</v>
      </c>
      <c r="G52" s="214">
        <f t="shared" si="8"/>
        <v>438874.95999999996</v>
      </c>
      <c r="H52" s="214">
        <f t="shared" si="8"/>
        <v>460344.80000000005</v>
      </c>
      <c r="I52" s="214">
        <f t="shared" si="8"/>
        <v>479942</v>
      </c>
      <c r="J52" s="214">
        <f t="shared" si="8"/>
        <v>524089</v>
      </c>
      <c r="K52" s="214">
        <f t="shared" si="8"/>
        <v>356699</v>
      </c>
      <c r="L52" s="214">
        <f t="shared" si="8"/>
        <v>382209</v>
      </c>
      <c r="M52" s="214">
        <f t="shared" si="8"/>
        <v>236822</v>
      </c>
      <c r="N52" s="214">
        <f t="shared" si="8"/>
        <v>435403</v>
      </c>
      <c r="O52" s="214">
        <f t="shared" si="8"/>
        <v>418000</v>
      </c>
      <c r="P52" s="214">
        <f t="shared" si="8"/>
        <v>440000</v>
      </c>
      <c r="Q52" s="214">
        <f t="shared" si="8"/>
        <v>461000</v>
      </c>
      <c r="R52" s="214">
        <f t="shared" si="8"/>
        <v>245068.64631999997</v>
      </c>
      <c r="S52" s="214">
        <f t="shared" si="8"/>
        <v>256887.34862000003</v>
      </c>
      <c r="T52" s="214">
        <f t="shared" si="8"/>
        <v>226415.54696000001</v>
      </c>
      <c r="U52" s="214">
        <f t="shared" si="8"/>
        <v>239621</v>
      </c>
      <c r="V52" s="214">
        <f t="shared" si="8"/>
        <v>246683</v>
      </c>
      <c r="W52" s="214">
        <f t="shared" si="8"/>
        <v>240270</v>
      </c>
      <c r="X52" s="214">
        <f t="shared" si="8"/>
        <v>248152</v>
      </c>
      <c r="Y52" s="214">
        <f t="shared" si="8"/>
        <v>257505</v>
      </c>
      <c r="Z52" s="214">
        <f t="shared" si="8"/>
        <v>255442</v>
      </c>
      <c r="AA52" s="214">
        <f>SUM(AA53:AA59)</f>
        <v>264155</v>
      </c>
      <c r="AB52" s="214">
        <f>SUM(AB53:AB59)</f>
        <v>288821</v>
      </c>
      <c r="AC52" s="214">
        <f>SUM(AC53:AC59)</f>
        <v>310584</v>
      </c>
    </row>
    <row r="53" spans="1:29" x14ac:dyDescent="0.35">
      <c r="A53" s="209" t="s">
        <v>402</v>
      </c>
      <c r="B53" s="447"/>
      <c r="C53" s="225">
        <v>170000</v>
      </c>
      <c r="D53" s="225">
        <v>170000</v>
      </c>
      <c r="E53" s="225">
        <v>170000</v>
      </c>
      <c r="F53" s="225">
        <v>170000</v>
      </c>
      <c r="G53" s="225">
        <v>170000</v>
      </c>
      <c r="H53" s="225">
        <v>188555</v>
      </c>
      <c r="I53" s="225">
        <v>188555</v>
      </c>
      <c r="J53" s="225">
        <v>188556</v>
      </c>
      <c r="K53" s="225">
        <v>188556</v>
      </c>
      <c r="L53" s="225">
        <v>188556</v>
      </c>
      <c r="M53" s="225">
        <v>18556</v>
      </c>
      <c r="N53" s="225">
        <v>18556</v>
      </c>
      <c r="O53" s="225">
        <v>19000</v>
      </c>
      <c r="P53" s="225">
        <v>19000</v>
      </c>
      <c r="Q53" s="225">
        <v>19000</v>
      </c>
      <c r="R53" s="225">
        <v>22755.22248</v>
      </c>
      <c r="S53" s="225">
        <v>22755.22248</v>
      </c>
      <c r="T53" s="225">
        <v>22755.22248</v>
      </c>
      <c r="U53" s="225">
        <v>22756</v>
      </c>
      <c r="V53" s="225">
        <v>20156</v>
      </c>
      <c r="W53" s="225">
        <v>22750</v>
      </c>
      <c r="X53" s="225">
        <v>22756</v>
      </c>
      <c r="Y53" s="225">
        <v>22756</v>
      </c>
      <c r="Z53" s="225">
        <v>22756</v>
      </c>
      <c r="AA53" s="225">
        <v>22756</v>
      </c>
      <c r="AB53" s="225">
        <v>143790</v>
      </c>
      <c r="AC53" s="225">
        <v>143790</v>
      </c>
    </row>
    <row r="54" spans="1:29" x14ac:dyDescent="0.35">
      <c r="A54" s="209" t="s">
        <v>374</v>
      </c>
      <c r="B54" s="447"/>
      <c r="C54" s="225">
        <v>47123</v>
      </c>
      <c r="D54" s="225">
        <v>47123</v>
      </c>
      <c r="E54" s="225">
        <v>47122.64</v>
      </c>
      <c r="F54" s="225">
        <v>59054</v>
      </c>
      <c r="G54" s="225">
        <v>59054.49</v>
      </c>
      <c r="H54" s="225">
        <v>59054</v>
      </c>
      <c r="I54" s="225">
        <v>59054</v>
      </c>
      <c r="J54" s="225">
        <v>5563</v>
      </c>
      <c r="K54" s="225">
        <v>75543</v>
      </c>
      <c r="L54" s="225">
        <v>75543</v>
      </c>
      <c r="M54" s="225">
        <v>75543</v>
      </c>
      <c r="N54" s="225"/>
      <c r="O54" s="225">
        <v>97000</v>
      </c>
      <c r="P54" s="225">
        <v>97000</v>
      </c>
      <c r="Q54" s="225">
        <v>97000</v>
      </c>
      <c r="R54" s="225"/>
      <c r="S54" s="225">
        <v>0</v>
      </c>
      <c r="T54" s="225">
        <v>0</v>
      </c>
      <c r="U54" s="225">
        <v>0</v>
      </c>
      <c r="V54" s="225"/>
      <c r="W54" s="225"/>
      <c r="X54" s="225">
        <v>0</v>
      </c>
      <c r="Y54" s="225"/>
      <c r="Z54" s="225"/>
      <c r="AA54" s="225"/>
      <c r="AB54" s="225"/>
      <c r="AC54" s="225"/>
    </row>
    <row r="55" spans="1:29" x14ac:dyDescent="0.35">
      <c r="A55" s="209" t="s">
        <v>376</v>
      </c>
      <c r="B55" s="447"/>
      <c r="C55" s="225">
        <v>15635</v>
      </c>
      <c r="D55" s="225">
        <v>15636</v>
      </c>
      <c r="E55" s="225">
        <v>15635.51</v>
      </c>
      <c r="F55" s="225">
        <v>18555</v>
      </c>
      <c r="G55" s="225">
        <v>18555.490000000002</v>
      </c>
      <c r="H55" s="225">
        <v>0</v>
      </c>
      <c r="I55" s="225">
        <v>0</v>
      </c>
      <c r="J55" s="225">
        <v>0</v>
      </c>
      <c r="K55" s="225">
        <v>5563</v>
      </c>
      <c r="L55" s="225">
        <v>5563</v>
      </c>
      <c r="M55" s="225">
        <v>5563</v>
      </c>
      <c r="N55" s="225">
        <v>319459</v>
      </c>
      <c r="O55" s="225">
        <v>319000</v>
      </c>
      <c r="P55" s="225">
        <v>319000</v>
      </c>
      <c r="Q55" s="225">
        <v>319000</v>
      </c>
      <c r="R55" s="225">
        <v>214000</v>
      </c>
      <c r="S55" s="225">
        <v>220735.82911000002</v>
      </c>
      <c r="T55" s="225">
        <v>176565.99184</v>
      </c>
      <c r="U55" s="225">
        <v>176568</v>
      </c>
      <c r="V55" s="225">
        <v>179168</v>
      </c>
      <c r="W55" s="225">
        <v>215000</v>
      </c>
      <c r="X55" s="225">
        <v>215154</v>
      </c>
      <c r="Y55" s="225">
        <v>215154</v>
      </c>
      <c r="Z55" s="225">
        <v>232686</v>
      </c>
      <c r="AA55" s="225">
        <v>232686</v>
      </c>
      <c r="AB55" s="225">
        <v>111652</v>
      </c>
      <c r="AC55" s="225">
        <v>111651</v>
      </c>
    </row>
    <row r="56" spans="1:29" x14ac:dyDescent="0.35">
      <c r="A56" s="209" t="s">
        <v>285</v>
      </c>
      <c r="B56" s="447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>
        <v>55143</v>
      </c>
    </row>
    <row r="57" spans="1:29" x14ac:dyDescent="0.35">
      <c r="A57" s="209" t="s">
        <v>681</v>
      </c>
      <c r="B57" s="447"/>
      <c r="C57" s="225">
        <v>0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5">
        <v>0</v>
      </c>
      <c r="J57" s="225">
        <v>75543</v>
      </c>
      <c r="K57" s="225"/>
      <c r="L57" s="225"/>
      <c r="M57" s="225"/>
      <c r="N57" s="225">
        <v>97388</v>
      </c>
      <c r="O57" s="225"/>
      <c r="P57" s="225"/>
      <c r="Q57" s="225"/>
      <c r="R57" s="225"/>
      <c r="S57" s="225">
        <v>0</v>
      </c>
      <c r="T57" s="225">
        <v>0</v>
      </c>
      <c r="U57" s="225">
        <v>0</v>
      </c>
      <c r="V57" s="225"/>
      <c r="W57" s="225"/>
      <c r="X57" s="225"/>
      <c r="Y57" s="225"/>
      <c r="Z57" s="225"/>
      <c r="AA57" s="225"/>
      <c r="AB57" s="225"/>
      <c r="AC57" s="225"/>
    </row>
    <row r="58" spans="1:29" x14ac:dyDescent="0.35">
      <c r="A58" s="209" t="s">
        <v>682</v>
      </c>
      <c r="B58" s="447"/>
      <c r="C58" s="225">
        <v>139528.4</v>
      </c>
      <c r="D58" s="225">
        <v>139528</v>
      </c>
      <c r="E58" s="225">
        <v>139528</v>
      </c>
      <c r="F58" s="225">
        <v>172186</v>
      </c>
      <c r="G58" s="225">
        <v>172186.49</v>
      </c>
      <c r="H58" s="225">
        <v>172186.4</v>
      </c>
      <c r="I58" s="225">
        <v>172186</v>
      </c>
      <c r="J58" s="225">
        <v>254427</v>
      </c>
      <c r="K58" s="225">
        <v>84426</v>
      </c>
      <c r="L58" s="225">
        <v>51264</v>
      </c>
      <c r="M58" s="225">
        <v>51264</v>
      </c>
      <c r="N58" s="225"/>
      <c r="O58" s="225"/>
      <c r="P58" s="225"/>
      <c r="Q58" s="225"/>
      <c r="R58" s="225"/>
      <c r="S58" s="225"/>
      <c r="T58" s="225">
        <v>27094.332640000011</v>
      </c>
      <c r="U58" s="225">
        <v>40297</v>
      </c>
      <c r="V58" s="225">
        <v>47359</v>
      </c>
      <c r="W58" s="225">
        <v>2520</v>
      </c>
      <c r="X58" s="225">
        <v>0</v>
      </c>
      <c r="Y58" s="225"/>
      <c r="Z58" s="225"/>
    </row>
    <row r="59" spans="1:29" ht="15" thickBot="1" x14ac:dyDescent="0.4">
      <c r="A59" s="209" t="s">
        <v>403</v>
      </c>
      <c r="B59" s="447"/>
      <c r="C59" s="225">
        <v>15749.4</v>
      </c>
      <c r="D59" s="225">
        <v>32535</v>
      </c>
      <c r="E59" s="225">
        <v>44671.89</v>
      </c>
      <c r="F59" s="225">
        <v>0</v>
      </c>
      <c r="G59" s="225">
        <v>19078.490000000002</v>
      </c>
      <c r="H59" s="225">
        <v>40549.4</v>
      </c>
      <c r="I59" s="225">
        <v>60147</v>
      </c>
      <c r="J59" s="225">
        <v>0</v>
      </c>
      <c r="K59" s="225">
        <v>2611</v>
      </c>
      <c r="L59" s="225">
        <v>61283</v>
      </c>
      <c r="M59" s="225">
        <v>85896</v>
      </c>
      <c r="N59" s="225"/>
      <c r="O59" s="225">
        <v>-17000</v>
      </c>
      <c r="P59" s="225">
        <v>5000</v>
      </c>
      <c r="Q59" s="225">
        <v>26000</v>
      </c>
      <c r="R59" s="225">
        <v>8313.4238399999758</v>
      </c>
      <c r="S59" s="225">
        <v>13396.297030000011</v>
      </c>
      <c r="T59" s="225"/>
      <c r="U59" s="225"/>
      <c r="V59" s="225"/>
      <c r="W59" s="225"/>
      <c r="X59" s="225">
        <v>10242</v>
      </c>
      <c r="Y59" s="225">
        <v>19595</v>
      </c>
      <c r="Z59" s="225"/>
      <c r="AA59" s="225">
        <v>8713</v>
      </c>
      <c r="AB59" s="225">
        <v>33379</v>
      </c>
      <c r="AC59" s="225"/>
    </row>
    <row r="60" spans="1:29" ht="15" thickBot="1" x14ac:dyDescent="0.4">
      <c r="A60" s="213" t="s">
        <v>380</v>
      </c>
      <c r="B60" s="446"/>
      <c r="C60" s="214">
        <f>C52+C46+C34</f>
        <v>611193.09000000008</v>
      </c>
      <c r="D60" s="214">
        <f t="shared" ref="D60:AB60" si="9">D52+D46+D34</f>
        <v>620350</v>
      </c>
      <c r="E60" s="214">
        <f t="shared" si="9"/>
        <v>613843.3600000001</v>
      </c>
      <c r="F60" s="214">
        <f t="shared" si="9"/>
        <v>624764.55215</v>
      </c>
      <c r="G60" s="214">
        <f t="shared" si="9"/>
        <v>636062.38089999999</v>
      </c>
      <c r="H60" s="214">
        <f t="shared" si="9"/>
        <v>653732.78777000005</v>
      </c>
      <c r="I60" s="214">
        <f t="shared" si="9"/>
        <v>666812.82982999994</v>
      </c>
      <c r="J60" s="214">
        <f t="shared" si="9"/>
        <v>880670</v>
      </c>
      <c r="K60" s="214">
        <f t="shared" si="9"/>
        <v>747603</v>
      </c>
      <c r="L60" s="214">
        <f t="shared" si="9"/>
        <v>1073088.2517500001</v>
      </c>
      <c r="M60" s="214">
        <f t="shared" si="9"/>
        <v>923536</v>
      </c>
      <c r="N60" s="214">
        <f t="shared" si="9"/>
        <v>1290025</v>
      </c>
      <c r="O60" s="214">
        <f t="shared" si="9"/>
        <v>1270000</v>
      </c>
      <c r="P60" s="214">
        <f t="shared" si="9"/>
        <v>1302000</v>
      </c>
      <c r="Q60" s="214">
        <f t="shared" si="9"/>
        <v>1314868</v>
      </c>
      <c r="R60" s="214">
        <f t="shared" si="9"/>
        <v>1074494.3813399998</v>
      </c>
      <c r="S60" s="214">
        <f t="shared" si="9"/>
        <v>1087497.70909</v>
      </c>
      <c r="T60" s="214">
        <f t="shared" si="9"/>
        <v>1108224.6411599999</v>
      </c>
      <c r="U60" s="214">
        <f t="shared" si="9"/>
        <v>1119077</v>
      </c>
      <c r="V60" s="214">
        <f t="shared" si="9"/>
        <v>1088843</v>
      </c>
      <c r="W60" s="214">
        <f t="shared" si="9"/>
        <v>1082370</v>
      </c>
      <c r="X60" s="214">
        <f t="shared" si="9"/>
        <v>1106703</v>
      </c>
      <c r="Y60" s="214">
        <f t="shared" si="9"/>
        <v>1102129</v>
      </c>
      <c r="Z60" s="214">
        <f t="shared" si="9"/>
        <v>1106920</v>
      </c>
      <c r="AA60" s="214">
        <f t="shared" si="9"/>
        <v>1103937</v>
      </c>
      <c r="AB60" s="214">
        <f t="shared" si="9"/>
        <v>1148255</v>
      </c>
      <c r="AC60" s="214">
        <f>AC52+AC46+AC34</f>
        <v>1143645</v>
      </c>
    </row>
    <row r="61" spans="1:29" x14ac:dyDescent="0.35"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</row>
    <row r="62" spans="1:29" x14ac:dyDescent="0.35"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331B0-129A-4EB0-8F34-D8A7EEA892F3}">
  <sheetPr>
    <tabColor theme="9" tint="0.79998168889431442"/>
  </sheetPr>
  <dimension ref="A6:AT106"/>
  <sheetViews>
    <sheetView showGridLines="0" zoomScale="85" zoomScaleNormal="85" workbookViewId="0">
      <pane xSplit="1" ySplit="7" topLeftCell="B8" activePane="bottomRight" state="frozen"/>
      <selection activeCell="AM2" sqref="AM2"/>
      <selection pane="topRight" activeCell="AM2" sqref="AM2"/>
      <selection pane="bottomLeft" activeCell="AM2" sqref="AM2"/>
      <selection pane="bottomRight" activeCell="AM2" sqref="AM2"/>
    </sheetView>
  </sheetViews>
  <sheetFormatPr defaultColWidth="9.1796875" defaultRowHeight="14.5" outlineLevelCol="1" x14ac:dyDescent="0.35"/>
  <cols>
    <col min="1" max="1" width="47.54296875" style="37" bestFit="1" customWidth="1"/>
    <col min="2" max="2" width="3.26953125" customWidth="1"/>
    <col min="3" max="3" width="12.54296875" style="37" hidden="1" customWidth="1" outlineLevel="1"/>
    <col min="4" max="29" width="12.7265625" style="37" hidden="1" customWidth="1" outlineLevel="1"/>
    <col min="30" max="38" width="13" style="37" hidden="1" customWidth="1" outlineLevel="1"/>
    <col min="39" max="39" width="13" style="37" customWidth="1" collapsed="1"/>
    <col min="40" max="45" width="13" style="37" customWidth="1"/>
    <col min="46" max="46" width="11.1796875" style="37" bestFit="1" customWidth="1"/>
    <col min="47" max="16384" width="9.1796875" style="37"/>
  </cols>
  <sheetData>
    <row r="6" spans="1:45" x14ac:dyDescent="0.35">
      <c r="A6" s="41" t="s">
        <v>244</v>
      </c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</row>
    <row r="7" spans="1:45" ht="15" thickBot="1" x14ac:dyDescent="0.4">
      <c r="A7" s="5" t="s">
        <v>315</v>
      </c>
      <c r="B7" s="204"/>
      <c r="C7" s="573" t="s">
        <v>289</v>
      </c>
      <c r="D7" s="573" t="s">
        <v>290</v>
      </c>
      <c r="E7" s="573" t="s">
        <v>291</v>
      </c>
      <c r="F7" s="573" t="s">
        <v>292</v>
      </c>
      <c r="G7" s="573" t="s">
        <v>293</v>
      </c>
      <c r="H7" s="573" t="s">
        <v>294</v>
      </c>
      <c r="I7" s="573" t="s">
        <v>295</v>
      </c>
      <c r="J7" s="573" t="s">
        <v>296</v>
      </c>
      <c r="K7" s="573" t="s">
        <v>297</v>
      </c>
      <c r="L7" s="573" t="s">
        <v>298</v>
      </c>
      <c r="M7" s="573" t="s">
        <v>299</v>
      </c>
      <c r="N7" s="573" t="s">
        <v>300</v>
      </c>
      <c r="O7" s="573" t="s">
        <v>301</v>
      </c>
      <c r="P7" s="573" t="s">
        <v>302</v>
      </c>
      <c r="Q7" s="573" t="s">
        <v>303</v>
      </c>
      <c r="R7" s="573" t="s">
        <v>304</v>
      </c>
      <c r="S7" s="573" t="s">
        <v>57</v>
      </c>
      <c r="T7" s="573" t="s">
        <v>58</v>
      </c>
      <c r="U7" s="573" t="s">
        <v>59</v>
      </c>
      <c r="V7" s="573" t="s">
        <v>60</v>
      </c>
      <c r="W7" s="573" t="s">
        <v>61</v>
      </c>
      <c r="X7" s="573" t="s">
        <v>62</v>
      </c>
      <c r="Y7" s="573" t="s">
        <v>63</v>
      </c>
      <c r="Z7" s="573" t="s">
        <v>64</v>
      </c>
      <c r="AA7" s="573" t="s">
        <v>65</v>
      </c>
      <c r="AB7" s="573" t="s">
        <v>66</v>
      </c>
      <c r="AC7" s="573" t="s">
        <v>67</v>
      </c>
      <c r="AD7" s="573" t="s">
        <v>68</v>
      </c>
      <c r="AE7" s="573" t="s">
        <v>69</v>
      </c>
      <c r="AF7" s="573" t="s">
        <v>70</v>
      </c>
      <c r="AG7" s="573" t="s">
        <v>71</v>
      </c>
      <c r="AH7" s="573" t="s">
        <v>72</v>
      </c>
      <c r="AI7" s="573" t="s">
        <v>73</v>
      </c>
      <c r="AJ7" s="573" t="s">
        <v>74</v>
      </c>
      <c r="AK7" s="573" t="s">
        <v>75</v>
      </c>
      <c r="AL7" s="573" t="s">
        <v>76</v>
      </c>
      <c r="AM7" s="573" t="s">
        <v>77</v>
      </c>
      <c r="AN7" s="573" t="s">
        <v>78</v>
      </c>
      <c r="AO7" s="573" t="s">
        <v>79</v>
      </c>
      <c r="AP7" s="573" t="s">
        <v>80</v>
      </c>
      <c r="AQ7" s="573" t="s">
        <v>81</v>
      </c>
      <c r="AR7" s="573" t="s">
        <v>82</v>
      </c>
      <c r="AS7" s="573" t="s">
        <v>83</v>
      </c>
    </row>
    <row r="8" spans="1:45" ht="15" thickBot="1" x14ac:dyDescent="0.4">
      <c r="A8" s="205" t="s">
        <v>316</v>
      </c>
      <c r="B8" s="206"/>
      <c r="C8" s="207">
        <f t="shared" ref="C8:AR8" si="0">SUM(C9:C24)</f>
        <v>3126393</v>
      </c>
      <c r="D8" s="207">
        <f t="shared" si="0"/>
        <v>3022295.6456099995</v>
      </c>
      <c r="E8" s="207">
        <f t="shared" si="0"/>
        <v>3085208.50031</v>
      </c>
      <c r="F8" s="207">
        <f t="shared" si="0"/>
        <v>3081193.5890200003</v>
      </c>
      <c r="G8" s="207">
        <f t="shared" si="0"/>
        <v>3163844.6078599999</v>
      </c>
      <c r="H8" s="207">
        <f t="shared" si="0"/>
        <v>3082525.8452100004</v>
      </c>
      <c r="I8" s="207">
        <f t="shared" si="0"/>
        <v>3377786.7399645038</v>
      </c>
      <c r="J8" s="207">
        <f t="shared" si="0"/>
        <v>4387669.45682</v>
      </c>
      <c r="K8" s="207">
        <f t="shared" si="0"/>
        <v>4083000</v>
      </c>
      <c r="L8" s="207">
        <f t="shared" si="0"/>
        <v>4322000</v>
      </c>
      <c r="M8" s="207">
        <f t="shared" si="0"/>
        <v>4965458</v>
      </c>
      <c r="N8" s="207">
        <f t="shared" si="0"/>
        <v>5156657</v>
      </c>
      <c r="O8" s="207">
        <f t="shared" si="0"/>
        <v>4907099</v>
      </c>
      <c r="P8" s="207">
        <f t="shared" si="0"/>
        <v>4857391</v>
      </c>
      <c r="Q8" s="207">
        <f t="shared" si="0"/>
        <v>4819523</v>
      </c>
      <c r="R8" s="207">
        <f t="shared" si="0"/>
        <v>5927532</v>
      </c>
      <c r="S8" s="207">
        <f t="shared" si="0"/>
        <v>5387885.94307</v>
      </c>
      <c r="T8" s="207">
        <f t="shared" si="0"/>
        <v>5372703</v>
      </c>
      <c r="U8" s="207">
        <f t="shared" si="0"/>
        <v>5826887</v>
      </c>
      <c r="V8" s="207">
        <f t="shared" si="0"/>
        <v>7494200</v>
      </c>
      <c r="W8" s="207">
        <f t="shared" si="0"/>
        <v>7177241</v>
      </c>
      <c r="X8" s="207">
        <f t="shared" si="0"/>
        <v>7492629</v>
      </c>
      <c r="Y8" s="207">
        <f t="shared" si="0"/>
        <v>8384221</v>
      </c>
      <c r="Z8" s="207">
        <f t="shared" si="0"/>
        <v>9429564</v>
      </c>
      <c r="AA8" s="207">
        <f t="shared" si="0"/>
        <v>9749312</v>
      </c>
      <c r="AB8" s="207">
        <f t="shared" si="0"/>
        <v>10430437</v>
      </c>
      <c r="AC8" s="207">
        <f t="shared" si="0"/>
        <v>9745929</v>
      </c>
      <c r="AD8" s="207">
        <f t="shared" si="0"/>
        <v>11419027</v>
      </c>
      <c r="AE8" s="207">
        <f t="shared" si="0"/>
        <v>11643903</v>
      </c>
      <c r="AF8" s="207">
        <f t="shared" si="0"/>
        <v>12596389</v>
      </c>
      <c r="AG8" s="207">
        <f t="shared" si="0"/>
        <v>13537813</v>
      </c>
      <c r="AH8" s="207">
        <f t="shared" si="0"/>
        <v>14645300</v>
      </c>
      <c r="AI8" s="207">
        <f t="shared" si="0"/>
        <v>14161312</v>
      </c>
      <c r="AJ8" s="208">
        <f t="shared" si="0"/>
        <v>15745207</v>
      </c>
      <c r="AK8" s="208">
        <f t="shared" si="0"/>
        <v>19718254</v>
      </c>
      <c r="AL8" s="208">
        <f t="shared" si="0"/>
        <v>21690029</v>
      </c>
      <c r="AM8" s="208">
        <f t="shared" si="0"/>
        <v>19295782</v>
      </c>
      <c r="AN8" s="208">
        <f t="shared" si="0"/>
        <v>19586661</v>
      </c>
      <c r="AO8" s="208">
        <f t="shared" si="0"/>
        <v>18243740</v>
      </c>
      <c r="AP8" s="208">
        <f t="shared" si="0"/>
        <v>21689299</v>
      </c>
      <c r="AQ8" s="208">
        <f t="shared" si="0"/>
        <v>22942333</v>
      </c>
      <c r="AR8" s="208">
        <f t="shared" si="0"/>
        <v>23417042</v>
      </c>
      <c r="AS8" s="208">
        <f>SUM(AS9:AS24)</f>
        <v>23859945.00891</v>
      </c>
    </row>
    <row r="9" spans="1:45" x14ac:dyDescent="0.35">
      <c r="A9" s="209" t="s">
        <v>317</v>
      </c>
      <c r="B9" s="210"/>
      <c r="C9" s="211">
        <v>478216</v>
      </c>
      <c r="D9" s="211">
        <v>245780</v>
      </c>
      <c r="E9" s="211">
        <v>228085</v>
      </c>
      <c r="F9" s="211">
        <v>350884.51566999999</v>
      </c>
      <c r="G9" s="211">
        <v>344026</v>
      </c>
      <c r="H9" s="211">
        <v>532989.93324000004</v>
      </c>
      <c r="I9" s="211">
        <v>389847</v>
      </c>
      <c r="J9" s="211">
        <v>280098</v>
      </c>
      <c r="K9" s="211">
        <v>368000</v>
      </c>
      <c r="L9" s="211">
        <v>285000</v>
      </c>
      <c r="M9" s="211">
        <v>452000</v>
      </c>
      <c r="N9" s="211">
        <v>398000</v>
      </c>
      <c r="O9" s="211">
        <v>404000</v>
      </c>
      <c r="P9" s="211">
        <v>418089.30923999992</v>
      </c>
      <c r="Q9" s="211">
        <v>415911</v>
      </c>
      <c r="R9" s="211">
        <v>920784</v>
      </c>
      <c r="S9" s="211">
        <v>944000</v>
      </c>
      <c r="T9" s="211">
        <v>896729</v>
      </c>
      <c r="U9" s="211">
        <v>928321</v>
      </c>
      <c r="V9" s="211">
        <v>4098600.0000000005</v>
      </c>
      <c r="W9" s="211">
        <v>4099792.9999999995</v>
      </c>
      <c r="X9" s="211">
        <v>4438850</v>
      </c>
      <c r="Y9" s="211">
        <v>4753614</v>
      </c>
      <c r="Z9" s="211">
        <v>4743990</v>
      </c>
      <c r="AA9" s="211">
        <v>4991303</v>
      </c>
      <c r="AB9" s="211">
        <v>4402984</v>
      </c>
      <c r="AC9" s="211">
        <v>4275954</v>
      </c>
      <c r="AD9" s="211">
        <v>1785203</v>
      </c>
      <c r="AE9" s="211">
        <v>3257369</v>
      </c>
      <c r="AF9" s="211">
        <v>619121</v>
      </c>
      <c r="AG9" s="211">
        <v>3311664</v>
      </c>
      <c r="AH9" s="211">
        <v>2219546</v>
      </c>
      <c r="AI9" s="211">
        <v>2491021</v>
      </c>
      <c r="AJ9" s="211">
        <v>4205024</v>
      </c>
      <c r="AK9" s="211">
        <v>3778086</v>
      </c>
      <c r="AL9" s="211">
        <v>2996589</v>
      </c>
      <c r="AM9" s="211">
        <v>1990351</v>
      </c>
      <c r="AN9" s="211">
        <v>3830698</v>
      </c>
      <c r="AO9" s="211">
        <v>2885828</v>
      </c>
      <c r="AP9" s="211">
        <v>3166362</v>
      </c>
      <c r="AQ9" s="211">
        <v>4321115</v>
      </c>
      <c r="AR9" s="211">
        <v>5243983</v>
      </c>
      <c r="AS9" s="211">
        <v>5575524</v>
      </c>
    </row>
    <row r="10" spans="1:45" x14ac:dyDescent="0.35">
      <c r="A10" s="209" t="s">
        <v>318</v>
      </c>
      <c r="B10" s="210"/>
      <c r="C10" s="211">
        <v>957500</v>
      </c>
      <c r="D10" s="211">
        <v>1273886</v>
      </c>
      <c r="E10" s="211">
        <v>1364529</v>
      </c>
      <c r="F10" s="211">
        <v>1262132</v>
      </c>
      <c r="G10" s="211">
        <v>1002053.8224599999</v>
      </c>
      <c r="H10" s="211">
        <v>830137</v>
      </c>
      <c r="I10" s="211">
        <v>842725.95521450404</v>
      </c>
      <c r="J10" s="211">
        <v>1683565</v>
      </c>
      <c r="K10" s="211">
        <v>1348000</v>
      </c>
      <c r="L10" s="211">
        <v>1551000</v>
      </c>
      <c r="M10" s="211">
        <v>1838000</v>
      </c>
      <c r="N10" s="211">
        <v>2083000</v>
      </c>
      <c r="O10" s="211">
        <v>2040000</v>
      </c>
      <c r="P10" s="211">
        <v>1908449.6907600001</v>
      </c>
      <c r="Q10" s="211">
        <v>1630801</v>
      </c>
      <c r="R10" s="211">
        <v>2137135</v>
      </c>
      <c r="S10" s="211">
        <v>1786869</v>
      </c>
      <c r="T10" s="211">
        <v>1628482</v>
      </c>
      <c r="U10" s="211">
        <v>1732997</v>
      </c>
      <c r="V10" s="211">
        <v>74793</v>
      </c>
      <c r="W10" s="211">
        <v>522</v>
      </c>
      <c r="X10" s="211">
        <v>522</v>
      </c>
      <c r="Y10" s="211">
        <v>0</v>
      </c>
      <c r="Z10" s="211">
        <v>0</v>
      </c>
      <c r="AA10" s="211">
        <v>1374</v>
      </c>
      <c r="AB10" s="211">
        <v>1129310</v>
      </c>
      <c r="AC10" s="211">
        <v>449776</v>
      </c>
      <c r="AD10" s="211">
        <v>4043717</v>
      </c>
      <c r="AE10" s="211">
        <v>2344913</v>
      </c>
      <c r="AF10" s="211">
        <v>5362258</v>
      </c>
      <c r="AG10" s="211">
        <v>3706309</v>
      </c>
      <c r="AH10" s="211">
        <v>5397283</v>
      </c>
      <c r="AI10" s="211">
        <v>4323636</v>
      </c>
      <c r="AJ10" s="211">
        <v>3916445</v>
      </c>
      <c r="AK10" s="211">
        <v>5842542</v>
      </c>
      <c r="AL10" s="211">
        <v>7374627</v>
      </c>
      <c r="AM10" s="211">
        <v>6392369</v>
      </c>
      <c r="AN10" s="211">
        <v>6003005</v>
      </c>
      <c r="AO10" s="211">
        <v>4916487</v>
      </c>
      <c r="AP10" s="211">
        <v>4714434</v>
      </c>
      <c r="AQ10" s="211">
        <v>4624025</v>
      </c>
      <c r="AR10" s="211">
        <v>4343351</v>
      </c>
      <c r="AS10" s="211">
        <v>3722217</v>
      </c>
    </row>
    <row r="11" spans="1:45" x14ac:dyDescent="0.35">
      <c r="A11" s="209" t="s">
        <v>319</v>
      </c>
      <c r="B11" s="210"/>
      <c r="C11" s="211">
        <v>923464</v>
      </c>
      <c r="D11" s="211">
        <v>919440</v>
      </c>
      <c r="E11" s="211">
        <v>978071</v>
      </c>
      <c r="F11" s="211">
        <v>1006085</v>
      </c>
      <c r="G11" s="211">
        <v>1026473.9999999999</v>
      </c>
      <c r="H11" s="211">
        <v>1086698.77831</v>
      </c>
      <c r="I11" s="211">
        <v>1272674.2632500001</v>
      </c>
      <c r="J11" s="211">
        <v>1382874.45682</v>
      </c>
      <c r="K11" s="211">
        <v>1517000</v>
      </c>
      <c r="L11" s="211">
        <v>1605000</v>
      </c>
      <c r="M11" s="211">
        <v>1764000</v>
      </c>
      <c r="N11" s="211">
        <v>1983000</v>
      </c>
      <c r="O11" s="211">
        <v>1860000</v>
      </c>
      <c r="P11" s="211">
        <v>1938558</v>
      </c>
      <c r="Q11" s="211">
        <v>2211925</v>
      </c>
      <c r="R11" s="211">
        <v>2292104</v>
      </c>
      <c r="S11" s="211">
        <v>2043000</v>
      </c>
      <c r="T11" s="211">
        <v>2132731</v>
      </c>
      <c r="U11" s="211">
        <v>2322915</v>
      </c>
      <c r="V11" s="211">
        <v>2439478</v>
      </c>
      <c r="W11" s="211">
        <v>2154711</v>
      </c>
      <c r="X11" s="211">
        <v>2221911</v>
      </c>
      <c r="Y11" s="211">
        <v>2425352</v>
      </c>
      <c r="Z11" s="211">
        <v>2938037</v>
      </c>
      <c r="AA11" s="211">
        <v>3255199</v>
      </c>
      <c r="AB11" s="211">
        <v>3293725</v>
      </c>
      <c r="AC11" s="211">
        <v>3333569</v>
      </c>
      <c r="AD11" s="211">
        <v>3503757</v>
      </c>
      <c r="AE11" s="211">
        <v>2911796</v>
      </c>
      <c r="AF11" s="211">
        <v>3327841</v>
      </c>
      <c r="AG11" s="211">
        <v>3408250</v>
      </c>
      <c r="AH11" s="211">
        <v>3589317</v>
      </c>
      <c r="AI11" s="211">
        <v>3451455</v>
      </c>
      <c r="AJ11" s="211">
        <v>3542658</v>
      </c>
      <c r="AK11" s="211">
        <v>4733642</v>
      </c>
      <c r="AL11" s="211">
        <v>5476221</v>
      </c>
      <c r="AM11" s="211">
        <v>5665092</v>
      </c>
      <c r="AN11" s="211">
        <v>5363516</v>
      </c>
      <c r="AO11" s="211">
        <v>5715160</v>
      </c>
      <c r="AP11" s="211">
        <v>7689205</v>
      </c>
      <c r="AQ11" s="211">
        <v>7885231</v>
      </c>
      <c r="AR11" s="211">
        <v>7757822</v>
      </c>
      <c r="AS11" s="211">
        <v>8414708.0089100003</v>
      </c>
    </row>
    <row r="12" spans="1:45" x14ac:dyDescent="0.35">
      <c r="A12" s="209" t="s">
        <v>320</v>
      </c>
      <c r="B12" s="210"/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0</v>
      </c>
      <c r="R12" s="211">
        <v>3947</v>
      </c>
      <c r="S12" s="211">
        <v>591.41438000000005</v>
      </c>
      <c r="T12" s="211">
        <v>53645</v>
      </c>
      <c r="U12" s="211">
        <v>2511</v>
      </c>
      <c r="V12" s="211">
        <v>8763</v>
      </c>
      <c r="W12" s="211">
        <v>1844</v>
      </c>
      <c r="X12" s="211">
        <v>7973</v>
      </c>
      <c r="Y12" s="211">
        <v>542</v>
      </c>
      <c r="Z12" s="211">
        <v>18769</v>
      </c>
      <c r="AA12" s="211">
        <v>20448</v>
      </c>
      <c r="AB12" s="211">
        <v>16474</v>
      </c>
      <c r="AC12" s="211">
        <v>23210</v>
      </c>
      <c r="AD12" s="211">
        <v>1291</v>
      </c>
      <c r="AE12" s="211">
        <v>2328</v>
      </c>
      <c r="AF12" s="211">
        <v>2674</v>
      </c>
      <c r="AG12" s="211">
        <v>1337</v>
      </c>
      <c r="AH12" s="211"/>
      <c r="AI12" s="211"/>
      <c r="AJ12" s="211"/>
      <c r="AK12" s="211"/>
      <c r="AL12" s="211"/>
      <c r="AM12" s="211"/>
      <c r="AN12" s="211"/>
      <c r="AO12" s="211"/>
      <c r="AP12" s="211">
        <v>0</v>
      </c>
      <c r="AQ12" s="211"/>
      <c r="AR12" s="211"/>
      <c r="AS12" s="211"/>
    </row>
    <row r="13" spans="1:45" x14ac:dyDescent="0.35">
      <c r="A13" s="209" t="s">
        <v>321</v>
      </c>
      <c r="B13" s="210"/>
      <c r="C13" s="211">
        <v>195721</v>
      </c>
      <c r="D13" s="211">
        <v>143090.76061999999</v>
      </c>
      <c r="E13" s="211">
        <v>132547</v>
      </c>
      <c r="F13" s="211">
        <v>94346</v>
      </c>
      <c r="G13" s="211">
        <v>156034</v>
      </c>
      <c r="H13" s="211">
        <v>205813</v>
      </c>
      <c r="I13" s="211">
        <v>199979</v>
      </c>
      <c r="J13" s="211">
        <v>236701</v>
      </c>
      <c r="K13" s="211">
        <v>231000</v>
      </c>
      <c r="L13" s="211">
        <v>219000</v>
      </c>
      <c r="M13" s="211">
        <v>195000</v>
      </c>
      <c r="N13" s="211">
        <v>221000</v>
      </c>
      <c r="O13" s="211">
        <v>169000</v>
      </c>
      <c r="P13" s="211">
        <v>157211</v>
      </c>
      <c r="Q13" s="211">
        <v>161676</v>
      </c>
      <c r="R13" s="211">
        <v>64738</v>
      </c>
      <c r="S13" s="211">
        <v>40440.792009999997</v>
      </c>
      <c r="T13" s="211">
        <v>42355</v>
      </c>
      <c r="U13" s="211">
        <v>41546</v>
      </c>
      <c r="V13" s="211">
        <v>77895</v>
      </c>
      <c r="W13" s="211">
        <v>69708</v>
      </c>
      <c r="X13" s="211">
        <v>54533</v>
      </c>
      <c r="Y13" s="211">
        <v>75704</v>
      </c>
      <c r="Z13" s="211">
        <v>63380</v>
      </c>
      <c r="AA13" s="211">
        <v>51725</v>
      </c>
      <c r="AB13" s="211">
        <v>36820</v>
      </c>
      <c r="AC13" s="211">
        <v>36970</v>
      </c>
      <c r="AD13" s="211">
        <v>36376</v>
      </c>
      <c r="AE13" s="211">
        <v>46949</v>
      </c>
      <c r="AF13" s="211">
        <v>20403</v>
      </c>
      <c r="AG13" s="211">
        <v>39208</v>
      </c>
      <c r="AH13" s="211">
        <v>29855</v>
      </c>
      <c r="AI13" s="211">
        <v>26777</v>
      </c>
      <c r="AJ13" s="211">
        <v>41873</v>
      </c>
      <c r="AK13" s="211">
        <v>61541</v>
      </c>
      <c r="AL13" s="211">
        <v>63197</v>
      </c>
      <c r="AM13" s="211">
        <v>51714</v>
      </c>
      <c r="AN13" s="211">
        <v>67519</v>
      </c>
      <c r="AO13" s="211">
        <v>75992</v>
      </c>
      <c r="AP13" s="211">
        <v>84236</v>
      </c>
      <c r="AQ13" s="211">
        <v>64362</v>
      </c>
      <c r="AR13" s="211">
        <v>56798</v>
      </c>
      <c r="AS13" s="211">
        <v>69329</v>
      </c>
    </row>
    <row r="14" spans="1:45" x14ac:dyDescent="0.35">
      <c r="A14" s="209" t="s">
        <v>322</v>
      </c>
      <c r="B14" s="210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>
        <v>365462</v>
      </c>
      <c r="AE14" s="211">
        <v>371989</v>
      </c>
      <c r="AF14" s="211">
        <v>410166</v>
      </c>
      <c r="AG14" s="211">
        <v>429077</v>
      </c>
      <c r="AH14" s="211">
        <v>518041.00000000006</v>
      </c>
      <c r="AI14" s="211">
        <v>514922</v>
      </c>
      <c r="AJ14" s="211">
        <v>536245</v>
      </c>
      <c r="AK14" s="211">
        <v>550459</v>
      </c>
      <c r="AL14" s="211">
        <v>605958</v>
      </c>
      <c r="AM14" s="211">
        <v>533701</v>
      </c>
      <c r="AN14" s="211">
        <v>551792</v>
      </c>
      <c r="AO14" s="211">
        <v>603687</v>
      </c>
      <c r="AP14" s="211">
        <v>656979</v>
      </c>
      <c r="AQ14" s="211">
        <v>616134</v>
      </c>
      <c r="AR14" s="211">
        <v>661726</v>
      </c>
      <c r="AS14" s="211">
        <v>618309</v>
      </c>
    </row>
    <row r="15" spans="1:45" x14ac:dyDescent="0.35">
      <c r="A15" s="209" t="s">
        <v>323</v>
      </c>
      <c r="B15" s="210"/>
      <c r="C15" s="211">
        <v>0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342000</v>
      </c>
      <c r="K15" s="211">
        <v>160000</v>
      </c>
      <c r="L15" s="211">
        <v>100000</v>
      </c>
      <c r="M15" s="211">
        <v>132000</v>
      </c>
      <c r="N15" s="211">
        <v>0</v>
      </c>
      <c r="O15" s="211">
        <v>0</v>
      </c>
      <c r="P15" s="211">
        <v>7865</v>
      </c>
      <c r="Q15" s="211">
        <v>0</v>
      </c>
      <c r="R15" s="211">
        <v>0</v>
      </c>
      <c r="S15" s="211">
        <v>0</v>
      </c>
      <c r="T15" s="211">
        <v>0</v>
      </c>
      <c r="U15" s="211">
        <v>136570</v>
      </c>
      <c r="V15" s="211">
        <v>100414</v>
      </c>
      <c r="W15" s="211">
        <v>69249</v>
      </c>
      <c r="X15" s="211">
        <v>8622</v>
      </c>
      <c r="Y15" s="211">
        <v>355625</v>
      </c>
      <c r="Z15" s="211">
        <v>464505</v>
      </c>
      <c r="AA15" s="211">
        <v>250608</v>
      </c>
      <c r="AB15" s="211">
        <v>110645</v>
      </c>
      <c r="AC15" s="211">
        <v>246720</v>
      </c>
      <c r="AD15" s="211">
        <v>231463</v>
      </c>
      <c r="AE15" s="211">
        <v>113185</v>
      </c>
      <c r="AF15" s="211">
        <v>141484</v>
      </c>
      <c r="AG15" s="211">
        <v>49743</v>
      </c>
      <c r="AH15" s="211"/>
      <c r="AI15" s="211">
        <v>188426</v>
      </c>
      <c r="AJ15" s="211">
        <v>56862</v>
      </c>
      <c r="AK15" s="211">
        <v>696262</v>
      </c>
      <c r="AL15" s="211">
        <v>698729</v>
      </c>
      <c r="AM15" s="211">
        <v>343889</v>
      </c>
      <c r="AN15" s="211">
        <v>182461</v>
      </c>
      <c r="AO15" s="211">
        <v>298217</v>
      </c>
      <c r="AP15" s="211">
        <v>394179</v>
      </c>
      <c r="AQ15" s="211">
        <v>267077</v>
      </c>
      <c r="AR15" s="211">
        <v>270643</v>
      </c>
      <c r="AS15" s="211">
        <v>211791</v>
      </c>
    </row>
    <row r="16" spans="1:45" x14ac:dyDescent="0.35">
      <c r="A16" s="209" t="s">
        <v>324</v>
      </c>
      <c r="B16" s="210"/>
      <c r="C16" s="211">
        <v>23911</v>
      </c>
      <c r="D16" s="211">
        <v>113988.78245</v>
      </c>
      <c r="E16" s="211">
        <v>22973.779849999999</v>
      </c>
      <c r="F16" s="211">
        <v>24165</v>
      </c>
      <c r="G16" s="211">
        <v>22567.785400000001</v>
      </c>
      <c r="H16" s="211">
        <v>22475.577880000001</v>
      </c>
      <c r="I16" s="211">
        <v>21294.34204</v>
      </c>
      <c r="J16" s="211">
        <v>20037</v>
      </c>
      <c r="K16" s="211">
        <v>20000</v>
      </c>
      <c r="L16" s="211">
        <v>24000</v>
      </c>
      <c r="M16" s="211">
        <v>25000</v>
      </c>
      <c r="N16" s="211">
        <v>25000</v>
      </c>
      <c r="O16" s="211">
        <v>26000</v>
      </c>
      <c r="P16" s="211">
        <v>32192</v>
      </c>
      <c r="Q16" s="211">
        <v>31917</v>
      </c>
      <c r="R16" s="211">
        <v>31839</v>
      </c>
      <c r="S16" s="211">
        <v>34605.136699999995</v>
      </c>
      <c r="T16" s="211">
        <v>37526</v>
      </c>
      <c r="U16" s="211">
        <v>22042</v>
      </c>
      <c r="V16" s="211">
        <v>15245</v>
      </c>
      <c r="W16" s="211">
        <v>14390</v>
      </c>
      <c r="X16" s="211">
        <v>6793</v>
      </c>
      <c r="Y16" s="211">
        <v>6627</v>
      </c>
      <c r="Z16" s="211">
        <v>4068</v>
      </c>
      <c r="AA16" s="211">
        <v>4374</v>
      </c>
      <c r="AB16" s="211">
        <v>4609</v>
      </c>
      <c r="AC16" s="211">
        <v>3111</v>
      </c>
      <c r="AD16" s="211">
        <v>3052</v>
      </c>
      <c r="AE16" s="211">
        <v>3264</v>
      </c>
      <c r="AF16" s="211">
        <v>2941</v>
      </c>
      <c r="AG16" s="211">
        <v>5113</v>
      </c>
      <c r="AH16" s="211">
        <v>3567</v>
      </c>
      <c r="AI16" s="211">
        <v>3806</v>
      </c>
      <c r="AJ16" s="211">
        <v>4105</v>
      </c>
      <c r="AK16" s="211">
        <v>3983</v>
      </c>
      <c r="AL16" s="211">
        <v>4025</v>
      </c>
      <c r="AM16" s="211">
        <v>4209</v>
      </c>
      <c r="AN16" s="211">
        <v>5142</v>
      </c>
      <c r="AO16" s="211">
        <v>7410</v>
      </c>
      <c r="AP16" s="211">
        <v>5711</v>
      </c>
      <c r="AQ16" s="211">
        <v>5545</v>
      </c>
      <c r="AR16" s="211">
        <v>9351</v>
      </c>
      <c r="AS16" s="211">
        <v>10127</v>
      </c>
    </row>
    <row r="17" spans="1:45" x14ac:dyDescent="0.35">
      <c r="A17" s="209" t="s">
        <v>325</v>
      </c>
      <c r="B17" s="210"/>
      <c r="C17" s="211">
        <v>0</v>
      </c>
      <c r="D17" s="211">
        <v>0</v>
      </c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65000</v>
      </c>
      <c r="K17" s="211">
        <v>0</v>
      </c>
      <c r="L17" s="211">
        <v>0</v>
      </c>
      <c r="M17" s="211">
        <v>79000</v>
      </c>
      <c r="N17" s="211">
        <v>53000</v>
      </c>
      <c r="O17" s="211">
        <v>0</v>
      </c>
      <c r="P17" s="211">
        <v>0</v>
      </c>
      <c r="Q17" s="211">
        <v>0</v>
      </c>
      <c r="R17" s="211">
        <v>1242</v>
      </c>
      <c r="S17" s="211">
        <v>0</v>
      </c>
      <c r="T17" s="211">
        <v>0</v>
      </c>
      <c r="U17" s="211">
        <v>0</v>
      </c>
      <c r="V17" s="211">
        <v>0</v>
      </c>
      <c r="W17" s="211">
        <v>0</v>
      </c>
      <c r="X17" s="211">
        <v>0</v>
      </c>
      <c r="Y17" s="211">
        <v>0</v>
      </c>
      <c r="Z17" s="211">
        <v>0</v>
      </c>
      <c r="AA17" s="211">
        <v>0</v>
      </c>
      <c r="AB17" s="211">
        <v>0</v>
      </c>
      <c r="AC17" s="211">
        <v>18676</v>
      </c>
      <c r="AD17" s="211">
        <v>17554</v>
      </c>
      <c r="AE17" s="211">
        <v>19405</v>
      </c>
      <c r="AF17" s="211">
        <v>21682</v>
      </c>
      <c r="AG17" s="211">
        <v>17724</v>
      </c>
      <c r="AH17" s="211">
        <v>100600</v>
      </c>
      <c r="AI17" s="211">
        <v>184410</v>
      </c>
      <c r="AJ17" s="211">
        <v>226157</v>
      </c>
      <c r="AK17" s="211">
        <v>317633</v>
      </c>
      <c r="AL17" s="211">
        <v>293020</v>
      </c>
      <c r="AM17" s="211">
        <v>119248</v>
      </c>
      <c r="AN17" s="211">
        <v>119134</v>
      </c>
      <c r="AO17" s="211">
        <v>93423</v>
      </c>
      <c r="AP17" s="211">
        <v>88972</v>
      </c>
      <c r="AQ17" s="211">
        <v>73483</v>
      </c>
      <c r="AR17" s="211">
        <v>0</v>
      </c>
      <c r="AS17" s="211">
        <v>34455</v>
      </c>
    </row>
    <row r="18" spans="1:45" x14ac:dyDescent="0.35">
      <c r="A18" s="209" t="s">
        <v>326</v>
      </c>
      <c r="B18" s="210"/>
      <c r="C18" s="211">
        <v>24758</v>
      </c>
      <c r="D18" s="211">
        <v>24739.267300000003</v>
      </c>
      <c r="E18" s="211">
        <v>24113.46744</v>
      </c>
      <c r="F18" s="211">
        <v>24258</v>
      </c>
      <c r="G18" s="211">
        <v>26299</v>
      </c>
      <c r="H18" s="211">
        <v>30363.516780000002</v>
      </c>
      <c r="I18" s="211">
        <v>29237.179459999999</v>
      </c>
      <c r="J18" s="211">
        <v>20912</v>
      </c>
      <c r="K18" s="211">
        <v>23000</v>
      </c>
      <c r="L18" s="211">
        <v>17000</v>
      </c>
      <c r="M18" s="211">
        <v>14000</v>
      </c>
      <c r="N18" s="211">
        <v>11000</v>
      </c>
      <c r="O18" s="211">
        <v>11000</v>
      </c>
      <c r="P18" s="211">
        <v>18327</v>
      </c>
      <c r="Q18" s="211">
        <v>23869</v>
      </c>
      <c r="R18" s="211">
        <v>19987</v>
      </c>
      <c r="S18" s="211">
        <v>19971.599980000003</v>
      </c>
      <c r="T18" s="211">
        <v>16858</v>
      </c>
      <c r="U18" s="211">
        <v>15534</v>
      </c>
      <c r="V18" s="211">
        <v>15934</v>
      </c>
      <c r="W18" s="211">
        <v>17597</v>
      </c>
      <c r="X18" s="211">
        <v>21796</v>
      </c>
      <c r="Y18" s="211">
        <v>17426</v>
      </c>
      <c r="Z18" s="211">
        <v>25305</v>
      </c>
      <c r="AA18" s="211">
        <v>32756</v>
      </c>
      <c r="AB18" s="211">
        <v>31990</v>
      </c>
      <c r="AC18" s="211">
        <v>28040</v>
      </c>
      <c r="AD18" s="211">
        <v>31895</v>
      </c>
      <c r="AE18" s="211">
        <v>36578</v>
      </c>
      <c r="AF18" s="211">
        <v>43361</v>
      </c>
      <c r="AG18" s="211">
        <v>51728</v>
      </c>
      <c r="AH18" s="211">
        <v>47264</v>
      </c>
      <c r="AI18" s="211">
        <v>61687</v>
      </c>
      <c r="AJ18" s="211">
        <v>95942</v>
      </c>
      <c r="AK18" s="211">
        <v>141925</v>
      </c>
      <c r="AL18" s="211">
        <v>203710</v>
      </c>
      <c r="AM18" s="211">
        <v>235510</v>
      </c>
      <c r="AN18" s="211">
        <v>236219</v>
      </c>
      <c r="AO18" s="211">
        <v>260759</v>
      </c>
      <c r="AP18" s="211">
        <v>278860</v>
      </c>
      <c r="AQ18" s="211">
        <v>254069</v>
      </c>
      <c r="AR18" s="211">
        <v>219777</v>
      </c>
      <c r="AS18" s="211">
        <v>226376</v>
      </c>
    </row>
    <row r="19" spans="1:45" x14ac:dyDescent="0.35">
      <c r="A19" s="209" t="s">
        <v>327</v>
      </c>
      <c r="B19" s="210"/>
      <c r="C19" s="211">
        <v>120594</v>
      </c>
      <c r="D19" s="211">
        <v>126799.61318</v>
      </c>
      <c r="E19" s="211">
        <v>144432.25302</v>
      </c>
      <c r="F19" s="211">
        <v>167720.07335000002</v>
      </c>
      <c r="G19" s="211">
        <v>138726</v>
      </c>
      <c r="H19" s="211">
        <v>181790.03900000002</v>
      </c>
      <c r="I19" s="211">
        <v>171095</v>
      </c>
      <c r="J19" s="211">
        <v>186108</v>
      </c>
      <c r="K19" s="211">
        <v>171000</v>
      </c>
      <c r="L19" s="211">
        <v>192000</v>
      </c>
      <c r="M19" s="211">
        <v>114504</v>
      </c>
      <c r="N19" s="211">
        <v>94874</v>
      </c>
      <c r="O19" s="211">
        <v>93997</v>
      </c>
      <c r="P19" s="211">
        <v>81899</v>
      </c>
      <c r="Q19" s="211">
        <v>52874</v>
      </c>
      <c r="R19" s="211">
        <v>105000</v>
      </c>
      <c r="S19" s="211">
        <v>121408</v>
      </c>
      <c r="T19" s="211">
        <v>124999</v>
      </c>
      <c r="U19" s="211">
        <v>109295</v>
      </c>
      <c r="V19" s="211">
        <v>117137</v>
      </c>
      <c r="W19" s="211">
        <v>119661</v>
      </c>
      <c r="X19" s="211">
        <v>119880</v>
      </c>
      <c r="Y19" s="211">
        <v>122278</v>
      </c>
      <c r="Z19" s="211">
        <v>155400</v>
      </c>
      <c r="AA19" s="211">
        <v>167847</v>
      </c>
      <c r="AB19" s="211">
        <v>186135</v>
      </c>
      <c r="AC19" s="211">
        <v>161658</v>
      </c>
      <c r="AD19" s="211">
        <v>256066</v>
      </c>
      <c r="AE19" s="211">
        <v>1074326</v>
      </c>
      <c r="AF19" s="211">
        <v>1170253</v>
      </c>
      <c r="AG19" s="211">
        <v>1093211</v>
      </c>
      <c r="AH19" s="211">
        <v>1240973</v>
      </c>
      <c r="AI19" s="211">
        <v>1080208</v>
      </c>
      <c r="AJ19" s="211">
        <v>1066839</v>
      </c>
      <c r="AK19" s="211">
        <v>1377162</v>
      </c>
      <c r="AL19" s="211">
        <v>1215975</v>
      </c>
      <c r="AM19" s="211">
        <v>1407366</v>
      </c>
      <c r="AN19" s="211">
        <v>705567</v>
      </c>
      <c r="AO19" s="211">
        <v>598436</v>
      </c>
      <c r="AP19" s="211">
        <v>1426692</v>
      </c>
      <c r="AQ19" s="211">
        <v>1396476</v>
      </c>
      <c r="AR19" s="211">
        <v>1374133</v>
      </c>
      <c r="AS19" s="211">
        <v>1453666</v>
      </c>
    </row>
    <row r="20" spans="1:45" x14ac:dyDescent="0.35">
      <c r="A20" s="209" t="s">
        <v>328</v>
      </c>
      <c r="B20" s="210"/>
      <c r="C20" s="211">
        <v>0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11">
        <v>0</v>
      </c>
      <c r="M20" s="211">
        <v>89954</v>
      </c>
      <c r="N20" s="211">
        <v>116783</v>
      </c>
      <c r="O20" s="211">
        <v>126102</v>
      </c>
      <c r="P20" s="211">
        <v>128941</v>
      </c>
      <c r="Q20" s="211">
        <v>103140</v>
      </c>
      <c r="R20" s="211">
        <v>127909</v>
      </c>
      <c r="S20" s="211">
        <v>100000</v>
      </c>
      <c r="T20" s="211">
        <v>105330</v>
      </c>
      <c r="U20" s="211">
        <v>101159</v>
      </c>
      <c r="V20" s="211">
        <v>156064</v>
      </c>
      <c r="W20" s="211">
        <v>158718</v>
      </c>
      <c r="X20" s="211">
        <v>158839</v>
      </c>
      <c r="Y20" s="211">
        <v>159839</v>
      </c>
      <c r="Z20" s="211">
        <v>188028</v>
      </c>
      <c r="AA20" s="211">
        <v>223256</v>
      </c>
      <c r="AB20" s="211">
        <v>179179</v>
      </c>
      <c r="AC20" s="211">
        <v>181012</v>
      </c>
      <c r="AD20" s="211">
        <v>143132</v>
      </c>
      <c r="AE20" s="211">
        <v>154809</v>
      </c>
      <c r="AF20" s="211">
        <v>185887</v>
      </c>
      <c r="AG20" s="211">
        <v>176869</v>
      </c>
      <c r="AH20" s="211">
        <v>195413</v>
      </c>
      <c r="AI20" s="211">
        <v>201505</v>
      </c>
      <c r="AJ20" s="211">
        <v>238658</v>
      </c>
      <c r="AK20" s="211">
        <v>283996</v>
      </c>
      <c r="AL20" s="211">
        <v>305935</v>
      </c>
      <c r="AM20" s="211">
        <v>379795</v>
      </c>
      <c r="AN20" s="211">
        <v>454057</v>
      </c>
      <c r="AO20" s="211">
        <v>503839</v>
      </c>
      <c r="AP20" s="211">
        <v>612529</v>
      </c>
      <c r="AQ20" s="211">
        <v>678483</v>
      </c>
      <c r="AR20" s="211">
        <v>777304</v>
      </c>
      <c r="AS20" s="211">
        <v>877382</v>
      </c>
    </row>
    <row r="21" spans="1:45" x14ac:dyDescent="0.35">
      <c r="A21" s="209" t="s">
        <v>329</v>
      </c>
      <c r="B21" s="210"/>
      <c r="C21" s="211">
        <v>170091</v>
      </c>
      <c r="D21" s="211">
        <v>13112.22206</v>
      </c>
      <c r="E21" s="211">
        <v>18759</v>
      </c>
      <c r="F21" s="211">
        <v>5721</v>
      </c>
      <c r="G21" s="211">
        <v>285115</v>
      </c>
      <c r="H21" s="211">
        <v>0</v>
      </c>
      <c r="I21" s="211">
        <v>255353</v>
      </c>
      <c r="J21" s="211">
        <v>0</v>
      </c>
      <c r="K21" s="211">
        <v>59000</v>
      </c>
      <c r="L21" s="211">
        <v>100000</v>
      </c>
      <c r="M21" s="211">
        <v>53000</v>
      </c>
      <c r="N21" s="211">
        <v>0</v>
      </c>
      <c r="O21" s="211">
        <v>0</v>
      </c>
      <c r="P21" s="211">
        <v>0</v>
      </c>
      <c r="Q21" s="211">
        <v>0</v>
      </c>
      <c r="R21" s="211">
        <v>0</v>
      </c>
      <c r="S21" s="211">
        <v>0</v>
      </c>
      <c r="T21" s="211">
        <v>0</v>
      </c>
      <c r="U21" s="211">
        <v>0</v>
      </c>
      <c r="V21" s="211">
        <v>0</v>
      </c>
      <c r="W21" s="211">
        <v>0</v>
      </c>
      <c r="X21" s="211">
        <v>0</v>
      </c>
      <c r="Y21" s="211">
        <v>0</v>
      </c>
      <c r="Z21" s="211">
        <v>0</v>
      </c>
      <c r="AA21" s="211">
        <v>0</v>
      </c>
      <c r="AB21" s="211">
        <v>0</v>
      </c>
      <c r="AC21" s="211">
        <v>0</v>
      </c>
      <c r="AD21" s="211"/>
      <c r="AE21" s="211">
        <v>0</v>
      </c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</row>
    <row r="22" spans="1:45" x14ac:dyDescent="0.35">
      <c r="A22" s="209" t="s">
        <v>330</v>
      </c>
      <c r="B22" s="210"/>
      <c r="C22" s="211">
        <v>232138</v>
      </c>
      <c r="D22" s="211">
        <v>161459</v>
      </c>
      <c r="E22" s="211">
        <v>171698</v>
      </c>
      <c r="F22" s="211">
        <v>145882</v>
      </c>
      <c r="G22" s="211">
        <v>162549</v>
      </c>
      <c r="H22" s="211">
        <v>192258</v>
      </c>
      <c r="I22" s="211">
        <v>195581</v>
      </c>
      <c r="J22" s="211">
        <v>170374</v>
      </c>
      <c r="K22" s="211">
        <v>186000</v>
      </c>
      <c r="L22" s="211">
        <v>229000</v>
      </c>
      <c r="M22" s="211">
        <v>209000</v>
      </c>
      <c r="N22" s="211">
        <v>171000</v>
      </c>
      <c r="O22" s="211">
        <v>177000</v>
      </c>
      <c r="P22" s="211">
        <v>165859</v>
      </c>
      <c r="Q22" s="211">
        <v>187410</v>
      </c>
      <c r="R22" s="211">
        <v>222847</v>
      </c>
      <c r="S22" s="211">
        <v>297000</v>
      </c>
      <c r="T22" s="211">
        <v>334047.99999999977</v>
      </c>
      <c r="U22" s="211">
        <v>413997</v>
      </c>
      <c r="V22" s="211">
        <v>389877</v>
      </c>
      <c r="W22" s="211">
        <v>471048</v>
      </c>
      <c r="X22" s="211">
        <v>452910</v>
      </c>
      <c r="Y22" s="211">
        <v>467214</v>
      </c>
      <c r="Z22" s="211">
        <v>828082</v>
      </c>
      <c r="AA22" s="211">
        <v>750422</v>
      </c>
      <c r="AB22" s="211">
        <v>1038566</v>
      </c>
      <c r="AC22" s="211">
        <v>987233.00000000012</v>
      </c>
      <c r="AD22" s="211">
        <v>295192</v>
      </c>
      <c r="AE22" s="211">
        <v>595214</v>
      </c>
      <c r="AF22" s="211">
        <v>576533</v>
      </c>
      <c r="AG22" s="211">
        <v>538028</v>
      </c>
      <c r="AH22" s="211">
        <v>587078</v>
      </c>
      <c r="AI22" s="211">
        <v>559377</v>
      </c>
      <c r="AJ22" s="211">
        <v>617999</v>
      </c>
      <c r="AK22" s="211">
        <v>785339</v>
      </c>
      <c r="AL22" s="211">
        <v>1051710</v>
      </c>
      <c r="AM22" s="211">
        <v>911351</v>
      </c>
      <c r="AN22" s="211">
        <v>824544</v>
      </c>
      <c r="AO22" s="211">
        <v>844780</v>
      </c>
      <c r="AP22" s="211">
        <v>1133164</v>
      </c>
      <c r="AQ22" s="211">
        <v>1333090</v>
      </c>
      <c r="AR22" s="211">
        <v>1211600</v>
      </c>
      <c r="AS22" s="211">
        <v>1117337</v>
      </c>
    </row>
    <row r="23" spans="1:45" x14ac:dyDescent="0.35">
      <c r="A23" s="209" t="s">
        <v>331</v>
      </c>
      <c r="B23" s="210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>
        <v>699692</v>
      </c>
      <c r="AE23" s="211">
        <v>708900</v>
      </c>
      <c r="AF23" s="211">
        <v>708906</v>
      </c>
      <c r="AG23" s="211">
        <v>708900</v>
      </c>
      <c r="AH23" s="211">
        <v>708900</v>
      </c>
      <c r="AI23" s="211">
        <v>1074082</v>
      </c>
      <c r="AJ23" s="211">
        <v>1196400</v>
      </c>
      <c r="AK23" s="211">
        <v>1145684</v>
      </c>
      <c r="AL23" s="211">
        <v>1394297</v>
      </c>
      <c r="AM23" s="211">
        <v>1261187</v>
      </c>
      <c r="AN23" s="211">
        <v>1243007</v>
      </c>
      <c r="AO23" s="211">
        <v>1439722</v>
      </c>
      <c r="AP23" s="211">
        <v>1437976</v>
      </c>
      <c r="AQ23" s="211">
        <v>1423243</v>
      </c>
      <c r="AR23" s="211">
        <v>1490554</v>
      </c>
      <c r="AS23" s="211">
        <v>1528724</v>
      </c>
    </row>
    <row r="24" spans="1:45" ht="15" thickBot="1" x14ac:dyDescent="0.4">
      <c r="A24" s="212" t="s">
        <v>332</v>
      </c>
      <c r="B24" s="210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>
        <v>5175</v>
      </c>
      <c r="AE24" s="211">
        <v>2878</v>
      </c>
      <c r="AF24" s="211">
        <v>2879</v>
      </c>
      <c r="AG24" s="211">
        <v>652</v>
      </c>
      <c r="AH24" s="211">
        <v>7463</v>
      </c>
      <c r="AI24" s="211"/>
      <c r="AJ24" s="211"/>
      <c r="AK24" s="211"/>
      <c r="AL24" s="211">
        <v>6036</v>
      </c>
      <c r="AM24" s="211"/>
      <c r="AN24" s="211">
        <v>0</v>
      </c>
      <c r="AO24" s="211"/>
      <c r="AP24" s="211"/>
      <c r="AQ24" s="211"/>
      <c r="AR24" s="211"/>
      <c r="AS24" s="211"/>
    </row>
    <row r="25" spans="1:45" ht="15" thickBot="1" x14ac:dyDescent="0.4">
      <c r="A25" s="213" t="s">
        <v>333</v>
      </c>
      <c r="B25" s="206"/>
      <c r="C25" s="214">
        <f t="shared" ref="C25:AR25" si="1">C26+C41</f>
        <v>5963969</v>
      </c>
      <c r="D25" s="214">
        <f t="shared" si="1"/>
        <v>6022677.28113</v>
      </c>
      <c r="E25" s="214">
        <f t="shared" si="1"/>
        <v>6018277.4416199997</v>
      </c>
      <c r="F25" s="214">
        <f t="shared" si="1"/>
        <v>6022304.4732399993</v>
      </c>
      <c r="G25" s="214">
        <f t="shared" si="1"/>
        <v>6127789.3569799997</v>
      </c>
      <c r="H25" s="214">
        <f t="shared" si="1"/>
        <v>6220697.6342000011</v>
      </c>
      <c r="I25" s="214">
        <f t="shared" si="1"/>
        <v>6401520.2126000002</v>
      </c>
      <c r="J25" s="214">
        <f t="shared" si="1"/>
        <v>6882198</v>
      </c>
      <c r="K25" s="214">
        <f t="shared" si="1"/>
        <v>7219800</v>
      </c>
      <c r="L25" s="214">
        <f t="shared" si="1"/>
        <v>7304000</v>
      </c>
      <c r="M25" s="214">
        <f t="shared" si="1"/>
        <v>7321987</v>
      </c>
      <c r="N25" s="214">
        <f t="shared" si="1"/>
        <v>7429008</v>
      </c>
      <c r="O25" s="214">
        <f t="shared" si="1"/>
        <v>7566478</v>
      </c>
      <c r="P25" s="214">
        <f t="shared" si="1"/>
        <v>7814328.7713900004</v>
      </c>
      <c r="Q25" s="214">
        <f t="shared" si="1"/>
        <v>8036071</v>
      </c>
      <c r="R25" s="214">
        <f t="shared" si="1"/>
        <v>8291988</v>
      </c>
      <c r="S25" s="214">
        <f t="shared" si="1"/>
        <v>8514416.0312599987</v>
      </c>
      <c r="T25" s="214">
        <f t="shared" si="1"/>
        <v>8968971</v>
      </c>
      <c r="U25" s="214">
        <f t="shared" si="1"/>
        <v>9246086</v>
      </c>
      <c r="V25" s="214">
        <f t="shared" si="1"/>
        <v>9994251</v>
      </c>
      <c r="W25" s="214">
        <f t="shared" si="1"/>
        <v>10208792</v>
      </c>
      <c r="X25" s="214">
        <f t="shared" si="1"/>
        <v>10856283</v>
      </c>
      <c r="Y25" s="214">
        <f t="shared" si="1"/>
        <v>11014834</v>
      </c>
      <c r="Z25" s="214">
        <f t="shared" si="1"/>
        <v>16076432</v>
      </c>
      <c r="AA25" s="214">
        <f t="shared" si="1"/>
        <v>20995163</v>
      </c>
      <c r="AB25" s="214">
        <f t="shared" si="1"/>
        <v>22291303</v>
      </c>
      <c r="AC25" s="214">
        <f t="shared" si="1"/>
        <v>24126085</v>
      </c>
      <c r="AD25" s="214">
        <f t="shared" si="1"/>
        <v>26111068</v>
      </c>
      <c r="AE25" s="214">
        <f t="shared" si="1"/>
        <v>27813877</v>
      </c>
      <c r="AF25" s="214">
        <f t="shared" si="1"/>
        <v>27906647</v>
      </c>
      <c r="AG25" s="214">
        <f t="shared" si="1"/>
        <v>28598197</v>
      </c>
      <c r="AH25" s="214">
        <f t="shared" si="1"/>
        <v>29478720</v>
      </c>
      <c r="AI25" s="214">
        <f t="shared" si="1"/>
        <v>28137002</v>
      </c>
      <c r="AJ25" s="215">
        <f t="shared" si="1"/>
        <v>27756069</v>
      </c>
      <c r="AK25" s="215">
        <f t="shared" si="1"/>
        <v>35845589</v>
      </c>
      <c r="AL25" s="215">
        <f t="shared" si="1"/>
        <v>40024271</v>
      </c>
      <c r="AM25" s="215">
        <f t="shared" si="1"/>
        <v>51324993</v>
      </c>
      <c r="AN25" s="215">
        <f t="shared" si="1"/>
        <v>51822638</v>
      </c>
      <c r="AO25" s="215">
        <f t="shared" si="1"/>
        <v>52663502</v>
      </c>
      <c r="AP25" s="215">
        <f t="shared" si="1"/>
        <v>68928098</v>
      </c>
      <c r="AQ25" s="215">
        <f t="shared" si="1"/>
        <v>69892316</v>
      </c>
      <c r="AR25" s="215">
        <f t="shared" si="1"/>
        <v>72284535</v>
      </c>
      <c r="AS25" s="215">
        <f>AS26+AS41</f>
        <v>74915465</v>
      </c>
    </row>
    <row r="26" spans="1:45" ht="15" thickBot="1" x14ac:dyDescent="0.4">
      <c r="A26" s="213" t="s">
        <v>334</v>
      </c>
      <c r="B26" s="206"/>
      <c r="C26" s="214">
        <f t="shared" ref="C26:AR26" si="2">SUM(C27:C40)</f>
        <v>1873719</v>
      </c>
      <c r="D26" s="214">
        <f t="shared" si="2"/>
        <v>1969023.28113</v>
      </c>
      <c r="E26" s="214">
        <f t="shared" si="2"/>
        <v>1831423.91233</v>
      </c>
      <c r="F26" s="214">
        <f t="shared" si="2"/>
        <v>1833970.6775700001</v>
      </c>
      <c r="G26" s="214">
        <f t="shared" si="2"/>
        <v>1896358.56461</v>
      </c>
      <c r="H26" s="214">
        <f t="shared" si="2"/>
        <v>2047391.66481</v>
      </c>
      <c r="I26" s="214">
        <f t="shared" si="2"/>
        <v>2048292.65974</v>
      </c>
      <c r="J26" s="214">
        <f t="shared" si="2"/>
        <v>2583874</v>
      </c>
      <c r="K26" s="214">
        <f t="shared" si="2"/>
        <v>2889800</v>
      </c>
      <c r="L26" s="214">
        <f t="shared" si="2"/>
        <v>2988000</v>
      </c>
      <c r="M26" s="214">
        <f t="shared" si="2"/>
        <v>3033987</v>
      </c>
      <c r="N26" s="214">
        <f t="shared" si="2"/>
        <v>3212008</v>
      </c>
      <c r="O26" s="214">
        <f t="shared" si="2"/>
        <v>3167378</v>
      </c>
      <c r="P26" s="214">
        <f t="shared" si="2"/>
        <v>3170747</v>
      </c>
      <c r="Q26" s="214">
        <f t="shared" si="2"/>
        <v>3287094</v>
      </c>
      <c r="R26" s="214">
        <f t="shared" si="2"/>
        <v>3538270</v>
      </c>
      <c r="S26" s="214">
        <f t="shared" si="2"/>
        <v>3793339.2581200004</v>
      </c>
      <c r="T26" s="214">
        <f t="shared" si="2"/>
        <v>4043552</v>
      </c>
      <c r="U26" s="214">
        <f t="shared" si="2"/>
        <v>4182037</v>
      </c>
      <c r="V26" s="214">
        <f t="shared" si="2"/>
        <v>4630681</v>
      </c>
      <c r="W26" s="214">
        <f t="shared" si="2"/>
        <v>4822628</v>
      </c>
      <c r="X26" s="214">
        <f t="shared" si="2"/>
        <v>5376899</v>
      </c>
      <c r="Y26" s="214">
        <f t="shared" si="2"/>
        <v>5520995</v>
      </c>
      <c r="Z26" s="214">
        <f t="shared" si="2"/>
        <v>7603891</v>
      </c>
      <c r="AA26" s="214">
        <f t="shared" si="2"/>
        <v>9806511</v>
      </c>
      <c r="AB26" s="214">
        <f t="shared" si="2"/>
        <v>9908588</v>
      </c>
      <c r="AC26" s="214">
        <f t="shared" si="2"/>
        <v>9616239</v>
      </c>
      <c r="AD26" s="214">
        <f t="shared" si="2"/>
        <v>9389195</v>
      </c>
      <c r="AE26" s="214">
        <f t="shared" si="2"/>
        <v>10132404</v>
      </c>
      <c r="AF26" s="214">
        <f t="shared" si="2"/>
        <v>9563033</v>
      </c>
      <c r="AG26" s="214">
        <f t="shared" si="2"/>
        <v>9755087</v>
      </c>
      <c r="AH26" s="214">
        <f t="shared" si="2"/>
        <v>10026868</v>
      </c>
      <c r="AI26" s="214">
        <f t="shared" si="2"/>
        <v>9134104</v>
      </c>
      <c r="AJ26" s="214">
        <f t="shared" si="2"/>
        <v>8719042</v>
      </c>
      <c r="AK26" s="214">
        <f t="shared" si="2"/>
        <v>11301313</v>
      </c>
      <c r="AL26" s="214">
        <f t="shared" si="2"/>
        <v>12937159</v>
      </c>
      <c r="AM26" s="214">
        <f t="shared" si="2"/>
        <v>12912710</v>
      </c>
      <c r="AN26" s="214">
        <f t="shared" si="2"/>
        <v>13446651</v>
      </c>
      <c r="AO26" s="214">
        <f t="shared" si="2"/>
        <v>13387085</v>
      </c>
      <c r="AP26" s="214">
        <f t="shared" si="2"/>
        <v>19644177</v>
      </c>
      <c r="AQ26" s="214">
        <f t="shared" si="2"/>
        <v>20126473</v>
      </c>
      <c r="AR26" s="214">
        <f t="shared" si="2"/>
        <v>21266924</v>
      </c>
      <c r="AS26" s="214">
        <f>SUM(AS27:AS40)</f>
        <v>21833830</v>
      </c>
    </row>
    <row r="27" spans="1:45" x14ac:dyDescent="0.35">
      <c r="A27" s="209" t="s">
        <v>318</v>
      </c>
      <c r="B27" s="20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1">
        <v>126756</v>
      </c>
      <c r="AE27" s="211">
        <v>133855</v>
      </c>
      <c r="AF27" s="211">
        <v>135504</v>
      </c>
      <c r="AG27" s="211">
        <v>117700</v>
      </c>
      <c r="AH27" s="211">
        <v>119576</v>
      </c>
      <c r="AI27" s="211">
        <v>120025</v>
      </c>
      <c r="AJ27" s="211">
        <v>113530</v>
      </c>
      <c r="AK27" s="211">
        <v>114721</v>
      </c>
      <c r="AL27" s="211">
        <v>116363</v>
      </c>
      <c r="AM27" s="211">
        <v>506910</v>
      </c>
      <c r="AN27" s="211">
        <v>565039</v>
      </c>
      <c r="AO27" s="211">
        <v>506013</v>
      </c>
      <c r="AP27" s="211">
        <v>538139</v>
      </c>
      <c r="AQ27" s="211">
        <v>566204</v>
      </c>
      <c r="AR27" s="211">
        <v>597122</v>
      </c>
      <c r="AS27" s="211">
        <v>641626</v>
      </c>
    </row>
    <row r="28" spans="1:45" x14ac:dyDescent="0.35">
      <c r="A28" s="209" t="s">
        <v>319</v>
      </c>
      <c r="B28" s="210"/>
      <c r="C28" s="211">
        <v>89501</v>
      </c>
      <c r="D28" s="211">
        <v>89750</v>
      </c>
      <c r="E28" s="211">
        <v>112147</v>
      </c>
      <c r="F28" s="211">
        <v>116124</v>
      </c>
      <c r="G28" s="211">
        <v>128652.99999999999</v>
      </c>
      <c r="H28" s="211">
        <v>132390.97686</v>
      </c>
      <c r="I28" s="211">
        <v>163991</v>
      </c>
      <c r="J28" s="211">
        <v>191871</v>
      </c>
      <c r="K28" s="211">
        <v>206000</v>
      </c>
      <c r="L28" s="211">
        <v>226000</v>
      </c>
      <c r="M28" s="211">
        <v>245000</v>
      </c>
      <c r="N28" s="211">
        <v>278000</v>
      </c>
      <c r="O28" s="211">
        <v>347000</v>
      </c>
      <c r="P28" s="211">
        <v>382157</v>
      </c>
      <c r="Q28" s="211">
        <v>346554</v>
      </c>
      <c r="R28" s="211">
        <v>372004</v>
      </c>
      <c r="S28" s="211">
        <v>397757.32198999985</v>
      </c>
      <c r="T28" s="211">
        <v>456408</v>
      </c>
      <c r="U28" s="211">
        <v>513246.99999999994</v>
      </c>
      <c r="V28" s="211">
        <v>613431</v>
      </c>
      <c r="W28" s="211">
        <v>619570</v>
      </c>
      <c r="X28" s="211">
        <v>718140</v>
      </c>
      <c r="Y28" s="211">
        <v>718538</v>
      </c>
      <c r="Z28" s="211">
        <v>968035</v>
      </c>
      <c r="AA28" s="211">
        <v>1219083</v>
      </c>
      <c r="AB28" s="211">
        <v>1226907</v>
      </c>
      <c r="AC28" s="211">
        <v>1252066</v>
      </c>
      <c r="AD28" s="211">
        <v>882598</v>
      </c>
      <c r="AE28" s="211">
        <v>1348774</v>
      </c>
      <c r="AF28" s="211">
        <v>898807</v>
      </c>
      <c r="AG28" s="211">
        <v>890285</v>
      </c>
      <c r="AH28" s="211">
        <v>967527</v>
      </c>
      <c r="AI28" s="211">
        <v>940195</v>
      </c>
      <c r="AJ28" s="211">
        <v>998406</v>
      </c>
      <c r="AK28" s="211">
        <v>1158690</v>
      </c>
      <c r="AL28" s="211">
        <v>1221295</v>
      </c>
      <c r="AM28" s="211">
        <v>1236509</v>
      </c>
      <c r="AN28" s="211">
        <v>1104278</v>
      </c>
      <c r="AO28" s="211">
        <v>1054648</v>
      </c>
      <c r="AP28" s="211">
        <v>1048922</v>
      </c>
      <c r="AQ28" s="211">
        <v>1177310</v>
      </c>
      <c r="AR28" s="211">
        <v>927204</v>
      </c>
      <c r="AS28" s="211">
        <v>921079</v>
      </c>
    </row>
    <row r="29" spans="1:45" x14ac:dyDescent="0.35">
      <c r="A29" s="209" t="s">
        <v>322</v>
      </c>
      <c r="B29" s="210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>
        <v>6591</v>
      </c>
      <c r="AE29" s="211">
        <v>6591</v>
      </c>
      <c r="AF29" s="211">
        <v>6591</v>
      </c>
      <c r="AG29" s="211">
        <v>6591</v>
      </c>
      <c r="AH29" s="211">
        <v>32774</v>
      </c>
      <c r="AI29" s="211">
        <v>25686</v>
      </c>
      <c r="AJ29" s="211">
        <v>25686</v>
      </c>
      <c r="AK29" s="211">
        <v>25649</v>
      </c>
      <c r="AL29" s="211">
        <v>19076</v>
      </c>
      <c r="AM29" s="211">
        <v>19076</v>
      </c>
      <c r="AN29" s="211">
        <v>19076</v>
      </c>
      <c r="AO29" s="211">
        <v>18889</v>
      </c>
      <c r="AP29" s="211">
        <v>54235</v>
      </c>
      <c r="AQ29" s="211">
        <v>53555</v>
      </c>
      <c r="AR29" s="211">
        <v>53555</v>
      </c>
      <c r="AS29" s="211">
        <v>53213</v>
      </c>
    </row>
    <row r="30" spans="1:45" x14ac:dyDescent="0.35">
      <c r="A30" s="209" t="s">
        <v>323</v>
      </c>
      <c r="B30" s="210"/>
      <c r="C30" s="211">
        <v>0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380854</v>
      </c>
      <c r="K30" s="211">
        <v>227000</v>
      </c>
      <c r="L30" s="211">
        <v>184000</v>
      </c>
      <c r="M30" s="211">
        <v>69000</v>
      </c>
      <c r="N30" s="211">
        <v>0</v>
      </c>
      <c r="O30" s="211">
        <v>0</v>
      </c>
      <c r="P30" s="211">
        <v>0</v>
      </c>
      <c r="Q30" s="211">
        <v>0</v>
      </c>
      <c r="R30" s="211">
        <v>0</v>
      </c>
      <c r="S30" s="211">
        <v>0</v>
      </c>
      <c r="T30" s="211">
        <v>95660</v>
      </c>
      <c r="U30" s="211">
        <v>63090</v>
      </c>
      <c r="V30" s="211">
        <v>120021</v>
      </c>
      <c r="W30" s="211">
        <v>181770</v>
      </c>
      <c r="X30" s="211">
        <v>331854</v>
      </c>
      <c r="Y30" s="211">
        <v>91392</v>
      </c>
      <c r="Z30" s="211">
        <v>303393</v>
      </c>
      <c r="AA30" s="211">
        <v>1659431</v>
      </c>
      <c r="AB30" s="211">
        <v>1658935</v>
      </c>
      <c r="AC30" s="211">
        <v>1500820</v>
      </c>
      <c r="AD30" s="211">
        <v>865227</v>
      </c>
      <c r="AE30" s="211">
        <v>940056</v>
      </c>
      <c r="AF30" s="211">
        <v>835297</v>
      </c>
      <c r="AG30" s="211">
        <v>1016965</v>
      </c>
      <c r="AH30" s="211">
        <v>1185784</v>
      </c>
      <c r="AI30" s="211">
        <v>36113</v>
      </c>
      <c r="AJ30" s="211">
        <v>21636</v>
      </c>
      <c r="AK30" s="211">
        <v>151818</v>
      </c>
      <c r="AL30" s="211">
        <v>697926</v>
      </c>
      <c r="AM30" s="211">
        <v>327296</v>
      </c>
      <c r="AN30" s="211">
        <v>46360</v>
      </c>
      <c r="AO30" s="211">
        <v>81615</v>
      </c>
      <c r="AP30" s="211">
        <v>61921</v>
      </c>
      <c r="AQ30" s="211">
        <v>23276</v>
      </c>
      <c r="AR30" s="211">
        <v>4467</v>
      </c>
      <c r="AS30" s="211">
        <v>37837</v>
      </c>
    </row>
    <row r="31" spans="1:45" x14ac:dyDescent="0.35">
      <c r="A31" s="209" t="s">
        <v>321</v>
      </c>
      <c r="B31" s="210"/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93306</v>
      </c>
      <c r="S31" s="211">
        <v>93911.052370000005</v>
      </c>
      <c r="T31" s="211">
        <v>88495</v>
      </c>
      <c r="U31" s="211">
        <v>87718</v>
      </c>
      <c r="V31" s="211">
        <v>101311</v>
      </c>
      <c r="W31" s="211">
        <v>101514</v>
      </c>
      <c r="X31" s="211">
        <v>101565</v>
      </c>
      <c r="Y31" s="211">
        <v>101709</v>
      </c>
      <c r="Z31" s="211">
        <v>107838</v>
      </c>
      <c r="AA31" s="211">
        <v>108833</v>
      </c>
      <c r="AB31" s="211">
        <v>105352</v>
      </c>
      <c r="AC31" s="211">
        <v>105340</v>
      </c>
      <c r="AD31" s="211"/>
      <c r="AE31" s="211">
        <v>0</v>
      </c>
      <c r="AF31" s="211"/>
      <c r="AG31" s="211"/>
      <c r="AH31" s="211"/>
      <c r="AI31" s="211"/>
      <c r="AJ31" s="211"/>
      <c r="AK31" s="211"/>
      <c r="AL31" s="211"/>
      <c r="AM31" s="211"/>
      <c r="AN31" s="211" t="s">
        <v>243</v>
      </c>
      <c r="AO31" s="211"/>
      <c r="AP31" s="211"/>
      <c r="AQ31" s="211"/>
      <c r="AR31" s="211"/>
      <c r="AS31" s="211"/>
    </row>
    <row r="32" spans="1:45" x14ac:dyDescent="0.35">
      <c r="A32" s="209" t="s">
        <v>335</v>
      </c>
      <c r="B32" s="210"/>
      <c r="C32" s="211">
        <v>212704</v>
      </c>
      <c r="D32" s="211">
        <f>216519.65842+5</f>
        <v>216524.65841999999</v>
      </c>
      <c r="E32" s="211">
        <f>231332-14</f>
        <v>231318</v>
      </c>
      <c r="F32" s="211">
        <v>185689</v>
      </c>
      <c r="G32" s="211">
        <f>186813+2</f>
        <v>186815</v>
      </c>
      <c r="H32" s="211">
        <v>188774</v>
      </c>
      <c r="I32" s="211">
        <v>178568</v>
      </c>
      <c r="J32" s="211">
        <v>113255</v>
      </c>
      <c r="K32" s="211">
        <v>83000</v>
      </c>
      <c r="L32" s="211">
        <v>69000</v>
      </c>
      <c r="M32" s="211">
        <v>37000</v>
      </c>
      <c r="N32" s="211">
        <f>66000+144-30</f>
        <v>66114</v>
      </c>
      <c r="O32" s="211">
        <f>59000+28</f>
        <v>59028</v>
      </c>
      <c r="P32" s="211">
        <v>86396</v>
      </c>
      <c r="Q32" s="211">
        <v>85961</v>
      </c>
      <c r="R32" s="211">
        <v>65284.000000000007</v>
      </c>
      <c r="S32" s="211">
        <f>53879.8794+217</f>
        <v>54096.879399999998</v>
      </c>
      <c r="T32" s="211">
        <v>40440</v>
      </c>
      <c r="U32" s="211">
        <v>23809</v>
      </c>
      <c r="V32" s="211">
        <f>8466-1</f>
        <v>8465</v>
      </c>
      <c r="W32" s="211">
        <v>29171</v>
      </c>
      <c r="X32" s="211">
        <v>8898</v>
      </c>
      <c r="Y32" s="211">
        <v>27720</v>
      </c>
      <c r="Z32" s="211">
        <v>9056</v>
      </c>
      <c r="AA32" s="211">
        <v>32134</v>
      </c>
      <c r="AB32" s="211">
        <v>18631</v>
      </c>
      <c r="AC32" s="211">
        <v>18378</v>
      </c>
      <c r="AD32" s="211">
        <v>85120</v>
      </c>
      <c r="AE32" s="211">
        <v>85120</v>
      </c>
      <c r="AF32" s="211">
        <v>85120</v>
      </c>
      <c r="AG32" s="211">
        <v>85120</v>
      </c>
      <c r="AH32" s="211">
        <v>85120</v>
      </c>
      <c r="AI32" s="211">
        <v>121825</v>
      </c>
      <c r="AJ32" s="211">
        <v>91688</v>
      </c>
      <c r="AK32" s="211">
        <v>67971</v>
      </c>
      <c r="AL32" s="211">
        <v>85120</v>
      </c>
      <c r="AM32" s="211">
        <v>74350</v>
      </c>
      <c r="AN32" s="211">
        <v>69351</v>
      </c>
      <c r="AO32" s="211">
        <v>85120</v>
      </c>
      <c r="AP32" s="211">
        <v>85120</v>
      </c>
      <c r="AQ32" s="211">
        <v>20444</v>
      </c>
      <c r="AR32" s="211">
        <v>20444</v>
      </c>
      <c r="AS32" s="211">
        <v>20444</v>
      </c>
    </row>
    <row r="33" spans="1:45" x14ac:dyDescent="0.35">
      <c r="A33" s="209" t="s">
        <v>336</v>
      </c>
      <c r="B33" s="210"/>
      <c r="C33" s="211">
        <v>191651</v>
      </c>
      <c r="D33" s="211">
        <v>214874</v>
      </c>
      <c r="E33" s="211">
        <v>169864</v>
      </c>
      <c r="F33" s="211">
        <f>139559+5</f>
        <v>139564</v>
      </c>
      <c r="G33" s="211">
        <v>105210</v>
      </c>
      <c r="H33" s="211">
        <f>110082.2695+3</f>
        <v>110085.26949999999</v>
      </c>
      <c r="I33" s="211">
        <f>113263+89</f>
        <v>113352</v>
      </c>
      <c r="J33" s="211">
        <f>136156+386</f>
        <v>136542</v>
      </c>
      <c r="K33" s="211">
        <f>141000-200</f>
        <v>140800</v>
      </c>
      <c r="L33" s="211">
        <v>147000</v>
      </c>
      <c r="M33" s="211">
        <v>145000</v>
      </c>
      <c r="N33" s="211">
        <v>151000</v>
      </c>
      <c r="O33" s="211">
        <v>156000</v>
      </c>
      <c r="P33" s="211">
        <v>157846</v>
      </c>
      <c r="Q33" s="211">
        <v>163200</v>
      </c>
      <c r="R33" s="211">
        <v>165018</v>
      </c>
      <c r="S33" s="211">
        <v>168894.00524</v>
      </c>
      <c r="T33" s="211">
        <v>172792</v>
      </c>
      <c r="U33" s="211">
        <v>189750</v>
      </c>
      <c r="V33" s="211">
        <v>141566</v>
      </c>
      <c r="W33" s="211">
        <v>159874</v>
      </c>
      <c r="X33" s="211">
        <v>159495</v>
      </c>
      <c r="Y33" s="211">
        <v>159957</v>
      </c>
      <c r="Z33" s="211">
        <v>148206</v>
      </c>
      <c r="AA33" s="211">
        <v>261409</v>
      </c>
      <c r="AB33" s="211">
        <v>287511</v>
      </c>
      <c r="AC33" s="211">
        <v>304926</v>
      </c>
      <c r="AD33" s="211">
        <v>299175</v>
      </c>
      <c r="AE33" s="211">
        <v>304371</v>
      </c>
      <c r="AF33" s="211">
        <v>271177</v>
      </c>
      <c r="AG33" s="211">
        <v>250929</v>
      </c>
      <c r="AH33" s="211">
        <v>250284</v>
      </c>
      <c r="AI33" s="211">
        <v>258131</v>
      </c>
      <c r="AJ33" s="211">
        <v>262341</v>
      </c>
      <c r="AK33" s="211">
        <v>413950</v>
      </c>
      <c r="AL33" s="211">
        <v>470060</v>
      </c>
      <c r="AM33" s="211">
        <v>477252</v>
      </c>
      <c r="AN33" s="211">
        <v>469463</v>
      </c>
      <c r="AO33" s="211">
        <v>492594</v>
      </c>
      <c r="AP33" s="211">
        <v>653611</v>
      </c>
      <c r="AQ33" s="211">
        <v>671862</v>
      </c>
      <c r="AR33" s="211">
        <v>701796</v>
      </c>
      <c r="AS33" s="211">
        <v>717937</v>
      </c>
    </row>
    <row r="34" spans="1:45" x14ac:dyDescent="0.35">
      <c r="A34" s="209" t="s">
        <v>325</v>
      </c>
      <c r="B34" s="210"/>
      <c r="C34" s="211">
        <v>0</v>
      </c>
      <c r="D34" s="211">
        <v>0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8860</v>
      </c>
      <c r="K34" s="211">
        <v>178000</v>
      </c>
      <c r="L34" s="211">
        <v>182000</v>
      </c>
      <c r="M34" s="211">
        <f>254000+142</f>
        <v>254142</v>
      </c>
      <c r="N34" s="211">
        <v>274000</v>
      </c>
      <c r="O34" s="211">
        <v>83000</v>
      </c>
      <c r="P34" s="211">
        <v>25727</v>
      </c>
      <c r="Q34" s="211">
        <v>18833</v>
      </c>
      <c r="R34" s="211">
        <v>0</v>
      </c>
      <c r="S34" s="211">
        <v>0</v>
      </c>
      <c r="T34" s="211">
        <v>48624</v>
      </c>
      <c r="U34" s="211">
        <v>21600</v>
      </c>
      <c r="V34" s="211">
        <v>48720</v>
      </c>
      <c r="W34" s="211">
        <v>42809</v>
      </c>
      <c r="X34" s="211">
        <v>125211</v>
      </c>
      <c r="Y34" s="211">
        <v>180355</v>
      </c>
      <c r="Z34" s="211">
        <v>142451</v>
      </c>
      <c r="AA34" s="211">
        <v>153959</v>
      </c>
      <c r="AB34" s="211">
        <v>0</v>
      </c>
      <c r="AC34" s="211">
        <v>59321</v>
      </c>
      <c r="AD34" s="211">
        <v>43001</v>
      </c>
      <c r="AE34" s="211">
        <v>415876</v>
      </c>
      <c r="AF34" s="211">
        <v>492346</v>
      </c>
      <c r="AG34" s="211">
        <v>551836</v>
      </c>
      <c r="AH34" s="211">
        <v>295161</v>
      </c>
      <c r="AI34" s="211">
        <v>368055</v>
      </c>
      <c r="AJ34" s="211">
        <v>100872</v>
      </c>
      <c r="AK34" s="211">
        <v>112214</v>
      </c>
      <c r="AL34" s="211">
        <v>540603</v>
      </c>
      <c r="AM34" s="211">
        <v>505784</v>
      </c>
      <c r="AN34" s="211">
        <v>494317</v>
      </c>
      <c r="AO34" s="211">
        <v>534124</v>
      </c>
      <c r="AP34" s="211">
        <v>589564</v>
      </c>
      <c r="AQ34" s="211">
        <v>294043</v>
      </c>
      <c r="AR34" s="211">
        <v>237531</v>
      </c>
      <c r="AS34" s="211">
        <v>189392</v>
      </c>
    </row>
    <row r="35" spans="1:45" x14ac:dyDescent="0.35">
      <c r="A35" s="209" t="s">
        <v>327</v>
      </c>
      <c r="B35" s="210"/>
      <c r="C35" s="211">
        <v>139995</v>
      </c>
      <c r="D35" s="211">
        <v>121572.43463</v>
      </c>
      <c r="E35" s="211">
        <v>120641</v>
      </c>
      <c r="F35" s="211">
        <v>92750</v>
      </c>
      <c r="G35" s="211">
        <v>95481</v>
      </c>
      <c r="H35" s="211">
        <v>115664</v>
      </c>
      <c r="I35" s="211">
        <v>129407.99999999999</v>
      </c>
      <c r="J35" s="211">
        <v>123297</v>
      </c>
      <c r="K35" s="211">
        <v>123000</v>
      </c>
      <c r="L35" s="211">
        <v>116000</v>
      </c>
      <c r="M35" s="211">
        <v>79269</v>
      </c>
      <c r="N35" s="211">
        <v>88233</v>
      </c>
      <c r="O35" s="211">
        <v>98700</v>
      </c>
      <c r="P35" s="211">
        <v>113004</v>
      </c>
      <c r="Q35" s="211">
        <v>120681</v>
      </c>
      <c r="R35" s="211">
        <v>130636</v>
      </c>
      <c r="S35" s="211">
        <v>133502.45671000003</v>
      </c>
      <c r="T35" s="211">
        <v>127229</v>
      </c>
      <c r="U35" s="211">
        <v>124226</v>
      </c>
      <c r="V35" s="211">
        <v>130747.00000000001</v>
      </c>
      <c r="W35" s="211">
        <v>128068.00000000001</v>
      </c>
      <c r="X35" s="211">
        <v>128467.99999999999</v>
      </c>
      <c r="Y35" s="211">
        <v>126312</v>
      </c>
      <c r="Z35" s="211">
        <v>1316325</v>
      </c>
      <c r="AA35" s="211">
        <v>1363651</v>
      </c>
      <c r="AB35" s="211">
        <v>1375554</v>
      </c>
      <c r="AC35" s="211">
        <v>1670888</v>
      </c>
      <c r="AD35" s="211">
        <v>1633437</v>
      </c>
      <c r="AE35" s="211">
        <v>1742356</v>
      </c>
      <c r="AF35" s="211">
        <v>1641102</v>
      </c>
      <c r="AG35" s="211">
        <v>1468122</v>
      </c>
      <c r="AH35" s="211">
        <v>984483</v>
      </c>
      <c r="AI35" s="211">
        <v>778230</v>
      </c>
      <c r="AJ35" s="211">
        <v>573547</v>
      </c>
      <c r="AK35" s="211">
        <v>952707</v>
      </c>
      <c r="AL35" s="211">
        <v>972804</v>
      </c>
      <c r="AM35" s="211">
        <v>646737</v>
      </c>
      <c r="AN35" s="211">
        <v>1021537</v>
      </c>
      <c r="AO35" s="211">
        <v>1209196</v>
      </c>
      <c r="AP35" s="211">
        <v>3491238</v>
      </c>
      <c r="AQ35" s="211">
        <v>3355293</v>
      </c>
      <c r="AR35" s="211">
        <v>3366680</v>
      </c>
      <c r="AS35" s="211">
        <v>3176136</v>
      </c>
    </row>
    <row r="36" spans="1:45" x14ac:dyDescent="0.35">
      <c r="A36" s="209" t="s">
        <v>328</v>
      </c>
      <c r="B36" s="210"/>
      <c r="C36" s="211">
        <v>0</v>
      </c>
      <c r="D36" s="211">
        <v>19114</v>
      </c>
      <c r="E36" s="211">
        <v>34763</v>
      </c>
      <c r="F36" s="211">
        <v>31098.67757</v>
      </c>
      <c r="G36" s="211">
        <v>42179</v>
      </c>
      <c r="H36" s="211">
        <v>48457.67757</v>
      </c>
      <c r="I36" s="211">
        <v>23086.67757</v>
      </c>
      <c r="J36" s="211">
        <v>0</v>
      </c>
      <c r="K36" s="211">
        <v>0</v>
      </c>
      <c r="L36" s="211">
        <v>0</v>
      </c>
      <c r="M36" s="211">
        <v>38776</v>
      </c>
      <c r="N36" s="211">
        <v>39661</v>
      </c>
      <c r="O36" s="211">
        <v>39650</v>
      </c>
      <c r="P36" s="211">
        <v>40998</v>
      </c>
      <c r="Q36" s="211">
        <v>41940</v>
      </c>
      <c r="R36" s="211">
        <v>42833</v>
      </c>
      <c r="S36" s="211">
        <v>43664.228780000005</v>
      </c>
      <c r="T36" s="211">
        <v>44412</v>
      </c>
      <c r="U36" s="211">
        <v>45278</v>
      </c>
      <c r="V36" s="211">
        <v>45561</v>
      </c>
      <c r="W36" s="211">
        <v>45866</v>
      </c>
      <c r="X36" s="211">
        <v>46417</v>
      </c>
      <c r="Y36" s="211">
        <v>46830</v>
      </c>
      <c r="Z36" s="211">
        <v>53205</v>
      </c>
      <c r="AA36" s="211">
        <v>47798</v>
      </c>
      <c r="AB36" s="211">
        <v>0</v>
      </c>
      <c r="AC36" s="211">
        <v>47939</v>
      </c>
      <c r="AD36" s="211">
        <v>90340</v>
      </c>
      <c r="AE36" s="211">
        <v>82345</v>
      </c>
      <c r="AF36" s="211">
        <v>83222</v>
      </c>
      <c r="AG36" s="211">
        <v>82636</v>
      </c>
      <c r="AH36" s="211">
        <v>89012</v>
      </c>
      <c r="AI36" s="211">
        <v>83247</v>
      </c>
      <c r="AJ36" s="211">
        <v>83247</v>
      </c>
      <c r="AK36" s="211">
        <v>80850</v>
      </c>
      <c r="AL36" s="211">
        <v>117237</v>
      </c>
      <c r="AM36" s="211">
        <v>117237</v>
      </c>
      <c r="AN36" s="211">
        <v>115858</v>
      </c>
      <c r="AO36" s="211">
        <v>115858</v>
      </c>
      <c r="AP36" s="211">
        <v>115858</v>
      </c>
      <c r="AQ36" s="211">
        <v>115858</v>
      </c>
      <c r="AR36" s="211">
        <v>99265</v>
      </c>
      <c r="AS36" s="211">
        <v>99265</v>
      </c>
    </row>
    <row r="37" spans="1:45" x14ac:dyDescent="0.35">
      <c r="A37" s="209" t="s">
        <v>337</v>
      </c>
      <c r="B37" s="210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>
        <v>1080802</v>
      </c>
      <c r="AL37" s="211">
        <v>939618</v>
      </c>
      <c r="AM37" s="211">
        <v>948160</v>
      </c>
      <c r="AN37" s="211">
        <v>919855</v>
      </c>
      <c r="AO37" s="211">
        <v>901483</v>
      </c>
      <c r="AP37" s="211">
        <v>2277811</v>
      </c>
      <c r="AQ37" s="211">
        <v>2252976</v>
      </c>
      <c r="AR37" s="211">
        <v>2422896</v>
      </c>
      <c r="AS37" s="211">
        <v>2532449</v>
      </c>
    </row>
    <row r="38" spans="1:45" x14ac:dyDescent="0.35">
      <c r="A38" s="209" t="s">
        <v>330</v>
      </c>
      <c r="B38" s="210"/>
      <c r="C38" s="211">
        <v>45596</v>
      </c>
      <c r="D38" s="211">
        <v>74676</v>
      </c>
      <c r="E38" s="211">
        <v>105630.91233000001</v>
      </c>
      <c r="F38" s="211">
        <v>73002</v>
      </c>
      <c r="G38" s="211">
        <v>71975.564610000001</v>
      </c>
      <c r="H38" s="211">
        <v>74043.819659999892</v>
      </c>
      <c r="I38" s="211">
        <v>84428</v>
      </c>
      <c r="J38" s="211">
        <v>63222</v>
      </c>
      <c r="K38" s="211">
        <v>74000</v>
      </c>
      <c r="L38" s="211">
        <v>71000</v>
      </c>
      <c r="M38" s="211">
        <v>86400</v>
      </c>
      <c r="N38" s="211">
        <v>86000</v>
      </c>
      <c r="O38" s="211">
        <v>80000</v>
      </c>
      <c r="P38" s="211">
        <v>75833</v>
      </c>
      <c r="Q38" s="211">
        <v>74196</v>
      </c>
      <c r="R38" s="211">
        <v>66965</v>
      </c>
      <c r="S38" s="211">
        <v>62618.27034000001</v>
      </c>
      <c r="T38" s="211">
        <v>73027</v>
      </c>
      <c r="U38" s="211">
        <v>83408</v>
      </c>
      <c r="V38" s="211">
        <v>196237</v>
      </c>
      <c r="W38" s="211">
        <v>82109</v>
      </c>
      <c r="X38" s="211">
        <v>96273</v>
      </c>
      <c r="Y38" s="211">
        <v>109523</v>
      </c>
      <c r="Z38" s="211">
        <f>367931+20886</f>
        <v>388817</v>
      </c>
      <c r="AA38" s="211">
        <v>149335.00000000003</v>
      </c>
      <c r="AB38" s="211">
        <v>201270</v>
      </c>
      <c r="AC38" s="211">
        <v>107818.00000000001</v>
      </c>
      <c r="AD38" s="211">
        <f>389340</f>
        <v>389340</v>
      </c>
      <c r="AE38" s="211">
        <v>52416</v>
      </c>
      <c r="AF38" s="211">
        <v>55987</v>
      </c>
      <c r="AG38" s="211">
        <v>44091</v>
      </c>
      <c r="AH38" s="211">
        <v>328019</v>
      </c>
      <c r="AI38" s="211">
        <v>302937</v>
      </c>
      <c r="AJ38" s="211">
        <v>285625</v>
      </c>
      <c r="AK38" s="211">
        <v>249982</v>
      </c>
      <c r="AL38" s="211">
        <v>213258</v>
      </c>
      <c r="AM38" s="211">
        <v>190107</v>
      </c>
      <c r="AN38" s="211">
        <v>205961</v>
      </c>
      <c r="AO38" s="211">
        <v>108675</v>
      </c>
      <c r="AP38" s="211">
        <v>660538</v>
      </c>
      <c r="AQ38" s="211">
        <v>626932</v>
      </c>
      <c r="AR38" s="211">
        <v>1084954</v>
      </c>
      <c r="AS38" s="211">
        <v>1120062</v>
      </c>
    </row>
    <row r="39" spans="1:45" x14ac:dyDescent="0.35">
      <c r="A39" s="209" t="s">
        <v>338</v>
      </c>
      <c r="B39" s="210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>
        <v>22065</v>
      </c>
      <c r="AE39" s="211">
        <v>22065</v>
      </c>
      <c r="AF39" s="211">
        <v>22065</v>
      </c>
      <c r="AG39" s="211">
        <v>22065</v>
      </c>
      <c r="AH39" s="211">
        <v>23206</v>
      </c>
      <c r="AI39" s="211">
        <v>23206</v>
      </c>
      <c r="AJ39" s="211">
        <v>23206</v>
      </c>
      <c r="AK39" s="211">
        <v>23206</v>
      </c>
      <c r="AL39" s="211">
        <v>29144</v>
      </c>
      <c r="AM39" s="211">
        <v>29144</v>
      </c>
      <c r="AN39" s="211">
        <v>29246</v>
      </c>
      <c r="AO39" s="211">
        <v>29246</v>
      </c>
      <c r="AP39" s="211">
        <v>32616</v>
      </c>
      <c r="AQ39" s="211">
        <v>33176</v>
      </c>
      <c r="AR39" s="211">
        <v>33735</v>
      </c>
      <c r="AS39" s="211">
        <v>35056</v>
      </c>
    </row>
    <row r="40" spans="1:45" ht="15" thickBot="1" x14ac:dyDescent="0.4">
      <c r="A40" s="209" t="s">
        <v>339</v>
      </c>
      <c r="B40" s="210"/>
      <c r="C40" s="211">
        <v>1194272</v>
      </c>
      <c r="D40" s="211">
        <v>1232512.18808</v>
      </c>
      <c r="E40" s="211">
        <v>1057060</v>
      </c>
      <c r="F40" s="211">
        <v>1195743</v>
      </c>
      <c r="G40" s="211">
        <v>1266045</v>
      </c>
      <c r="H40" s="211">
        <v>1377975.9212199999</v>
      </c>
      <c r="I40" s="211">
        <v>1355458.98217</v>
      </c>
      <c r="J40" s="211">
        <v>1565973</v>
      </c>
      <c r="K40" s="211">
        <v>1858000</v>
      </c>
      <c r="L40" s="211">
        <v>1993000</v>
      </c>
      <c r="M40" s="211">
        <v>2079400</v>
      </c>
      <c r="N40" s="211">
        <v>2229000</v>
      </c>
      <c r="O40" s="211">
        <v>2304000</v>
      </c>
      <c r="P40" s="211">
        <v>2288786</v>
      </c>
      <c r="Q40" s="211">
        <v>2435729</v>
      </c>
      <c r="R40" s="211">
        <v>2602224</v>
      </c>
      <c r="S40" s="211">
        <v>2838895.0432900004</v>
      </c>
      <c r="T40" s="211">
        <v>2896465</v>
      </c>
      <c r="U40" s="211">
        <v>3029911</v>
      </c>
      <c r="V40" s="211">
        <v>3224622</v>
      </c>
      <c r="W40" s="211">
        <v>3431877</v>
      </c>
      <c r="X40" s="211">
        <v>3660578</v>
      </c>
      <c r="Y40" s="211">
        <v>3958659</v>
      </c>
      <c r="Z40" s="211">
        <v>4166565</v>
      </c>
      <c r="AA40" s="211">
        <v>4810878</v>
      </c>
      <c r="AB40" s="211">
        <v>5034428</v>
      </c>
      <c r="AC40" s="211">
        <v>4548743</v>
      </c>
      <c r="AD40" s="211">
        <v>4945545</v>
      </c>
      <c r="AE40" s="211">
        <v>4998579</v>
      </c>
      <c r="AF40" s="211">
        <v>5035815</v>
      </c>
      <c r="AG40" s="211">
        <v>5218747</v>
      </c>
      <c r="AH40" s="211">
        <v>5665922</v>
      </c>
      <c r="AI40" s="211">
        <v>6076454</v>
      </c>
      <c r="AJ40" s="211">
        <v>6139258</v>
      </c>
      <c r="AK40" s="211">
        <v>6868753</v>
      </c>
      <c r="AL40" s="211">
        <v>7514655</v>
      </c>
      <c r="AM40" s="211">
        <v>7834148</v>
      </c>
      <c r="AN40" s="211">
        <v>8386310</v>
      </c>
      <c r="AO40" s="211">
        <v>8249624</v>
      </c>
      <c r="AP40" s="211">
        <v>10034604</v>
      </c>
      <c r="AQ40" s="211">
        <v>10935544</v>
      </c>
      <c r="AR40" s="211">
        <v>11717275</v>
      </c>
      <c r="AS40" s="211">
        <v>12289334</v>
      </c>
    </row>
    <row r="41" spans="1:45" ht="15" thickBot="1" x14ac:dyDescent="0.4">
      <c r="A41" s="213" t="s">
        <v>340</v>
      </c>
      <c r="B41" s="206"/>
      <c r="C41" s="214">
        <f>SUM(C42:C45)</f>
        <v>4090250</v>
      </c>
      <c r="D41" s="214">
        <f t="shared" ref="D41:AC41" si="3">SUM(D42:D45)</f>
        <v>4053654</v>
      </c>
      <c r="E41" s="214">
        <f t="shared" si="3"/>
        <v>4186853.5292899995</v>
      </c>
      <c r="F41" s="214">
        <f t="shared" si="3"/>
        <v>4188333.7956699994</v>
      </c>
      <c r="G41" s="214">
        <f t="shared" si="3"/>
        <v>4231430.7923699999</v>
      </c>
      <c r="H41" s="214">
        <f t="shared" si="3"/>
        <v>4173305.9693900007</v>
      </c>
      <c r="I41" s="214">
        <f t="shared" si="3"/>
        <v>4353227.5528600002</v>
      </c>
      <c r="J41" s="214">
        <f t="shared" si="3"/>
        <v>4298324</v>
      </c>
      <c r="K41" s="214">
        <f t="shared" si="3"/>
        <v>4330000</v>
      </c>
      <c r="L41" s="214">
        <f t="shared" si="3"/>
        <v>4316000</v>
      </c>
      <c r="M41" s="214">
        <f t="shared" si="3"/>
        <v>4288000</v>
      </c>
      <c r="N41" s="214">
        <f t="shared" si="3"/>
        <v>4217000</v>
      </c>
      <c r="O41" s="214">
        <f t="shared" si="3"/>
        <v>4399100</v>
      </c>
      <c r="P41" s="214">
        <f t="shared" si="3"/>
        <v>4643581.7713900004</v>
      </c>
      <c r="Q41" s="214">
        <f t="shared" si="3"/>
        <v>4748977</v>
      </c>
      <c r="R41" s="214">
        <f t="shared" si="3"/>
        <v>4753718</v>
      </c>
      <c r="S41" s="214">
        <f t="shared" si="3"/>
        <v>4721076.7731399974</v>
      </c>
      <c r="T41" s="214">
        <f t="shared" si="3"/>
        <v>4925419</v>
      </c>
      <c r="U41" s="214">
        <f t="shared" si="3"/>
        <v>5064049</v>
      </c>
      <c r="V41" s="214">
        <f t="shared" si="3"/>
        <v>5363570</v>
      </c>
      <c r="W41" s="214">
        <f t="shared" si="3"/>
        <v>5386164</v>
      </c>
      <c r="X41" s="214">
        <f t="shared" si="3"/>
        <v>5479384</v>
      </c>
      <c r="Y41" s="214">
        <f t="shared" si="3"/>
        <v>5493839</v>
      </c>
      <c r="Z41" s="214">
        <f t="shared" si="3"/>
        <v>8472541</v>
      </c>
      <c r="AA41" s="214">
        <f t="shared" si="3"/>
        <v>11188652</v>
      </c>
      <c r="AB41" s="214">
        <f t="shared" si="3"/>
        <v>12382715</v>
      </c>
      <c r="AC41" s="214">
        <f t="shared" si="3"/>
        <v>14509846</v>
      </c>
      <c r="AD41" s="214">
        <f>SUM(AD42:AD45)</f>
        <v>16721873</v>
      </c>
      <c r="AE41" s="214">
        <f t="shared" ref="AE41:AR41" si="4">SUM(AE42:AE47)</f>
        <v>17681473</v>
      </c>
      <c r="AF41" s="214">
        <f t="shared" si="4"/>
        <v>18343614</v>
      </c>
      <c r="AG41" s="214">
        <f t="shared" si="4"/>
        <v>18843110</v>
      </c>
      <c r="AH41" s="214">
        <f t="shared" si="4"/>
        <v>19451852</v>
      </c>
      <c r="AI41" s="214">
        <f t="shared" si="4"/>
        <v>19002898</v>
      </c>
      <c r="AJ41" s="214">
        <f t="shared" si="4"/>
        <v>19037027</v>
      </c>
      <c r="AK41" s="214">
        <f t="shared" si="4"/>
        <v>24544276</v>
      </c>
      <c r="AL41" s="214">
        <f t="shared" si="4"/>
        <v>27087112</v>
      </c>
      <c r="AM41" s="214">
        <f t="shared" si="4"/>
        <v>38412283</v>
      </c>
      <c r="AN41" s="214">
        <f t="shared" si="4"/>
        <v>38375987</v>
      </c>
      <c r="AO41" s="214">
        <f t="shared" si="4"/>
        <v>39276417</v>
      </c>
      <c r="AP41" s="214">
        <f t="shared" si="4"/>
        <v>49283921</v>
      </c>
      <c r="AQ41" s="214">
        <f t="shared" si="4"/>
        <v>49765843</v>
      </c>
      <c r="AR41" s="214">
        <f t="shared" si="4"/>
        <v>51017611</v>
      </c>
      <c r="AS41" s="214">
        <f>SUM(AS42:AS47)</f>
        <v>53081635</v>
      </c>
    </row>
    <row r="42" spans="1:45" x14ac:dyDescent="0.35">
      <c r="A42" s="209" t="s">
        <v>341</v>
      </c>
      <c r="B42" s="210"/>
      <c r="C42" s="211">
        <v>71130</v>
      </c>
      <c r="D42" s="211">
        <v>71238</v>
      </c>
      <c r="E42" s="211">
        <v>73433</v>
      </c>
      <c r="F42" s="211">
        <v>70893.795669999905</v>
      </c>
      <c r="G42" s="211">
        <v>74989.792369999908</v>
      </c>
      <c r="H42" s="211">
        <v>77085.969390000202</v>
      </c>
      <c r="I42" s="211">
        <v>78032.552859999894</v>
      </c>
      <c r="J42" s="211">
        <v>77464</v>
      </c>
      <c r="K42" s="211">
        <v>87000</v>
      </c>
      <c r="L42" s="211">
        <v>87000</v>
      </c>
      <c r="M42" s="211">
        <v>86000</v>
      </c>
      <c r="N42" s="211">
        <v>86000</v>
      </c>
      <c r="O42" s="211">
        <v>93100</v>
      </c>
      <c r="P42" s="211">
        <v>96558.753790000454</v>
      </c>
      <c r="Q42" s="211">
        <v>97303</v>
      </c>
      <c r="R42" s="211">
        <v>96322</v>
      </c>
      <c r="S42" s="211">
        <v>110674.32479999999</v>
      </c>
      <c r="T42" s="211">
        <v>103037</v>
      </c>
      <c r="U42" s="211">
        <v>101892</v>
      </c>
      <c r="V42" s="211">
        <v>422063</v>
      </c>
      <c r="W42" s="211">
        <v>437123</v>
      </c>
      <c r="X42" s="211">
        <v>448933</v>
      </c>
      <c r="Y42" s="211">
        <v>468939</v>
      </c>
      <c r="Z42" s="211">
        <f>118530+13528</f>
        <v>132058</v>
      </c>
      <c r="AA42" s="211">
        <v>125769</v>
      </c>
      <c r="AB42" s="211">
        <v>123389</v>
      </c>
      <c r="AC42" s="211">
        <v>124578</v>
      </c>
      <c r="AD42" s="211">
        <f>122217+14557</f>
        <v>136774</v>
      </c>
      <c r="AE42" s="211">
        <v>127931</v>
      </c>
      <c r="AF42" s="211">
        <v>133438</v>
      </c>
      <c r="AG42" s="211">
        <v>135107</v>
      </c>
      <c r="AH42" s="211">
        <v>130024</v>
      </c>
      <c r="AI42" s="211">
        <v>157893</v>
      </c>
      <c r="AJ42" s="211">
        <v>169108</v>
      </c>
      <c r="AK42" s="211">
        <v>184620</v>
      </c>
      <c r="AL42" s="211">
        <v>293258</v>
      </c>
      <c r="AM42" s="211">
        <v>153824</v>
      </c>
      <c r="AN42" s="211">
        <v>27490</v>
      </c>
      <c r="AO42" s="211">
        <v>27561</v>
      </c>
      <c r="AP42" s="211">
        <v>27047</v>
      </c>
      <c r="AQ42" s="211">
        <v>26534</v>
      </c>
      <c r="AR42" s="211">
        <v>24483</v>
      </c>
      <c r="AS42" s="211">
        <v>24640</v>
      </c>
    </row>
    <row r="43" spans="1:45" x14ac:dyDescent="0.35">
      <c r="A43" s="209" t="s">
        <v>342</v>
      </c>
      <c r="B43" s="210"/>
      <c r="C43" s="211">
        <v>0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v>0</v>
      </c>
      <c r="S43" s="211">
        <v>0</v>
      </c>
      <c r="T43" s="211">
        <v>0</v>
      </c>
      <c r="U43" s="211">
        <v>83809</v>
      </c>
      <c r="V43" s="211">
        <v>0</v>
      </c>
      <c r="W43" s="211">
        <v>63845</v>
      </c>
      <c r="X43" s="211">
        <v>86737</v>
      </c>
      <c r="Y43" s="211">
        <v>159486</v>
      </c>
      <c r="Z43" s="211">
        <v>2290132</v>
      </c>
      <c r="AA43" s="211">
        <v>469630</v>
      </c>
      <c r="AB43" s="211">
        <v>441334</v>
      </c>
      <c r="AC43" s="211">
        <v>415256</v>
      </c>
      <c r="AD43" s="211">
        <v>7544552</v>
      </c>
      <c r="AE43" s="211">
        <v>0</v>
      </c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</row>
    <row r="44" spans="1:45" x14ac:dyDescent="0.35">
      <c r="A44" s="209" t="s">
        <v>343</v>
      </c>
      <c r="B44" s="210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>
        <v>14937</v>
      </c>
      <c r="AF44" s="211">
        <v>15187</v>
      </c>
      <c r="AG44" s="211">
        <v>17303</v>
      </c>
      <c r="AH44" s="211">
        <v>19258</v>
      </c>
      <c r="AI44" s="211">
        <v>21441</v>
      </c>
      <c r="AJ44" s="211">
        <v>23476</v>
      </c>
      <c r="AK44" s="211">
        <v>147103</v>
      </c>
      <c r="AL44" s="211">
        <v>106415</v>
      </c>
      <c r="AM44" s="211">
        <v>5160427</v>
      </c>
      <c r="AN44" s="211">
        <v>5054834</v>
      </c>
      <c r="AO44" s="211">
        <v>5011946</v>
      </c>
      <c r="AP44" s="211">
        <v>4984105</v>
      </c>
      <c r="AQ44" s="211">
        <v>4953194</v>
      </c>
      <c r="AR44" s="211">
        <v>5725632</v>
      </c>
      <c r="AS44" s="211">
        <v>6765166.0666699996</v>
      </c>
    </row>
    <row r="45" spans="1:45" x14ac:dyDescent="0.35">
      <c r="A45" s="209" t="s">
        <v>344</v>
      </c>
      <c r="B45" s="210"/>
      <c r="C45" s="211">
        <v>4019120</v>
      </c>
      <c r="D45" s="211">
        <v>3982416</v>
      </c>
      <c r="E45" s="211">
        <v>4113420.5292899995</v>
      </c>
      <c r="F45" s="211">
        <v>4117439.9999999995</v>
      </c>
      <c r="G45" s="211">
        <v>4156441</v>
      </c>
      <c r="H45" s="211">
        <v>4096220.0000000005</v>
      </c>
      <c r="I45" s="211">
        <v>4275195</v>
      </c>
      <c r="J45" s="211">
        <v>4220860</v>
      </c>
      <c r="K45" s="211">
        <v>4243000</v>
      </c>
      <c r="L45" s="211">
        <v>4229000</v>
      </c>
      <c r="M45" s="211">
        <v>4202000</v>
      </c>
      <c r="N45" s="211">
        <v>4131000</v>
      </c>
      <c r="O45" s="211">
        <v>4306000</v>
      </c>
      <c r="P45" s="211">
        <v>4547023.0175999999</v>
      </c>
      <c r="Q45" s="211">
        <v>4651674</v>
      </c>
      <c r="R45" s="211">
        <v>4657396</v>
      </c>
      <c r="S45" s="211">
        <v>4610402.4483399978</v>
      </c>
      <c r="T45" s="211">
        <v>4822382</v>
      </c>
      <c r="U45" s="211">
        <v>4878348</v>
      </c>
      <c r="V45" s="211">
        <v>4941507</v>
      </c>
      <c r="W45" s="211">
        <v>4885196</v>
      </c>
      <c r="X45" s="211">
        <v>4943714</v>
      </c>
      <c r="Y45" s="211">
        <v>4865414</v>
      </c>
      <c r="Z45" s="211">
        <v>6050351</v>
      </c>
      <c r="AA45" s="211">
        <v>10593253</v>
      </c>
      <c r="AB45" s="211">
        <v>11817992</v>
      </c>
      <c r="AC45" s="211">
        <v>13970012</v>
      </c>
      <c r="AD45" s="211">
        <f>9007974+32573</f>
        <v>9040547</v>
      </c>
      <c r="AE45" s="211">
        <v>8910703</v>
      </c>
      <c r="AF45" s="211">
        <v>8915586</v>
      </c>
      <c r="AG45" s="211">
        <v>8889864</v>
      </c>
      <c r="AH45" s="211">
        <v>8908853</v>
      </c>
      <c r="AI45" s="211">
        <v>8822084</v>
      </c>
      <c r="AJ45" s="211">
        <v>8804685</v>
      </c>
      <c r="AK45" s="211">
        <v>13565792</v>
      </c>
      <c r="AL45" s="211">
        <v>15836076</v>
      </c>
      <c r="AM45" s="211">
        <v>21771016</v>
      </c>
      <c r="AN45" s="211">
        <v>21388140</v>
      </c>
      <c r="AO45" s="211">
        <v>21540854</v>
      </c>
      <c r="AP45" s="211">
        <v>29245320</v>
      </c>
      <c r="AQ45" s="211">
        <v>29371085</v>
      </c>
      <c r="AR45" s="211">
        <v>31092795</v>
      </c>
      <c r="AS45" s="211">
        <v>31200192.933329999</v>
      </c>
    </row>
    <row r="46" spans="1:45" x14ac:dyDescent="0.35">
      <c r="A46" s="209" t="s">
        <v>331</v>
      </c>
      <c r="B46" s="210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>
        <v>8595623</v>
      </c>
      <c r="AF46" s="211">
        <v>9248893</v>
      </c>
      <c r="AG46" s="211">
        <v>9771870</v>
      </c>
      <c r="AH46" s="211">
        <v>10364313</v>
      </c>
      <c r="AI46" s="211">
        <v>9974493</v>
      </c>
      <c r="AJ46" s="211">
        <v>10016945</v>
      </c>
      <c r="AK46" s="211">
        <v>10591374</v>
      </c>
      <c r="AL46" s="211">
        <v>10798381</v>
      </c>
      <c r="AM46" s="211">
        <v>11197886</v>
      </c>
      <c r="AN46" s="211">
        <v>11782831</v>
      </c>
      <c r="AO46" s="211">
        <v>12579834</v>
      </c>
      <c r="AP46" s="211">
        <v>14872245</v>
      </c>
      <c r="AQ46" s="211">
        <v>15270039</v>
      </c>
      <c r="AR46" s="211">
        <v>14038039</v>
      </c>
      <c r="AS46" s="211">
        <v>14961501</v>
      </c>
    </row>
    <row r="47" spans="1:45" ht="15" thickBot="1" x14ac:dyDescent="0.4">
      <c r="A47" s="209" t="s">
        <v>345</v>
      </c>
      <c r="B47" s="210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>
        <v>32279.000000000004</v>
      </c>
      <c r="AF47" s="211">
        <v>30510</v>
      </c>
      <c r="AG47" s="211">
        <v>28966</v>
      </c>
      <c r="AH47" s="211">
        <v>29404</v>
      </c>
      <c r="AI47" s="211">
        <v>26987</v>
      </c>
      <c r="AJ47" s="211">
        <v>22813</v>
      </c>
      <c r="AK47" s="211">
        <v>55387</v>
      </c>
      <c r="AL47" s="211">
        <v>52982</v>
      </c>
      <c r="AM47" s="211">
        <v>129130</v>
      </c>
      <c r="AN47" s="211">
        <v>122692</v>
      </c>
      <c r="AO47" s="211">
        <v>116222</v>
      </c>
      <c r="AP47" s="211">
        <v>155204</v>
      </c>
      <c r="AQ47" s="211">
        <v>144991</v>
      </c>
      <c r="AR47" s="211">
        <v>136662</v>
      </c>
      <c r="AS47" s="211">
        <v>130135</v>
      </c>
    </row>
    <row r="48" spans="1:45" ht="15" thickBot="1" x14ac:dyDescent="0.4">
      <c r="A48" s="213" t="s">
        <v>346</v>
      </c>
      <c r="B48" s="206"/>
      <c r="C48" s="214">
        <f t="shared" ref="C48:AD48" si="5">C25+C8</f>
        <v>9090362</v>
      </c>
      <c r="D48" s="214">
        <f t="shared" si="5"/>
        <v>9044972.92674</v>
      </c>
      <c r="E48" s="214">
        <f t="shared" si="5"/>
        <v>9103485.9419299997</v>
      </c>
      <c r="F48" s="214">
        <f t="shared" si="5"/>
        <v>9103498.06226</v>
      </c>
      <c r="G48" s="214">
        <f t="shared" si="5"/>
        <v>9291633.9648399986</v>
      </c>
      <c r="H48" s="214">
        <f t="shared" si="5"/>
        <v>9303223.479410002</v>
      </c>
      <c r="I48" s="214">
        <f t="shared" si="5"/>
        <v>9779306.952564504</v>
      </c>
      <c r="J48" s="214">
        <f t="shared" si="5"/>
        <v>11269867.45682</v>
      </c>
      <c r="K48" s="214">
        <f t="shared" si="5"/>
        <v>11302800</v>
      </c>
      <c r="L48" s="214">
        <f t="shared" si="5"/>
        <v>11626000</v>
      </c>
      <c r="M48" s="214">
        <f t="shared" si="5"/>
        <v>12287445</v>
      </c>
      <c r="N48" s="214">
        <f t="shared" si="5"/>
        <v>12585665</v>
      </c>
      <c r="O48" s="214">
        <f t="shared" si="5"/>
        <v>12473577</v>
      </c>
      <c r="P48" s="214">
        <f t="shared" si="5"/>
        <v>12671719.77139</v>
      </c>
      <c r="Q48" s="214">
        <f t="shared" si="5"/>
        <v>12855594</v>
      </c>
      <c r="R48" s="214">
        <f t="shared" si="5"/>
        <v>14219520</v>
      </c>
      <c r="S48" s="214">
        <f t="shared" si="5"/>
        <v>13902301.974329999</v>
      </c>
      <c r="T48" s="214">
        <f t="shared" si="5"/>
        <v>14341674</v>
      </c>
      <c r="U48" s="214">
        <f t="shared" si="5"/>
        <v>15072973</v>
      </c>
      <c r="V48" s="214">
        <f t="shared" si="5"/>
        <v>17488451</v>
      </c>
      <c r="W48" s="214">
        <f t="shared" si="5"/>
        <v>17386033</v>
      </c>
      <c r="X48" s="214">
        <f t="shared" si="5"/>
        <v>18348912</v>
      </c>
      <c r="Y48" s="214">
        <f t="shared" si="5"/>
        <v>19399055</v>
      </c>
      <c r="Z48" s="214">
        <f t="shared" si="5"/>
        <v>25505996</v>
      </c>
      <c r="AA48" s="214">
        <f t="shared" si="5"/>
        <v>30744475</v>
      </c>
      <c r="AB48" s="214">
        <f t="shared" si="5"/>
        <v>32721740</v>
      </c>
      <c r="AC48" s="214">
        <f t="shared" si="5"/>
        <v>33872014</v>
      </c>
      <c r="AD48" s="214">
        <f t="shared" si="5"/>
        <v>37530095</v>
      </c>
      <c r="AE48" s="214">
        <v>39457780</v>
      </c>
      <c r="AF48" s="214">
        <f t="shared" ref="AF48:AR48" si="6">AF25+AF8</f>
        <v>40503036</v>
      </c>
      <c r="AG48" s="214">
        <f t="shared" si="6"/>
        <v>42136010</v>
      </c>
      <c r="AH48" s="214">
        <f t="shared" si="6"/>
        <v>44124020</v>
      </c>
      <c r="AI48" s="214">
        <f t="shared" si="6"/>
        <v>42298314</v>
      </c>
      <c r="AJ48" s="214">
        <f t="shared" si="6"/>
        <v>43501276</v>
      </c>
      <c r="AK48" s="214">
        <f t="shared" si="6"/>
        <v>55563843</v>
      </c>
      <c r="AL48" s="214">
        <f t="shared" si="6"/>
        <v>61714300</v>
      </c>
      <c r="AM48" s="214">
        <f t="shared" si="6"/>
        <v>70620775</v>
      </c>
      <c r="AN48" s="214">
        <f t="shared" si="6"/>
        <v>71409299</v>
      </c>
      <c r="AO48" s="214">
        <f t="shared" si="6"/>
        <v>70907242</v>
      </c>
      <c r="AP48" s="214">
        <f t="shared" si="6"/>
        <v>90617397</v>
      </c>
      <c r="AQ48" s="214">
        <f t="shared" si="6"/>
        <v>92834649</v>
      </c>
      <c r="AR48" s="214">
        <f t="shared" si="6"/>
        <v>95701577</v>
      </c>
      <c r="AS48" s="214">
        <f>AS25+AS8</f>
        <v>98775410.00891</v>
      </c>
    </row>
    <row r="49" spans="1:46" x14ac:dyDescent="0.35">
      <c r="A49" s="209"/>
      <c r="B49" s="210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114"/>
    </row>
    <row r="50" spans="1:46" ht="15" thickBot="1" x14ac:dyDescent="0.4">
      <c r="A50" s="5" t="s">
        <v>347</v>
      </c>
      <c r="B50" s="204"/>
      <c r="C50" s="573" t="str">
        <f t="shared" ref="C50:X50" si="7">C7</f>
        <v>1T13</v>
      </c>
      <c r="D50" s="573" t="str">
        <f t="shared" si="7"/>
        <v>2T13</v>
      </c>
      <c r="E50" s="573" t="str">
        <f t="shared" si="7"/>
        <v>3T13</v>
      </c>
      <c r="F50" s="573" t="str">
        <f t="shared" si="7"/>
        <v>4T13</v>
      </c>
      <c r="G50" s="573" t="str">
        <f t="shared" si="7"/>
        <v>1T14</v>
      </c>
      <c r="H50" s="573" t="str">
        <f t="shared" si="7"/>
        <v>2T14</v>
      </c>
      <c r="I50" s="573" t="str">
        <f t="shared" si="7"/>
        <v>3T14</v>
      </c>
      <c r="J50" s="573" t="str">
        <f t="shared" si="7"/>
        <v>4T14</v>
      </c>
      <c r="K50" s="573" t="str">
        <f t="shared" si="7"/>
        <v>1T15</v>
      </c>
      <c r="L50" s="573" t="str">
        <f t="shared" si="7"/>
        <v>2T15</v>
      </c>
      <c r="M50" s="573" t="str">
        <f t="shared" si="7"/>
        <v>3T15</v>
      </c>
      <c r="N50" s="573" t="str">
        <f t="shared" si="7"/>
        <v>4T15</v>
      </c>
      <c r="O50" s="573" t="str">
        <f t="shared" si="7"/>
        <v>1T16</v>
      </c>
      <c r="P50" s="573" t="str">
        <f t="shared" si="7"/>
        <v>2T16</v>
      </c>
      <c r="Q50" s="573" t="str">
        <f t="shared" si="7"/>
        <v>3T16</v>
      </c>
      <c r="R50" s="573" t="str">
        <f t="shared" si="7"/>
        <v>4T16</v>
      </c>
      <c r="S50" s="573" t="str">
        <f t="shared" si="7"/>
        <v>1T17</v>
      </c>
      <c r="T50" s="573" t="str">
        <f t="shared" si="7"/>
        <v>2T17</v>
      </c>
      <c r="U50" s="573" t="str">
        <f t="shared" si="7"/>
        <v>3T17</v>
      </c>
      <c r="V50" s="573" t="str">
        <f t="shared" si="7"/>
        <v>4T17</v>
      </c>
      <c r="W50" s="573" t="str">
        <f t="shared" si="7"/>
        <v>1T18</v>
      </c>
      <c r="X50" s="573" t="str">
        <f t="shared" si="7"/>
        <v>2T18</v>
      </c>
      <c r="Y50" s="573" t="s">
        <v>63</v>
      </c>
      <c r="Z50" s="573" t="str">
        <f>Z7</f>
        <v>4T18</v>
      </c>
      <c r="AA50" s="573" t="str">
        <f>AA7</f>
        <v>1T19</v>
      </c>
      <c r="AB50" s="573" t="s">
        <v>66</v>
      </c>
      <c r="AC50" s="573" t="s">
        <v>67</v>
      </c>
      <c r="AD50" s="573" t="s">
        <v>68</v>
      </c>
      <c r="AE50" s="573" t="s">
        <v>69</v>
      </c>
      <c r="AF50" s="573" t="s">
        <v>70</v>
      </c>
      <c r="AG50" s="573" t="s">
        <v>71</v>
      </c>
      <c r="AH50" s="573" t="s">
        <v>72</v>
      </c>
      <c r="AI50" s="573" t="s">
        <v>73</v>
      </c>
      <c r="AJ50" s="573" t="s">
        <v>74</v>
      </c>
      <c r="AK50" s="573" t="s">
        <v>75</v>
      </c>
      <c r="AL50" s="573" t="s">
        <v>76</v>
      </c>
      <c r="AM50" s="573" t="s">
        <v>77</v>
      </c>
      <c r="AN50" s="573" t="s">
        <v>78</v>
      </c>
      <c r="AO50" s="573" t="s">
        <v>79</v>
      </c>
      <c r="AP50" s="573" t="str">
        <f>AP7</f>
        <v>4T22</v>
      </c>
      <c r="AQ50" s="573" t="str">
        <f>AQ7</f>
        <v>1T23</v>
      </c>
      <c r="AR50" s="573" t="s">
        <v>82</v>
      </c>
      <c r="AS50" s="573" t="s">
        <v>83</v>
      </c>
    </row>
    <row r="51" spans="1:46" ht="15" thickBot="1" x14ac:dyDescent="0.4">
      <c r="A51" s="205" t="s">
        <v>316</v>
      </c>
      <c r="B51" s="206"/>
      <c r="C51" s="207">
        <f t="shared" ref="C51:AD51" si="8">SUM(C52:C74)</f>
        <v>2244015</v>
      </c>
      <c r="D51" s="207">
        <f t="shared" si="8"/>
        <v>2025399.92273</v>
      </c>
      <c r="E51" s="207">
        <f t="shared" si="8"/>
        <v>1999309.0804099999</v>
      </c>
      <c r="F51" s="207">
        <f t="shared" si="8"/>
        <v>1688931.1133099999</v>
      </c>
      <c r="G51" s="207">
        <f t="shared" si="8"/>
        <v>2038148.4354499998</v>
      </c>
      <c r="H51" s="207">
        <f t="shared" si="8"/>
        <v>2618186.4297000002</v>
      </c>
      <c r="I51" s="207">
        <f t="shared" si="8"/>
        <v>3016928.8521199999</v>
      </c>
      <c r="J51" s="207">
        <f t="shared" si="8"/>
        <v>3152614</v>
      </c>
      <c r="K51" s="207">
        <f t="shared" si="8"/>
        <v>2432000</v>
      </c>
      <c r="L51" s="207">
        <f t="shared" si="8"/>
        <v>2519000</v>
      </c>
      <c r="M51" s="207">
        <f t="shared" si="8"/>
        <v>2928445</v>
      </c>
      <c r="N51" s="207">
        <f t="shared" si="8"/>
        <v>3131265</v>
      </c>
      <c r="O51" s="207">
        <f t="shared" si="8"/>
        <v>2918077</v>
      </c>
      <c r="P51" s="207">
        <f t="shared" si="8"/>
        <v>2856094</v>
      </c>
      <c r="Q51" s="207">
        <f t="shared" si="8"/>
        <v>2813819</v>
      </c>
      <c r="R51" s="207">
        <f t="shared" si="8"/>
        <v>3416305</v>
      </c>
      <c r="S51" s="207">
        <f t="shared" si="8"/>
        <v>2895516</v>
      </c>
      <c r="T51" s="207">
        <f t="shared" si="8"/>
        <v>3206544</v>
      </c>
      <c r="U51" s="207">
        <f t="shared" si="8"/>
        <v>3869041</v>
      </c>
      <c r="V51" s="207">
        <f t="shared" si="8"/>
        <v>4074346</v>
      </c>
      <c r="W51" s="207">
        <f t="shared" si="8"/>
        <v>3894613</v>
      </c>
      <c r="X51" s="207">
        <f t="shared" si="8"/>
        <v>3741117</v>
      </c>
      <c r="Y51" s="207">
        <f t="shared" si="8"/>
        <v>4852269</v>
      </c>
      <c r="Z51" s="207">
        <f t="shared" si="8"/>
        <v>6442384</v>
      </c>
      <c r="AA51" s="207">
        <f t="shared" si="8"/>
        <v>7276814</v>
      </c>
      <c r="AB51" s="207">
        <f t="shared" si="8"/>
        <v>6357435</v>
      </c>
      <c r="AC51" s="207">
        <f t="shared" si="8"/>
        <v>5780703</v>
      </c>
      <c r="AD51" s="207">
        <f t="shared" si="8"/>
        <v>6154422</v>
      </c>
      <c r="AE51" s="207">
        <v>7024753.0000000009</v>
      </c>
      <c r="AF51" s="207">
        <f t="shared" ref="AF51:AR51" si="9">SUM(AF52:AF74)</f>
        <v>7657205</v>
      </c>
      <c r="AG51" s="207">
        <f t="shared" si="9"/>
        <v>7669013</v>
      </c>
      <c r="AH51" s="207">
        <f t="shared" si="9"/>
        <v>8709938</v>
      </c>
      <c r="AI51" s="207">
        <f t="shared" si="9"/>
        <v>7093572</v>
      </c>
      <c r="AJ51" s="207">
        <f t="shared" si="9"/>
        <v>7977453</v>
      </c>
      <c r="AK51" s="207">
        <f t="shared" si="9"/>
        <v>12216041</v>
      </c>
      <c r="AL51" s="207">
        <f t="shared" si="9"/>
        <v>12989443</v>
      </c>
      <c r="AM51" s="207">
        <f t="shared" si="9"/>
        <v>11328579</v>
      </c>
      <c r="AN51" s="207">
        <f t="shared" si="9"/>
        <v>11333978</v>
      </c>
      <c r="AO51" s="207">
        <f t="shared" si="9"/>
        <v>11823452</v>
      </c>
      <c r="AP51" s="207">
        <f t="shared" si="9"/>
        <v>22099849</v>
      </c>
      <c r="AQ51" s="207">
        <f t="shared" si="9"/>
        <v>14695037</v>
      </c>
      <c r="AR51" s="207">
        <f t="shared" si="9"/>
        <v>16942206</v>
      </c>
      <c r="AS51" s="207">
        <f>SUM(AS52:AS74)</f>
        <v>20065547.00891</v>
      </c>
    </row>
    <row r="52" spans="1:46" x14ac:dyDescent="0.35">
      <c r="A52" s="218" t="s">
        <v>348</v>
      </c>
      <c r="B52" s="219"/>
      <c r="C52" s="211">
        <v>844636</v>
      </c>
      <c r="D52" s="211">
        <v>677427</v>
      </c>
      <c r="E52" s="211">
        <v>613159.13676000002</v>
      </c>
      <c r="F52" s="211">
        <v>674713.65411999996</v>
      </c>
      <c r="G52" s="211">
        <v>927672.34642999992</v>
      </c>
      <c r="H52" s="211">
        <v>967287.74704000005</v>
      </c>
      <c r="I52" s="211">
        <v>1045203.8521199999</v>
      </c>
      <c r="J52" s="211">
        <v>1139843</v>
      </c>
      <c r="K52" s="211">
        <v>963000</v>
      </c>
      <c r="L52" s="211">
        <v>953000</v>
      </c>
      <c r="M52" s="211">
        <v>870000</v>
      </c>
      <c r="N52" s="211">
        <v>935000</v>
      </c>
      <c r="O52" s="211">
        <v>822000</v>
      </c>
      <c r="P52" s="211">
        <v>767744</v>
      </c>
      <c r="Q52" s="211">
        <v>825561</v>
      </c>
      <c r="R52" s="211">
        <v>943283</v>
      </c>
      <c r="S52" s="211">
        <v>728104</v>
      </c>
      <c r="T52" s="211">
        <v>860759</v>
      </c>
      <c r="U52" s="211">
        <v>1045631.0000000001</v>
      </c>
      <c r="V52" s="211">
        <v>1185038</v>
      </c>
      <c r="W52" s="211">
        <v>965602</v>
      </c>
      <c r="X52" s="211">
        <v>982392</v>
      </c>
      <c r="Y52" s="211">
        <v>1128892</v>
      </c>
      <c r="Z52" s="211">
        <v>1539306</v>
      </c>
      <c r="AA52" s="211">
        <v>1956154</v>
      </c>
      <c r="AB52" s="211">
        <v>1600040</v>
      </c>
      <c r="AC52" s="211">
        <v>1653102</v>
      </c>
      <c r="AD52" s="211">
        <v>1969016</v>
      </c>
      <c r="AE52" s="211">
        <v>1697189</v>
      </c>
      <c r="AF52" s="211">
        <v>1621729</v>
      </c>
      <c r="AG52" s="211">
        <v>1725508</v>
      </c>
      <c r="AH52" s="211">
        <v>2263294</v>
      </c>
      <c r="AI52" s="211">
        <v>1720981</v>
      </c>
      <c r="AJ52" s="211">
        <v>1723360</v>
      </c>
      <c r="AK52" s="211">
        <v>2921833</v>
      </c>
      <c r="AL52" s="211">
        <v>4107754</v>
      </c>
      <c r="AM52" s="211">
        <v>2465671</v>
      </c>
      <c r="AN52" s="211">
        <v>3025768</v>
      </c>
      <c r="AO52" s="211">
        <v>2944558</v>
      </c>
      <c r="AP52" s="211">
        <v>4397501</v>
      </c>
      <c r="AQ52" s="211">
        <v>3809181</v>
      </c>
      <c r="AR52" s="211">
        <v>4189984</v>
      </c>
      <c r="AS52" s="211">
        <v>4239380</v>
      </c>
    </row>
    <row r="53" spans="1:46" x14ac:dyDescent="0.35">
      <c r="A53" s="218" t="s">
        <v>349</v>
      </c>
      <c r="B53" s="219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>
        <v>331953</v>
      </c>
      <c r="AQ53" s="211">
        <v>370139</v>
      </c>
      <c r="AR53" s="211">
        <v>346784</v>
      </c>
      <c r="AS53" s="211">
        <v>284863</v>
      </c>
    </row>
    <row r="54" spans="1:46" x14ac:dyDescent="0.35">
      <c r="A54" s="218" t="s">
        <v>350</v>
      </c>
      <c r="B54" s="219"/>
      <c r="C54" s="211">
        <v>32709.000000000004</v>
      </c>
      <c r="D54" s="211">
        <v>26956.784970000001</v>
      </c>
      <c r="E54" s="211">
        <v>30568.437759999997</v>
      </c>
      <c r="F54" s="211">
        <v>43278</v>
      </c>
      <c r="G54" s="211">
        <v>33115.284659999998</v>
      </c>
      <c r="H54" s="211">
        <v>40107.861550000001</v>
      </c>
      <c r="I54" s="211">
        <v>48476</v>
      </c>
      <c r="J54" s="211">
        <v>29773</v>
      </c>
      <c r="K54" s="211">
        <v>47000</v>
      </c>
      <c r="L54" s="211">
        <v>44000</v>
      </c>
      <c r="M54" s="211">
        <v>55000</v>
      </c>
      <c r="N54" s="211">
        <v>34000</v>
      </c>
      <c r="O54" s="211">
        <v>45000</v>
      </c>
      <c r="P54" s="211">
        <v>37118</v>
      </c>
      <c r="Q54" s="211">
        <v>39710</v>
      </c>
      <c r="R54" s="211">
        <v>33330</v>
      </c>
      <c r="S54" s="211">
        <v>36840</v>
      </c>
      <c r="T54" s="211">
        <v>43681</v>
      </c>
      <c r="U54" s="211">
        <v>48581</v>
      </c>
      <c r="V54" s="211">
        <v>40071</v>
      </c>
      <c r="W54" s="211">
        <v>45943</v>
      </c>
      <c r="X54" s="211">
        <v>45710</v>
      </c>
      <c r="Y54" s="211">
        <v>54663</v>
      </c>
      <c r="Z54" s="211">
        <v>88063</v>
      </c>
      <c r="AA54" s="211">
        <v>111639</v>
      </c>
      <c r="AB54" s="211">
        <v>103615</v>
      </c>
      <c r="AC54" s="211">
        <v>112266</v>
      </c>
      <c r="AD54" s="211">
        <v>60940</v>
      </c>
      <c r="AE54" s="211">
        <v>63880</v>
      </c>
      <c r="AF54" s="211">
        <v>80441</v>
      </c>
      <c r="AG54" s="211">
        <v>86178</v>
      </c>
      <c r="AH54" s="211">
        <v>63962</v>
      </c>
      <c r="AI54" s="211">
        <v>60349</v>
      </c>
      <c r="AJ54" s="211">
        <v>65581</v>
      </c>
      <c r="AK54" s="211">
        <v>315975</v>
      </c>
      <c r="AL54" s="211">
        <v>192689</v>
      </c>
      <c r="AM54" s="211">
        <v>193292</v>
      </c>
      <c r="AN54" s="211">
        <v>203729</v>
      </c>
      <c r="AO54" s="211">
        <v>207841</v>
      </c>
      <c r="AP54" s="220">
        <v>236985</v>
      </c>
      <c r="AQ54" s="211">
        <v>239472</v>
      </c>
      <c r="AR54" s="211">
        <v>235045</v>
      </c>
      <c r="AS54" s="211">
        <v>237133</v>
      </c>
    </row>
    <row r="55" spans="1:46" x14ac:dyDescent="0.35">
      <c r="A55" s="209" t="s">
        <v>338</v>
      </c>
      <c r="B55" s="219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>
        <f>82790</f>
        <v>82790</v>
      </c>
      <c r="AL55" s="211">
        <v>80064</v>
      </c>
      <c r="AM55" s="211">
        <v>69699</v>
      </c>
      <c r="AN55" s="211"/>
      <c r="AO55" s="211">
        <v>42822</v>
      </c>
      <c r="AP55" s="211">
        <v>72111</v>
      </c>
      <c r="AQ55" s="211">
        <v>61463</v>
      </c>
      <c r="AR55" s="211"/>
      <c r="AS55" s="211"/>
    </row>
    <row r="56" spans="1:46" x14ac:dyDescent="0.35">
      <c r="A56" s="209" t="s">
        <v>351</v>
      </c>
      <c r="B56" s="210"/>
      <c r="C56" s="211">
        <v>610477</v>
      </c>
      <c r="D56" s="211">
        <v>562242</v>
      </c>
      <c r="E56" s="211">
        <v>549619</v>
      </c>
      <c r="F56" s="211">
        <v>169234</v>
      </c>
      <c r="G56" s="211">
        <v>275233</v>
      </c>
      <c r="H56" s="211">
        <v>840945.96925999993</v>
      </c>
      <c r="I56" s="211">
        <v>1122255</v>
      </c>
      <c r="J56" s="211">
        <v>959855</v>
      </c>
      <c r="K56" s="211">
        <v>398000</v>
      </c>
      <c r="L56" s="211">
        <v>452000</v>
      </c>
      <c r="M56" s="211">
        <v>785000</v>
      </c>
      <c r="N56" s="211">
        <v>805000</v>
      </c>
      <c r="O56" s="211">
        <v>703000</v>
      </c>
      <c r="P56" s="211">
        <v>685660</v>
      </c>
      <c r="Q56" s="211">
        <v>539895</v>
      </c>
      <c r="R56" s="211">
        <v>868211</v>
      </c>
      <c r="S56" s="211">
        <v>723443</v>
      </c>
      <c r="T56" s="211">
        <v>876350</v>
      </c>
      <c r="U56" s="211">
        <v>913024</v>
      </c>
      <c r="V56" s="211">
        <v>984578</v>
      </c>
      <c r="W56" s="211">
        <v>1054186</v>
      </c>
      <c r="X56" s="211">
        <v>744338</v>
      </c>
      <c r="Y56" s="211">
        <v>1589460</v>
      </c>
      <c r="Z56" s="211">
        <v>2298405</v>
      </c>
      <c r="AA56" s="211">
        <v>2356338</v>
      </c>
      <c r="AB56" s="211">
        <v>1898670</v>
      </c>
      <c r="AC56" s="211">
        <v>1469923</v>
      </c>
      <c r="AD56" s="211">
        <v>1742280</v>
      </c>
      <c r="AE56" s="211">
        <v>2455771</v>
      </c>
      <c r="AF56" s="211">
        <v>2675864</v>
      </c>
      <c r="AG56" s="211">
        <v>2030816</v>
      </c>
      <c r="AH56" s="211">
        <v>2229290</v>
      </c>
      <c r="AI56" s="211">
        <v>1743490</v>
      </c>
      <c r="AJ56" s="211">
        <v>2171746</v>
      </c>
      <c r="AK56" s="211">
        <v>2923087</v>
      </c>
      <c r="AL56" s="211">
        <v>2626566</v>
      </c>
      <c r="AM56" s="211">
        <v>2178388</v>
      </c>
      <c r="AN56" s="211">
        <v>1952551</v>
      </c>
      <c r="AO56" s="211">
        <v>1765820</v>
      </c>
      <c r="AP56" s="211">
        <v>9402827</v>
      </c>
      <c r="AQ56" s="211">
        <v>2726972</v>
      </c>
      <c r="AR56" s="211">
        <v>2603064</v>
      </c>
      <c r="AS56" s="211">
        <v>4664016</v>
      </c>
    </row>
    <row r="57" spans="1:46" x14ac:dyDescent="0.35">
      <c r="A57" s="209" t="s">
        <v>191</v>
      </c>
      <c r="B57" s="210"/>
      <c r="C57" s="211">
        <v>10154</v>
      </c>
      <c r="D57" s="211">
        <v>102</v>
      </c>
      <c r="E57" s="211">
        <v>5432</v>
      </c>
      <c r="F57" s="211">
        <v>5974</v>
      </c>
      <c r="G57" s="211">
        <v>11680</v>
      </c>
      <c r="H57" s="211">
        <v>163</v>
      </c>
      <c r="I57" s="211">
        <v>6314</v>
      </c>
      <c r="J57" s="211">
        <v>10861</v>
      </c>
      <c r="K57" s="211">
        <v>24000</v>
      </c>
      <c r="L57" s="211">
        <v>40000</v>
      </c>
      <c r="M57" s="211">
        <v>55000</v>
      </c>
      <c r="N57" s="211">
        <v>47000</v>
      </c>
      <c r="O57" s="211">
        <v>62000</v>
      </c>
      <c r="P57" s="211">
        <v>40332</v>
      </c>
      <c r="Q57" s="211">
        <v>55979</v>
      </c>
      <c r="R57" s="211">
        <v>118740</v>
      </c>
      <c r="S57" s="211">
        <v>161707</v>
      </c>
      <c r="T57" s="211">
        <v>211208</v>
      </c>
      <c r="U57" s="211">
        <v>247229</v>
      </c>
      <c r="V57" s="211">
        <v>213812</v>
      </c>
      <c r="W57" s="211">
        <v>243589</v>
      </c>
      <c r="X57" s="211">
        <v>255031</v>
      </c>
      <c r="Y57" s="211">
        <v>301314</v>
      </c>
      <c r="Z57" s="211">
        <v>505464</v>
      </c>
      <c r="AA57" s="211">
        <v>565878</v>
      </c>
      <c r="AB57" s="211">
        <v>550859</v>
      </c>
      <c r="AC57" s="211">
        <v>565308</v>
      </c>
      <c r="AD57" s="211">
        <v>144283</v>
      </c>
      <c r="AE57" s="211">
        <v>170730</v>
      </c>
      <c r="AF57" s="211">
        <v>87773</v>
      </c>
      <c r="AG57" s="211">
        <v>126070</v>
      </c>
      <c r="AH57" s="211">
        <v>883076</v>
      </c>
      <c r="AI57" s="211">
        <v>940297</v>
      </c>
      <c r="AJ57" s="211">
        <v>1254429</v>
      </c>
      <c r="AK57" s="211">
        <v>1810996</v>
      </c>
      <c r="AL57" s="211">
        <v>961010</v>
      </c>
      <c r="AM57" s="211">
        <v>1198354</v>
      </c>
      <c r="AN57" s="211">
        <v>1700092</v>
      </c>
      <c r="AO57" s="211">
        <v>1104205</v>
      </c>
      <c r="AP57" s="211">
        <v>1406261</v>
      </c>
      <c r="AQ57" s="211">
        <v>1634070</v>
      </c>
      <c r="AR57" s="211">
        <v>3045234</v>
      </c>
      <c r="AS57" s="211">
        <v>3252339</v>
      </c>
    </row>
    <row r="58" spans="1:46" x14ac:dyDescent="0.35">
      <c r="A58" s="209" t="s">
        <v>352</v>
      </c>
      <c r="B58" s="210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>
        <v>10077</v>
      </c>
      <c r="AE58" s="211">
        <v>43372</v>
      </c>
      <c r="AF58" s="211">
        <v>64361</v>
      </c>
      <c r="AG58" s="211">
        <v>708158</v>
      </c>
      <c r="AH58" s="211">
        <v>753702</v>
      </c>
      <c r="AI58" s="211">
        <v>242653</v>
      </c>
      <c r="AJ58" s="211">
        <v>213555</v>
      </c>
      <c r="AK58" s="211">
        <v>50</v>
      </c>
      <c r="AL58" s="211">
        <v>0</v>
      </c>
      <c r="AM58" s="211">
        <v>37196</v>
      </c>
      <c r="AN58" s="211"/>
      <c r="AO58" s="211">
        <v>288597</v>
      </c>
      <c r="AP58" s="211">
        <v>195764</v>
      </c>
      <c r="AQ58" s="211">
        <v>225782</v>
      </c>
      <c r="AR58" s="211">
        <v>819435</v>
      </c>
      <c r="AS58" s="211">
        <v>1004702</v>
      </c>
    </row>
    <row r="59" spans="1:46" x14ac:dyDescent="0.35">
      <c r="A59" s="209" t="s">
        <v>353</v>
      </c>
      <c r="B59" s="210"/>
      <c r="C59" s="211">
        <v>223989</v>
      </c>
      <c r="D59" s="211">
        <v>226646</v>
      </c>
      <c r="E59" s="211">
        <v>245215</v>
      </c>
      <c r="F59" s="211">
        <v>254314.45918999999</v>
      </c>
      <c r="G59" s="211">
        <v>294689</v>
      </c>
      <c r="H59" s="211">
        <v>251250</v>
      </c>
      <c r="I59" s="211">
        <v>273205</v>
      </c>
      <c r="J59" s="211">
        <v>282900</v>
      </c>
      <c r="K59" s="211">
        <v>215000</v>
      </c>
      <c r="L59" s="211">
        <v>243000</v>
      </c>
      <c r="M59" s="211">
        <v>273636</v>
      </c>
      <c r="N59" s="211">
        <v>312421</v>
      </c>
      <c r="O59" s="211">
        <v>276881</v>
      </c>
      <c r="P59" s="211">
        <v>298206</v>
      </c>
      <c r="Q59" s="211">
        <v>290981</v>
      </c>
      <c r="R59" s="211">
        <v>357041</v>
      </c>
      <c r="S59" s="211">
        <v>342129</v>
      </c>
      <c r="T59" s="211">
        <v>381218</v>
      </c>
      <c r="U59" s="211">
        <v>428388</v>
      </c>
      <c r="V59" s="211">
        <v>476712</v>
      </c>
      <c r="W59" s="211">
        <v>444850</v>
      </c>
      <c r="X59" s="211">
        <v>489446</v>
      </c>
      <c r="Y59" s="211">
        <v>510574</v>
      </c>
      <c r="Z59" s="211">
        <v>601139</v>
      </c>
      <c r="AA59" s="211">
        <v>664996</v>
      </c>
      <c r="AB59" s="211">
        <v>654061</v>
      </c>
      <c r="AC59" s="211">
        <v>638688</v>
      </c>
      <c r="AD59" s="211">
        <v>564352</v>
      </c>
      <c r="AE59" s="211">
        <v>463760</v>
      </c>
      <c r="AF59" s="211">
        <v>551186</v>
      </c>
      <c r="AG59" s="211">
        <v>560219</v>
      </c>
      <c r="AH59" s="211">
        <v>596074</v>
      </c>
      <c r="AI59" s="211">
        <v>439064</v>
      </c>
      <c r="AJ59" s="211">
        <v>431088</v>
      </c>
      <c r="AK59" s="211">
        <v>849296</v>
      </c>
      <c r="AL59" s="211">
        <v>1161032</v>
      </c>
      <c r="AM59" s="211">
        <v>1173684</v>
      </c>
      <c r="AN59" s="211">
        <v>1131594</v>
      </c>
      <c r="AO59" s="211">
        <v>1074083</v>
      </c>
      <c r="AP59" s="211">
        <v>1229154</v>
      </c>
      <c r="AQ59" s="211">
        <v>1268795</v>
      </c>
      <c r="AR59" s="211">
        <v>1231314</v>
      </c>
      <c r="AS59" s="211">
        <v>1184208</v>
      </c>
    </row>
    <row r="60" spans="1:46" x14ac:dyDescent="0.35">
      <c r="A60" s="209" t="s">
        <v>354</v>
      </c>
      <c r="B60" s="210"/>
      <c r="C60" s="211">
        <v>0</v>
      </c>
      <c r="D60" s="211">
        <v>0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25809</v>
      </c>
      <c r="N60" s="211">
        <v>18444</v>
      </c>
      <c r="O60" s="211">
        <v>22696</v>
      </c>
      <c r="P60" s="211">
        <v>15386</v>
      </c>
      <c r="Q60" s="211">
        <v>14145</v>
      </c>
      <c r="R60" s="211">
        <v>9306</v>
      </c>
      <c r="S60" s="211">
        <v>12468</v>
      </c>
      <c r="T60" s="211">
        <v>8763</v>
      </c>
      <c r="U60" s="211">
        <v>13807</v>
      </c>
      <c r="V60" s="211">
        <v>23384</v>
      </c>
      <c r="W60" s="211">
        <v>8374</v>
      </c>
      <c r="X60" s="211">
        <v>11967</v>
      </c>
      <c r="Y60" s="211">
        <v>20850</v>
      </c>
      <c r="Z60" s="211">
        <v>105367</v>
      </c>
      <c r="AA60" s="211">
        <v>107296</v>
      </c>
      <c r="AB60" s="211">
        <v>40031</v>
      </c>
      <c r="AC60" s="211">
        <v>51310</v>
      </c>
      <c r="AD60" s="211">
        <v>100793</v>
      </c>
      <c r="AE60" s="211">
        <v>65486.000000000007</v>
      </c>
      <c r="AF60" s="211">
        <v>112491</v>
      </c>
      <c r="AG60" s="211">
        <v>84881</v>
      </c>
      <c r="AH60" s="211">
        <v>169208</v>
      </c>
      <c r="AI60" s="211">
        <v>103273</v>
      </c>
      <c r="AJ60" s="211">
        <v>215516</v>
      </c>
      <c r="AK60" s="211">
        <v>193588</v>
      </c>
      <c r="AL60" s="211">
        <v>216541</v>
      </c>
      <c r="AM60" s="211">
        <v>510567</v>
      </c>
      <c r="AN60" s="211">
        <v>445492</v>
      </c>
      <c r="AO60" s="211">
        <v>442405</v>
      </c>
      <c r="AP60" s="211">
        <v>343418</v>
      </c>
      <c r="AQ60" s="211">
        <v>371120</v>
      </c>
      <c r="AR60" s="211">
        <v>480363</v>
      </c>
      <c r="AS60" s="211">
        <v>616172</v>
      </c>
    </row>
    <row r="61" spans="1:46" x14ac:dyDescent="0.35">
      <c r="A61" s="209" t="s">
        <v>355</v>
      </c>
      <c r="B61" s="210"/>
      <c r="C61" s="211">
        <v>91601</v>
      </c>
      <c r="D61" s="211">
        <v>90877.137759999998</v>
      </c>
      <c r="E61" s="211">
        <v>90872.368050000005</v>
      </c>
      <c r="F61" s="211">
        <v>42107</v>
      </c>
      <c r="G61" s="211">
        <v>29888.804360000002</v>
      </c>
      <c r="H61" s="211">
        <v>31506</v>
      </c>
      <c r="I61" s="211">
        <v>31506</v>
      </c>
      <c r="J61" s="211">
        <v>176840</v>
      </c>
      <c r="K61" s="211">
        <v>180000</v>
      </c>
      <c r="L61" s="211">
        <v>174000</v>
      </c>
      <c r="M61" s="211">
        <v>174000</v>
      </c>
      <c r="N61" s="211">
        <v>218000</v>
      </c>
      <c r="O61" s="211">
        <v>217000</v>
      </c>
      <c r="P61" s="211">
        <v>250561</v>
      </c>
      <c r="Q61" s="211">
        <v>250561</v>
      </c>
      <c r="R61" s="211">
        <v>195910</v>
      </c>
      <c r="S61" s="211">
        <v>200238</v>
      </c>
      <c r="T61" s="211">
        <v>243141</v>
      </c>
      <c r="U61" s="211">
        <v>243075</v>
      </c>
      <c r="V61" s="211">
        <v>263976</v>
      </c>
      <c r="W61" s="211">
        <v>260702</v>
      </c>
      <c r="X61" s="211">
        <v>324016</v>
      </c>
      <c r="Y61" s="211">
        <v>324016</v>
      </c>
      <c r="Z61" s="211">
        <v>240729</v>
      </c>
      <c r="AA61" s="211">
        <v>240518</v>
      </c>
      <c r="AB61" s="211">
        <v>190953</v>
      </c>
      <c r="AC61" s="211">
        <v>190954</v>
      </c>
      <c r="AD61" s="211">
        <v>341119</v>
      </c>
      <c r="AE61" s="211">
        <v>341007</v>
      </c>
      <c r="AF61" s="211">
        <v>316626</v>
      </c>
      <c r="AG61" s="211">
        <v>326818</v>
      </c>
      <c r="AH61" s="211">
        <v>601510</v>
      </c>
      <c r="AI61" s="211">
        <v>591963</v>
      </c>
      <c r="AJ61" s="211">
        <v>720269</v>
      </c>
      <c r="AK61" s="211">
        <v>720423</v>
      </c>
      <c r="AL61" s="211">
        <v>771321</v>
      </c>
      <c r="AM61" s="211">
        <v>771227</v>
      </c>
      <c r="AN61" s="211">
        <v>716162</v>
      </c>
      <c r="AO61" s="211">
        <v>716813</v>
      </c>
      <c r="AP61" s="211">
        <v>468800</v>
      </c>
      <c r="AQ61" s="211">
        <v>464661</v>
      </c>
      <c r="AR61" s="211">
        <v>104734</v>
      </c>
      <c r="AS61" s="211">
        <v>228212</v>
      </c>
    </row>
    <row r="62" spans="1:46" x14ac:dyDescent="0.35">
      <c r="A62" s="209" t="s">
        <v>356</v>
      </c>
      <c r="B62" s="210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>
        <v>34353</v>
      </c>
      <c r="AQ62" s="211"/>
      <c r="AR62" s="211"/>
      <c r="AS62" s="211"/>
    </row>
    <row r="63" spans="1:46" x14ac:dyDescent="0.35">
      <c r="A63" s="209" t="s">
        <v>357</v>
      </c>
      <c r="B63" s="210"/>
      <c r="C63" s="211">
        <v>33280</v>
      </c>
      <c r="D63" s="211">
        <v>20401</v>
      </c>
      <c r="E63" s="211">
        <v>21656.897789999999</v>
      </c>
      <c r="F63" s="211">
        <v>32749.000000000004</v>
      </c>
      <c r="G63" s="211">
        <v>23680</v>
      </c>
      <c r="H63" s="211">
        <v>21508.851849999999</v>
      </c>
      <c r="I63" s="211">
        <v>23849</v>
      </c>
      <c r="J63" s="211">
        <v>30848</v>
      </c>
      <c r="K63" s="211">
        <v>29000</v>
      </c>
      <c r="L63" s="211">
        <v>16000</v>
      </c>
      <c r="M63" s="211">
        <v>16000</v>
      </c>
      <c r="N63" s="211">
        <v>17000</v>
      </c>
      <c r="O63" s="211">
        <v>58000</v>
      </c>
      <c r="P63" s="211">
        <v>22753</v>
      </c>
      <c r="Q63" s="211">
        <v>19996</v>
      </c>
      <c r="R63" s="211">
        <v>42102</v>
      </c>
      <c r="S63" s="211">
        <v>36509</v>
      </c>
      <c r="T63" s="211">
        <v>24301</v>
      </c>
      <c r="U63" s="211">
        <v>25789</v>
      </c>
      <c r="V63" s="211">
        <v>24480</v>
      </c>
      <c r="W63" s="211">
        <v>22620</v>
      </c>
      <c r="X63" s="211">
        <v>22047</v>
      </c>
      <c r="Y63" s="211">
        <v>22770</v>
      </c>
      <c r="Z63" s="211">
        <v>46562</v>
      </c>
      <c r="AA63" s="211">
        <v>100922</v>
      </c>
      <c r="AB63" s="211">
        <v>102990</v>
      </c>
      <c r="AC63" s="211">
        <v>74064</v>
      </c>
      <c r="AD63" s="211">
        <v>79326</v>
      </c>
      <c r="AE63" s="211">
        <v>65766</v>
      </c>
      <c r="AF63" s="211">
        <v>67863</v>
      </c>
      <c r="AG63" s="211">
        <v>87159</v>
      </c>
      <c r="AH63" s="211">
        <v>83867</v>
      </c>
      <c r="AI63" s="211">
        <v>84843</v>
      </c>
      <c r="AJ63" s="211">
        <v>88213</v>
      </c>
      <c r="AK63" s="211">
        <v>78564</v>
      </c>
      <c r="AL63" s="211">
        <v>89889</v>
      </c>
      <c r="AM63" s="211">
        <v>87005</v>
      </c>
      <c r="AN63" s="211">
        <v>82239</v>
      </c>
      <c r="AO63" s="211">
        <v>88972</v>
      </c>
      <c r="AP63" s="211">
        <v>154807</v>
      </c>
      <c r="AQ63" s="211">
        <v>151093</v>
      </c>
      <c r="AR63" s="211">
        <v>168951</v>
      </c>
      <c r="AS63" s="211">
        <v>167284</v>
      </c>
    </row>
    <row r="64" spans="1:46" x14ac:dyDescent="0.35">
      <c r="A64" s="209" t="s">
        <v>358</v>
      </c>
      <c r="B64" s="210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>
        <v>272806</v>
      </c>
      <c r="AE64" s="211">
        <v>286040</v>
      </c>
      <c r="AF64" s="211">
        <v>294525</v>
      </c>
      <c r="AG64" s="211">
        <v>271679</v>
      </c>
      <c r="AH64" s="211">
        <v>286397</v>
      </c>
      <c r="AI64" s="211">
        <v>373931</v>
      </c>
      <c r="AJ64" s="211">
        <v>338382</v>
      </c>
      <c r="AK64" s="211">
        <v>562068</v>
      </c>
      <c r="AL64" s="211">
        <v>477696</v>
      </c>
      <c r="AM64" s="211">
        <v>508545</v>
      </c>
      <c r="AN64" s="211">
        <v>448642</v>
      </c>
      <c r="AO64" s="211">
        <v>445201</v>
      </c>
      <c r="AP64" s="211">
        <v>566210</v>
      </c>
      <c r="AQ64" s="211">
        <v>547259</v>
      </c>
      <c r="AR64" s="211">
        <v>567013</v>
      </c>
      <c r="AS64" s="211">
        <v>533800</v>
      </c>
    </row>
    <row r="65" spans="1:46" x14ac:dyDescent="0.35">
      <c r="A65" s="209" t="s">
        <v>359</v>
      </c>
      <c r="B65" s="210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>
        <v>132664</v>
      </c>
      <c r="AE65" s="211">
        <v>152877</v>
      </c>
      <c r="AF65" s="211">
        <v>109989</v>
      </c>
      <c r="AG65" s="211">
        <v>107730</v>
      </c>
      <c r="AH65" s="211">
        <v>127076</v>
      </c>
      <c r="AI65" s="211">
        <v>144554</v>
      </c>
      <c r="AJ65" s="211">
        <v>96815</v>
      </c>
      <c r="AK65" s="211">
        <v>118896</v>
      </c>
      <c r="AL65" s="211">
        <v>140497</v>
      </c>
      <c r="AM65" s="211">
        <v>152896</v>
      </c>
      <c r="AN65" s="211">
        <v>96200</v>
      </c>
      <c r="AO65" s="211">
        <v>120186</v>
      </c>
      <c r="AP65" s="211">
        <v>148764</v>
      </c>
      <c r="AQ65" s="211">
        <v>91298</v>
      </c>
      <c r="AR65" s="211">
        <v>90619</v>
      </c>
      <c r="AS65" s="211">
        <v>122984</v>
      </c>
    </row>
    <row r="66" spans="1:46" x14ac:dyDescent="0.35">
      <c r="A66" s="209" t="s">
        <v>360</v>
      </c>
      <c r="B66" s="210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>
        <v>0</v>
      </c>
      <c r="AM66" s="211"/>
      <c r="AN66" s="211"/>
      <c r="AO66" s="211">
        <v>49606</v>
      </c>
      <c r="AP66" s="211">
        <v>56919</v>
      </c>
      <c r="AQ66" s="211">
        <v>56049</v>
      </c>
      <c r="AR66" s="211">
        <v>58708</v>
      </c>
      <c r="AS66" s="211">
        <v>61598</v>
      </c>
    </row>
    <row r="67" spans="1:46" x14ac:dyDescent="0.35">
      <c r="A67" s="209" t="s">
        <v>361</v>
      </c>
      <c r="B67" s="210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>
        <v>34512</v>
      </c>
      <c r="AM67" s="211"/>
      <c r="AN67" s="211"/>
      <c r="AO67" s="211">
        <v>29055</v>
      </c>
      <c r="AP67" s="211">
        <v>43829</v>
      </c>
      <c r="AQ67" s="211">
        <v>29579</v>
      </c>
      <c r="AR67" s="211">
        <v>40677</v>
      </c>
      <c r="AS67" s="211">
        <v>57572</v>
      </c>
    </row>
    <row r="68" spans="1:46" x14ac:dyDescent="0.35">
      <c r="A68" s="209" t="s">
        <v>325</v>
      </c>
      <c r="B68" s="210"/>
      <c r="C68" s="211">
        <v>0</v>
      </c>
      <c r="D68" s="211">
        <v>0</v>
      </c>
      <c r="E68" s="211">
        <v>0</v>
      </c>
      <c r="F68" s="211">
        <v>0</v>
      </c>
      <c r="G68" s="211">
        <v>0</v>
      </c>
      <c r="H68" s="211">
        <v>0</v>
      </c>
      <c r="I68" s="211">
        <v>0</v>
      </c>
      <c r="J68" s="211">
        <v>0</v>
      </c>
      <c r="K68" s="211">
        <v>58000</v>
      </c>
      <c r="L68" s="211">
        <v>82000</v>
      </c>
      <c r="M68" s="211">
        <v>18000</v>
      </c>
      <c r="N68" s="211">
        <v>0</v>
      </c>
      <c r="O68" s="211">
        <v>31000</v>
      </c>
      <c r="P68" s="211">
        <v>84735</v>
      </c>
      <c r="Q68" s="211">
        <v>53584</v>
      </c>
      <c r="R68" s="211">
        <v>0</v>
      </c>
      <c r="S68" s="211">
        <v>18132.999999999996</v>
      </c>
      <c r="T68" s="211">
        <v>0</v>
      </c>
      <c r="U68" s="211">
        <v>0</v>
      </c>
      <c r="V68" s="211">
        <v>19946</v>
      </c>
      <c r="W68" s="211">
        <v>13625</v>
      </c>
      <c r="X68" s="211">
        <v>26877</v>
      </c>
      <c r="Y68" s="211">
        <v>21516</v>
      </c>
      <c r="Z68" s="211">
        <v>14915</v>
      </c>
      <c r="AA68" s="211">
        <v>19393</v>
      </c>
      <c r="AB68" s="211">
        <v>13635</v>
      </c>
      <c r="AC68" s="211">
        <v>0</v>
      </c>
      <c r="AD68" s="211"/>
      <c r="AE68" s="211">
        <v>0</v>
      </c>
      <c r="AF68" s="211"/>
      <c r="AG68" s="211"/>
      <c r="AH68" s="211"/>
      <c r="AI68" s="211"/>
      <c r="AJ68" s="211">
        <v>94742</v>
      </c>
      <c r="AK68" s="211">
        <v>16</v>
      </c>
      <c r="AL68" s="211">
        <v>5116</v>
      </c>
      <c r="AM68" s="211">
        <v>33261</v>
      </c>
      <c r="AN68" s="211">
        <v>1812</v>
      </c>
      <c r="AO68" s="211">
        <v>1514</v>
      </c>
      <c r="AP68" s="211">
        <v>41775</v>
      </c>
      <c r="AQ68" s="211">
        <v>133851</v>
      </c>
      <c r="AR68" s="211">
        <v>226001</v>
      </c>
      <c r="AS68" s="211">
        <v>105811</v>
      </c>
    </row>
    <row r="69" spans="1:46" x14ac:dyDescent="0.35">
      <c r="A69" s="209" t="s">
        <v>362</v>
      </c>
      <c r="B69" s="210"/>
      <c r="C69" s="211">
        <v>32451</v>
      </c>
      <c r="D69" s="211">
        <v>41536</v>
      </c>
      <c r="E69" s="211">
        <v>31731.24005</v>
      </c>
      <c r="F69" s="211">
        <v>39775</v>
      </c>
      <c r="G69" s="211">
        <v>31931</v>
      </c>
      <c r="H69" s="211">
        <v>24868</v>
      </c>
      <c r="I69" s="211">
        <v>13735</v>
      </c>
      <c r="J69" s="211">
        <v>51728</v>
      </c>
      <c r="K69" s="211">
        <v>46000</v>
      </c>
      <c r="L69" s="211">
        <v>38000</v>
      </c>
      <c r="M69" s="211">
        <v>132500</v>
      </c>
      <c r="N69" s="211">
        <v>135000</v>
      </c>
      <c r="O69" s="211">
        <v>138000</v>
      </c>
      <c r="P69" s="211">
        <v>125926</v>
      </c>
      <c r="Q69" s="211">
        <v>97486</v>
      </c>
      <c r="R69" s="211">
        <v>86222</v>
      </c>
      <c r="S69" s="211">
        <v>75874</v>
      </c>
      <c r="T69" s="211">
        <v>73991</v>
      </c>
      <c r="U69" s="211">
        <v>73369</v>
      </c>
      <c r="V69" s="211">
        <v>53954</v>
      </c>
      <c r="W69" s="211">
        <v>50338</v>
      </c>
      <c r="X69" s="211">
        <v>57385</v>
      </c>
      <c r="Y69" s="211">
        <v>52880</v>
      </c>
      <c r="Z69" s="211">
        <v>47236</v>
      </c>
      <c r="AA69" s="211">
        <v>172983</v>
      </c>
      <c r="AB69" s="211">
        <v>127295</v>
      </c>
      <c r="AC69" s="211">
        <v>52691</v>
      </c>
      <c r="AD69" s="211">
        <v>254775</v>
      </c>
      <c r="AE69" s="211">
        <v>252484</v>
      </c>
      <c r="AF69" s="211">
        <v>242648</v>
      </c>
      <c r="AG69" s="211">
        <v>209302</v>
      </c>
      <c r="AH69" s="211">
        <v>215811</v>
      </c>
      <c r="AI69" s="211">
        <v>220139</v>
      </c>
      <c r="AJ69" s="211">
        <v>120662</v>
      </c>
      <c r="AK69" s="211">
        <v>184399</v>
      </c>
      <c r="AL69" s="211">
        <v>526133</v>
      </c>
      <c r="AM69" s="211">
        <v>517241</v>
      </c>
      <c r="AN69" s="211">
        <v>505858</v>
      </c>
      <c r="AO69" s="211">
        <v>559596</v>
      </c>
      <c r="AP69" s="211">
        <v>601291</v>
      </c>
      <c r="AQ69" s="211">
        <v>607112</v>
      </c>
      <c r="AR69" s="211">
        <v>599671</v>
      </c>
      <c r="AS69" s="211">
        <v>583348</v>
      </c>
    </row>
    <row r="70" spans="1:46" x14ac:dyDescent="0.35">
      <c r="A70" s="221" t="s">
        <v>363</v>
      </c>
      <c r="B70" s="210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>
        <v>538739</v>
      </c>
      <c r="AF70" s="211">
        <v>983133</v>
      </c>
      <c r="AG70" s="211">
        <v>903854</v>
      </c>
      <c r="AH70" s="211"/>
      <c r="AI70" s="211"/>
      <c r="AJ70" s="211"/>
      <c r="AK70" s="211">
        <v>728927</v>
      </c>
      <c r="AL70" s="211">
        <v>719648</v>
      </c>
      <c r="AM70" s="211">
        <v>453523</v>
      </c>
      <c r="AN70" s="211">
        <v>200091</v>
      </c>
      <c r="AO70" s="211">
        <v>1068105</v>
      </c>
      <c r="AP70" s="211">
        <v>1235312</v>
      </c>
      <c r="AQ70" s="211">
        <v>726397</v>
      </c>
      <c r="AR70" s="211">
        <v>538074</v>
      </c>
      <c r="AS70" s="211">
        <v>1064647</v>
      </c>
    </row>
    <row r="71" spans="1:46" x14ac:dyDescent="0.35">
      <c r="A71" s="221" t="s">
        <v>364</v>
      </c>
      <c r="B71" s="210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>
        <v>25875</v>
      </c>
      <c r="AM71" s="211"/>
      <c r="AN71" s="211"/>
      <c r="AO71" s="211">
        <v>18177</v>
      </c>
      <c r="AP71" s="211">
        <v>29643</v>
      </c>
      <c r="AQ71" s="211">
        <v>26155</v>
      </c>
      <c r="AR71" s="211">
        <v>23719</v>
      </c>
      <c r="AS71" s="211">
        <v>16543</v>
      </c>
      <c r="AT71" s="114"/>
    </row>
    <row r="72" spans="1:46" x14ac:dyDescent="0.35">
      <c r="A72" s="221" t="s">
        <v>365</v>
      </c>
      <c r="B72" s="210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>
        <v>81079</v>
      </c>
      <c r="AS72" s="211">
        <v>61262</v>
      </c>
      <c r="AT72" s="114"/>
    </row>
    <row r="73" spans="1:46" x14ac:dyDescent="0.35">
      <c r="A73" s="221" t="s">
        <v>338</v>
      </c>
      <c r="B73" s="210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>
        <v>81428</v>
      </c>
      <c r="AS73" s="211">
        <v>79725</v>
      </c>
      <c r="AT73" s="114"/>
    </row>
    <row r="74" spans="1:46" ht="15" thickBot="1" x14ac:dyDescent="0.4">
      <c r="A74" s="209" t="s">
        <v>366</v>
      </c>
      <c r="B74" s="210"/>
      <c r="C74" s="211">
        <v>364718</v>
      </c>
      <c r="D74" s="211">
        <v>379212</v>
      </c>
      <c r="E74" s="211">
        <v>411055</v>
      </c>
      <c r="F74" s="211">
        <v>426786</v>
      </c>
      <c r="G74" s="211">
        <v>410259</v>
      </c>
      <c r="H74" s="211">
        <v>440549</v>
      </c>
      <c r="I74" s="211">
        <v>452385</v>
      </c>
      <c r="J74" s="211">
        <v>469966</v>
      </c>
      <c r="K74" s="211">
        <v>472000</v>
      </c>
      <c r="L74" s="211">
        <v>477000</v>
      </c>
      <c r="M74" s="211">
        <v>523500</v>
      </c>
      <c r="N74" s="211">
        <v>609400</v>
      </c>
      <c r="O74" s="211">
        <v>542500</v>
      </c>
      <c r="P74" s="211">
        <v>527673</v>
      </c>
      <c r="Q74" s="211">
        <v>625921</v>
      </c>
      <c r="R74" s="211">
        <v>762160</v>
      </c>
      <c r="S74" s="211">
        <v>560071</v>
      </c>
      <c r="T74" s="211">
        <v>483132.00000000006</v>
      </c>
      <c r="U74" s="211">
        <v>830148</v>
      </c>
      <c r="V74" s="211">
        <v>788395</v>
      </c>
      <c r="W74" s="211">
        <v>784784</v>
      </c>
      <c r="X74" s="211">
        <v>781908</v>
      </c>
      <c r="Y74" s="211">
        <v>825334</v>
      </c>
      <c r="Z74" s="211">
        <v>955198</v>
      </c>
      <c r="AA74" s="211">
        <v>980697</v>
      </c>
      <c r="AB74" s="211">
        <v>1075286</v>
      </c>
      <c r="AC74" s="211">
        <v>972396.99999999988</v>
      </c>
      <c r="AD74" s="211">
        <v>481991</v>
      </c>
      <c r="AE74" s="211">
        <v>427652</v>
      </c>
      <c r="AF74" s="211">
        <v>448576</v>
      </c>
      <c r="AG74" s="211">
        <v>440641</v>
      </c>
      <c r="AH74" s="211">
        <v>436671</v>
      </c>
      <c r="AI74" s="211">
        <v>428035</v>
      </c>
      <c r="AJ74" s="211">
        <v>443095</v>
      </c>
      <c r="AK74" s="211">
        <v>725133</v>
      </c>
      <c r="AL74" s="211">
        <v>853100</v>
      </c>
      <c r="AM74" s="211">
        <v>978030</v>
      </c>
      <c r="AN74" s="211">
        <v>823748</v>
      </c>
      <c r="AO74" s="211">
        <v>855896</v>
      </c>
      <c r="AP74" s="211">
        <v>1102172</v>
      </c>
      <c r="AQ74" s="211">
        <v>1154589</v>
      </c>
      <c r="AR74" s="211">
        <v>1410309</v>
      </c>
      <c r="AS74" s="211">
        <v>1499948.0089100001</v>
      </c>
    </row>
    <row r="75" spans="1:46" ht="15" thickBot="1" x14ac:dyDescent="0.4">
      <c r="A75" s="213" t="s">
        <v>333</v>
      </c>
      <c r="B75" s="206"/>
      <c r="C75" s="214">
        <f t="shared" ref="C75:Z75" si="10">SUM(C77:C93)</f>
        <v>4123157</v>
      </c>
      <c r="D75" s="214">
        <f t="shared" si="10"/>
        <v>4354661.4501700001</v>
      </c>
      <c r="E75" s="214">
        <f t="shared" si="10"/>
        <v>4222971.7516600005</v>
      </c>
      <c r="F75" s="214">
        <f t="shared" si="10"/>
        <v>4566921</v>
      </c>
      <c r="G75" s="214">
        <f t="shared" si="10"/>
        <v>4375158</v>
      </c>
      <c r="H75" s="214">
        <f t="shared" si="10"/>
        <v>4006384.5581899998</v>
      </c>
      <c r="I75" s="214">
        <f t="shared" si="10"/>
        <v>3750361</v>
      </c>
      <c r="J75" s="214">
        <f t="shared" si="10"/>
        <v>4671729</v>
      </c>
      <c r="K75" s="214">
        <f t="shared" si="10"/>
        <v>5307400</v>
      </c>
      <c r="L75" s="214">
        <f t="shared" si="10"/>
        <v>4968000</v>
      </c>
      <c r="M75" s="214">
        <f t="shared" si="10"/>
        <v>5114000</v>
      </c>
      <c r="N75" s="214">
        <f t="shared" si="10"/>
        <v>5225400</v>
      </c>
      <c r="O75" s="214">
        <f t="shared" si="10"/>
        <v>5155500</v>
      </c>
      <c r="P75" s="214">
        <f t="shared" si="10"/>
        <v>5222746</v>
      </c>
      <c r="Q75" s="214">
        <f t="shared" si="10"/>
        <v>5209385</v>
      </c>
      <c r="R75" s="214">
        <f t="shared" si="10"/>
        <v>5931529</v>
      </c>
      <c r="S75" s="214">
        <f t="shared" si="10"/>
        <v>6072878</v>
      </c>
      <c r="T75" s="214">
        <f t="shared" si="10"/>
        <v>6075671</v>
      </c>
      <c r="U75" s="214">
        <f t="shared" si="10"/>
        <v>5758683</v>
      </c>
      <c r="V75" s="214">
        <f t="shared" si="10"/>
        <v>7666001</v>
      </c>
      <c r="W75" s="214">
        <f t="shared" si="10"/>
        <v>7651339</v>
      </c>
      <c r="X75" s="214">
        <f t="shared" si="10"/>
        <v>8665230</v>
      </c>
      <c r="Y75" s="214">
        <f t="shared" si="10"/>
        <v>8293976</v>
      </c>
      <c r="Z75" s="214">
        <f t="shared" si="10"/>
        <v>12510741</v>
      </c>
      <c r="AA75" s="214">
        <f t="shared" ref="AA75:AN75" si="11">SUM(AA76:AA93)</f>
        <v>16732253</v>
      </c>
      <c r="AB75" s="214">
        <f t="shared" si="11"/>
        <v>19272853</v>
      </c>
      <c r="AC75" s="214">
        <f t="shared" si="11"/>
        <v>20382085</v>
      </c>
      <c r="AD75" s="214">
        <f t="shared" si="11"/>
        <v>21602301</v>
      </c>
      <c r="AE75" s="214">
        <f t="shared" si="11"/>
        <v>22122768</v>
      </c>
      <c r="AF75" s="214">
        <f t="shared" si="11"/>
        <v>22087393</v>
      </c>
      <c r="AG75" s="214">
        <f t="shared" si="11"/>
        <v>22855767</v>
      </c>
      <c r="AH75" s="214">
        <f t="shared" si="11"/>
        <v>23135595</v>
      </c>
      <c r="AI75" s="214">
        <f t="shared" si="11"/>
        <v>23114241</v>
      </c>
      <c r="AJ75" s="214">
        <f t="shared" si="11"/>
        <v>23054084</v>
      </c>
      <c r="AK75" s="214">
        <f t="shared" si="11"/>
        <v>29460766</v>
      </c>
      <c r="AL75" s="214">
        <f t="shared" si="11"/>
        <v>34120385</v>
      </c>
      <c r="AM75" s="214">
        <f t="shared" si="11"/>
        <v>41271711</v>
      </c>
      <c r="AN75" s="214">
        <f t="shared" si="11"/>
        <v>42347758</v>
      </c>
      <c r="AO75" s="214">
        <f>SUM(AO76:AO93)</f>
        <v>40799987</v>
      </c>
      <c r="AP75" s="214">
        <f>SUM(AP76:AP93)</f>
        <v>49950568</v>
      </c>
      <c r="AQ75" s="214">
        <f>SUM(AQ76:AQ93)</f>
        <v>57272289</v>
      </c>
      <c r="AR75" s="214">
        <f>SUM(AR76:AR93)</f>
        <v>56926546</v>
      </c>
      <c r="AS75" s="214">
        <f>SUM(AS76:AS93)</f>
        <v>55785073</v>
      </c>
      <c r="AT75" s="114"/>
    </row>
    <row r="76" spans="1:46" x14ac:dyDescent="0.35">
      <c r="A76" s="209" t="s">
        <v>348</v>
      </c>
      <c r="B76" s="210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>
        <v>178699</v>
      </c>
      <c r="AM76" s="211"/>
      <c r="AN76" s="211"/>
      <c r="AO76" s="211">
        <v>10381</v>
      </c>
      <c r="AP76" s="211">
        <v>330514</v>
      </c>
      <c r="AQ76" s="211">
        <v>367647</v>
      </c>
      <c r="AR76" s="211">
        <v>253447</v>
      </c>
      <c r="AS76" s="211">
        <v>223866</v>
      </c>
      <c r="AT76" s="114"/>
    </row>
    <row r="77" spans="1:46" x14ac:dyDescent="0.35">
      <c r="A77" s="209" t="s">
        <v>367</v>
      </c>
      <c r="B77" s="210"/>
      <c r="C77" s="211">
        <v>1955566</v>
      </c>
      <c r="D77" s="211">
        <v>2224087.4501700001</v>
      </c>
      <c r="E77" s="211">
        <v>2250948.1379300002</v>
      </c>
      <c r="F77" s="211">
        <v>2756344</v>
      </c>
      <c r="G77" s="211">
        <v>2580857</v>
      </c>
      <c r="H77" s="211">
        <v>2207948.6227299999</v>
      </c>
      <c r="I77" s="211">
        <v>2073186.0000000002</v>
      </c>
      <c r="J77" s="211">
        <v>2897754</v>
      </c>
      <c r="K77" s="211">
        <v>3515000</v>
      </c>
      <c r="L77" s="211">
        <v>2383000</v>
      </c>
      <c r="M77" s="211">
        <v>2472500</v>
      </c>
      <c r="N77" s="211">
        <v>2587000</v>
      </c>
      <c r="O77" s="211">
        <v>2481000</v>
      </c>
      <c r="P77" s="211">
        <v>2460817</v>
      </c>
      <c r="Q77" s="211">
        <v>2387520</v>
      </c>
      <c r="R77" s="211">
        <v>2217653</v>
      </c>
      <c r="S77" s="211">
        <v>2127559</v>
      </c>
      <c r="T77" s="211">
        <v>2244885</v>
      </c>
      <c r="U77" s="211">
        <v>2188779</v>
      </c>
      <c r="V77" s="211">
        <v>2978665</v>
      </c>
      <c r="W77" s="211">
        <v>3091474</v>
      </c>
      <c r="X77" s="211">
        <v>3451145</v>
      </c>
      <c r="Y77" s="211">
        <v>2980090</v>
      </c>
      <c r="Z77" s="211">
        <v>4561426</v>
      </c>
      <c r="AA77" s="211">
        <v>7783567</v>
      </c>
      <c r="AB77" s="211">
        <v>8793636</v>
      </c>
      <c r="AC77" s="211">
        <v>9034897</v>
      </c>
      <c r="AD77" s="211">
        <v>9362674</v>
      </c>
      <c r="AE77" s="211">
        <v>9737786</v>
      </c>
      <c r="AF77" s="211">
        <v>9916061</v>
      </c>
      <c r="AG77" s="211">
        <v>10206488</v>
      </c>
      <c r="AH77" s="211">
        <v>10558285</v>
      </c>
      <c r="AI77" s="211">
        <v>10287923</v>
      </c>
      <c r="AJ77" s="211">
        <v>9698825</v>
      </c>
      <c r="AK77" s="211">
        <v>11454837</v>
      </c>
      <c r="AL77" s="211">
        <v>12174889</v>
      </c>
      <c r="AM77" s="211">
        <v>15361893</v>
      </c>
      <c r="AN77" s="211">
        <v>15692437</v>
      </c>
      <c r="AO77" s="211">
        <v>15206741</v>
      </c>
      <c r="AP77" s="211">
        <v>17103172</v>
      </c>
      <c r="AQ77" s="211">
        <v>17088076</v>
      </c>
      <c r="AR77" s="211">
        <v>17649476</v>
      </c>
      <c r="AS77" s="211">
        <v>17607599</v>
      </c>
    </row>
    <row r="78" spans="1:46" x14ac:dyDescent="0.35">
      <c r="A78" s="209" t="s">
        <v>191</v>
      </c>
      <c r="B78" s="210"/>
      <c r="C78" s="211">
        <v>287473</v>
      </c>
      <c r="D78" s="211">
        <v>290038</v>
      </c>
      <c r="E78" s="211">
        <v>291044.25643000001</v>
      </c>
      <c r="F78" s="211">
        <v>294085</v>
      </c>
      <c r="G78" s="211">
        <v>298513</v>
      </c>
      <c r="H78" s="211">
        <v>302268.42418999999</v>
      </c>
      <c r="I78" s="211">
        <v>303827</v>
      </c>
      <c r="J78" s="211">
        <v>506423</v>
      </c>
      <c r="K78" s="211">
        <v>514000</v>
      </c>
      <c r="L78" s="211">
        <v>486000</v>
      </c>
      <c r="M78" s="211">
        <v>489000</v>
      </c>
      <c r="N78" s="211">
        <v>495000</v>
      </c>
      <c r="O78" s="211">
        <v>502000</v>
      </c>
      <c r="P78" s="211">
        <v>473007</v>
      </c>
      <c r="Q78" s="211">
        <v>577049</v>
      </c>
      <c r="R78" s="211">
        <v>1629727</v>
      </c>
      <c r="S78" s="211">
        <v>1640891</v>
      </c>
      <c r="T78" s="211">
        <v>1530397</v>
      </c>
      <c r="U78" s="211">
        <v>1553856</v>
      </c>
      <c r="V78" s="211">
        <v>2793186</v>
      </c>
      <c r="W78" s="211">
        <v>2808166</v>
      </c>
      <c r="X78" s="211">
        <v>3408576</v>
      </c>
      <c r="Y78" s="211">
        <v>3426579</v>
      </c>
      <c r="Z78" s="211">
        <v>4170885</v>
      </c>
      <c r="AA78" s="211">
        <v>4373674</v>
      </c>
      <c r="AB78" s="211">
        <v>5527073</v>
      </c>
      <c r="AC78" s="211">
        <v>5545922</v>
      </c>
      <c r="AD78" s="211">
        <v>5559184</v>
      </c>
      <c r="AE78" s="211">
        <v>4892169</v>
      </c>
      <c r="AF78" s="211">
        <v>4865379</v>
      </c>
      <c r="AG78" s="211">
        <v>4882355</v>
      </c>
      <c r="AH78" s="211">
        <v>4117327</v>
      </c>
      <c r="AI78" s="211">
        <v>4116306</v>
      </c>
      <c r="AJ78" s="211">
        <v>4645098</v>
      </c>
      <c r="AK78" s="211">
        <v>5692387</v>
      </c>
      <c r="AL78" s="211">
        <v>9640470</v>
      </c>
      <c r="AM78" s="211">
        <v>12820204</v>
      </c>
      <c r="AN78" s="211">
        <v>13318223</v>
      </c>
      <c r="AO78" s="211">
        <v>13055299</v>
      </c>
      <c r="AP78" s="211">
        <v>13271265</v>
      </c>
      <c r="AQ78" s="211">
        <v>20284600</v>
      </c>
      <c r="AR78" s="211">
        <v>19870117</v>
      </c>
      <c r="AS78" s="211">
        <v>19661161</v>
      </c>
    </row>
    <row r="79" spans="1:46" x14ac:dyDescent="0.35">
      <c r="A79" s="209" t="s">
        <v>352</v>
      </c>
      <c r="B79" s="210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>
        <v>195699</v>
      </c>
      <c r="AD79" s="211">
        <v>132374</v>
      </c>
      <c r="AE79" s="211">
        <v>102646</v>
      </c>
      <c r="AF79" s="211">
        <v>196923</v>
      </c>
      <c r="AG79" s="211">
        <v>478473</v>
      </c>
      <c r="AH79" s="211">
        <v>170307</v>
      </c>
      <c r="AI79" s="211">
        <v>329878</v>
      </c>
      <c r="AJ79" s="211">
        <v>277532</v>
      </c>
      <c r="AK79" s="211">
        <v>49614</v>
      </c>
      <c r="AL79" s="211">
        <v>36592</v>
      </c>
      <c r="AM79" s="211">
        <v>36972</v>
      </c>
      <c r="AN79" s="211">
        <v>296068</v>
      </c>
      <c r="AO79" s="211">
        <v>534266</v>
      </c>
      <c r="AP79" s="211">
        <v>690667</v>
      </c>
      <c r="AQ79" s="211">
        <v>765191</v>
      </c>
      <c r="AR79" s="211">
        <v>441384</v>
      </c>
      <c r="AS79" s="211">
        <v>422793</v>
      </c>
    </row>
    <row r="80" spans="1:46" x14ac:dyDescent="0.35">
      <c r="A80" s="209" t="s">
        <v>358</v>
      </c>
      <c r="B80" s="210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>
        <v>192812</v>
      </c>
      <c r="AF80" s="211">
        <v>198148</v>
      </c>
      <c r="AG80" s="211">
        <v>204208</v>
      </c>
      <c r="AH80" s="211">
        <v>220345</v>
      </c>
      <c r="AI80" s="211">
        <v>151537</v>
      </c>
      <c r="AJ80" s="211">
        <v>159980</v>
      </c>
      <c r="AK80" s="211">
        <v>206732</v>
      </c>
      <c r="AL80" s="211">
        <v>88336</v>
      </c>
      <c r="AM80" s="211">
        <v>77177</v>
      </c>
      <c r="AN80" s="211">
        <v>122663</v>
      </c>
      <c r="AO80" s="211">
        <v>135687</v>
      </c>
      <c r="AP80" s="211">
        <v>208546</v>
      </c>
      <c r="AQ80" s="211">
        <v>250785</v>
      </c>
      <c r="AR80" s="211">
        <v>270019</v>
      </c>
      <c r="AS80" s="211">
        <v>302281</v>
      </c>
    </row>
    <row r="81" spans="1:45" x14ac:dyDescent="0.35">
      <c r="A81" s="209" t="s">
        <v>353</v>
      </c>
      <c r="B81" s="210"/>
      <c r="C81" s="211">
        <v>416398</v>
      </c>
      <c r="D81" s="211">
        <v>389738</v>
      </c>
      <c r="E81" s="211">
        <v>356998.35730000003</v>
      </c>
      <c r="F81" s="211">
        <v>333813</v>
      </c>
      <c r="G81" s="211">
        <v>313898</v>
      </c>
      <c r="H81" s="211">
        <v>293598.63336000004</v>
      </c>
      <c r="I81" s="211">
        <v>228865</v>
      </c>
      <c r="J81" s="211">
        <v>108660.00000000001</v>
      </c>
      <c r="K81" s="211">
        <f>(71+44)*1000</f>
        <v>115000</v>
      </c>
      <c r="L81" s="211">
        <v>250000</v>
      </c>
      <c r="M81" s="211">
        <v>296000</v>
      </c>
      <c r="N81" s="211">
        <v>193000</v>
      </c>
      <c r="O81" s="211">
        <v>226000</v>
      </c>
      <c r="P81" s="211">
        <v>244102</v>
      </c>
      <c r="Q81" s="211">
        <v>259414</v>
      </c>
      <c r="R81" s="211">
        <v>275711</v>
      </c>
      <c r="S81" s="211">
        <v>265131</v>
      </c>
      <c r="T81" s="211">
        <v>315664</v>
      </c>
      <c r="U81" s="211">
        <v>38164</v>
      </c>
      <c r="V81" s="211">
        <v>38236</v>
      </c>
      <c r="W81" s="211">
        <v>38140</v>
      </c>
      <c r="X81" s="211">
        <v>291036</v>
      </c>
      <c r="Y81" s="211">
        <v>347004</v>
      </c>
      <c r="Z81" s="211">
        <v>1755157</v>
      </c>
      <c r="AA81" s="211">
        <v>2375857</v>
      </c>
      <c r="AB81" s="211">
        <v>2672811</v>
      </c>
      <c r="AC81" s="211">
        <v>3241910.0000000005</v>
      </c>
      <c r="AD81" s="211">
        <v>4107805</v>
      </c>
      <c r="AE81" s="211">
        <v>2766352.0000000005</v>
      </c>
      <c r="AF81" s="211">
        <v>2890675</v>
      </c>
      <c r="AG81" s="211">
        <v>3034637</v>
      </c>
      <c r="AH81" s="211">
        <v>234365</v>
      </c>
      <c r="AI81" s="211">
        <v>223427</v>
      </c>
      <c r="AJ81" s="211">
        <v>213804</v>
      </c>
      <c r="AK81" s="211">
        <v>2455969</v>
      </c>
      <c r="AL81" s="211">
        <v>2517663</v>
      </c>
      <c r="AM81" s="211">
        <v>2512361</v>
      </c>
      <c r="AN81" s="211">
        <v>2552281</v>
      </c>
      <c r="AO81" s="211">
        <v>2587795</v>
      </c>
      <c r="AP81" s="211">
        <v>2689205</v>
      </c>
      <c r="AQ81" s="211">
        <v>2733738</v>
      </c>
      <c r="AR81" s="211">
        <v>2759112</v>
      </c>
      <c r="AS81" s="211">
        <v>2884697</v>
      </c>
    </row>
    <row r="82" spans="1:45" x14ac:dyDescent="0.35">
      <c r="A82" s="209" t="s">
        <v>362</v>
      </c>
      <c r="B82" s="210"/>
      <c r="C82" s="211">
        <v>758804</v>
      </c>
      <c r="D82" s="211">
        <v>755517</v>
      </c>
      <c r="E82" s="211">
        <v>638086</v>
      </c>
      <c r="F82" s="211">
        <v>637524</v>
      </c>
      <c r="G82" s="211">
        <v>636712</v>
      </c>
      <c r="H82" s="211">
        <v>644082.87790999992</v>
      </c>
      <c r="I82" s="211">
        <v>576906</v>
      </c>
      <c r="J82" s="211">
        <v>546245</v>
      </c>
      <c r="K82" s="211">
        <v>558000</v>
      </c>
      <c r="L82" s="211">
        <v>558000</v>
      </c>
      <c r="M82" s="211">
        <v>464000</v>
      </c>
      <c r="N82" s="211">
        <v>470000</v>
      </c>
      <c r="O82" s="211">
        <v>421000</v>
      </c>
      <c r="P82" s="211">
        <v>424415</v>
      </c>
      <c r="Q82" s="211">
        <v>453046</v>
      </c>
      <c r="R82" s="211">
        <v>455527</v>
      </c>
      <c r="S82" s="211">
        <v>468185</v>
      </c>
      <c r="T82" s="211">
        <v>460436</v>
      </c>
      <c r="U82" s="211">
        <v>462517</v>
      </c>
      <c r="V82" s="211">
        <v>425089</v>
      </c>
      <c r="W82" s="211">
        <v>437426</v>
      </c>
      <c r="X82" s="211">
        <v>434247</v>
      </c>
      <c r="Y82" s="211">
        <v>436321</v>
      </c>
      <c r="Z82" s="211">
        <v>763046</v>
      </c>
      <c r="AA82" s="211">
        <v>860191</v>
      </c>
      <c r="AB82" s="211">
        <v>885698</v>
      </c>
      <c r="AC82" s="211">
        <v>897829</v>
      </c>
      <c r="AD82" s="211">
        <v>1037472</v>
      </c>
      <c r="AE82" s="211">
        <v>1023253</v>
      </c>
      <c r="AF82" s="211">
        <v>1025010</v>
      </c>
      <c r="AG82" s="211">
        <v>1022219</v>
      </c>
      <c r="AH82" s="211">
        <v>991184</v>
      </c>
      <c r="AI82" s="211">
        <v>989854</v>
      </c>
      <c r="AJ82" s="211">
        <v>993808</v>
      </c>
      <c r="AK82" s="211">
        <v>1789295</v>
      </c>
      <c r="AL82" s="211">
        <v>1608790</v>
      </c>
      <c r="AM82" s="211">
        <v>1613867</v>
      </c>
      <c r="AN82" s="211">
        <v>1611910</v>
      </c>
      <c r="AO82" s="211">
        <v>1535396</v>
      </c>
      <c r="AP82" s="211">
        <v>5337621</v>
      </c>
      <c r="AQ82" s="211">
        <v>5407751</v>
      </c>
      <c r="AR82" s="211">
        <v>5397558</v>
      </c>
      <c r="AS82" s="211">
        <v>5337173</v>
      </c>
    </row>
    <row r="83" spans="1:45" x14ac:dyDescent="0.35">
      <c r="A83" s="209" t="s">
        <v>361</v>
      </c>
      <c r="B83" s="210"/>
      <c r="C83" s="211">
        <v>410221</v>
      </c>
      <c r="D83" s="211">
        <v>406602</v>
      </c>
      <c r="E83" s="211">
        <v>408596</v>
      </c>
      <c r="F83" s="211">
        <v>332620</v>
      </c>
      <c r="G83" s="211">
        <v>310144</v>
      </c>
      <c r="H83" s="211">
        <v>291916</v>
      </c>
      <c r="I83" s="211">
        <v>270388</v>
      </c>
      <c r="J83" s="211">
        <v>256230.00000000003</v>
      </c>
      <c r="K83" s="211">
        <v>236000</v>
      </c>
      <c r="L83" s="211">
        <v>908000</v>
      </c>
      <c r="M83" s="211">
        <v>974000</v>
      </c>
      <c r="N83" s="211">
        <v>996000</v>
      </c>
      <c r="O83" s="211">
        <v>979000</v>
      </c>
      <c r="P83" s="211">
        <v>958578</v>
      </c>
      <c r="Q83" s="211">
        <v>963593</v>
      </c>
      <c r="R83" s="211">
        <v>912337</v>
      </c>
      <c r="S83" s="211">
        <v>921221</v>
      </c>
      <c r="T83" s="211">
        <v>939841</v>
      </c>
      <c r="U83" s="211">
        <v>947371</v>
      </c>
      <c r="V83" s="211">
        <v>965523</v>
      </c>
      <c r="W83" s="211">
        <v>785034</v>
      </c>
      <c r="X83" s="211">
        <v>810385</v>
      </c>
      <c r="Y83" s="211">
        <v>812987</v>
      </c>
      <c r="Z83" s="211">
        <v>814254</v>
      </c>
      <c r="AA83" s="211">
        <v>834797</v>
      </c>
      <c r="AB83" s="211">
        <v>854924</v>
      </c>
      <c r="AC83" s="211">
        <v>866691</v>
      </c>
      <c r="AD83" s="211">
        <v>849624</v>
      </c>
      <c r="AE83" s="211">
        <v>860377</v>
      </c>
      <c r="AF83" s="211">
        <v>872327</v>
      </c>
      <c r="AG83" s="211">
        <v>824697</v>
      </c>
      <c r="AH83" s="211">
        <v>930606</v>
      </c>
      <c r="AI83" s="211">
        <v>955938</v>
      </c>
      <c r="AJ83" s="211">
        <v>976355</v>
      </c>
      <c r="AK83" s="211">
        <v>876838</v>
      </c>
      <c r="AL83" s="211">
        <v>894782</v>
      </c>
      <c r="AM83" s="211">
        <v>905626</v>
      </c>
      <c r="AN83" s="211">
        <v>915335</v>
      </c>
      <c r="AO83" s="211">
        <v>913325</v>
      </c>
      <c r="AP83" s="211">
        <v>905743</v>
      </c>
      <c r="AQ83" s="211">
        <v>905155</v>
      </c>
      <c r="AR83" s="211">
        <v>893166</v>
      </c>
      <c r="AS83" s="211">
        <v>883608</v>
      </c>
    </row>
    <row r="84" spans="1:45" x14ac:dyDescent="0.35">
      <c r="A84" s="209" t="s">
        <v>338</v>
      </c>
      <c r="B84" s="210"/>
      <c r="C84" s="211">
        <v>33964</v>
      </c>
      <c r="D84" s="211">
        <v>33965</v>
      </c>
      <c r="E84" s="211">
        <v>33965</v>
      </c>
      <c r="F84" s="211">
        <v>25533</v>
      </c>
      <c r="G84" s="211">
        <v>25533</v>
      </c>
      <c r="H84" s="211">
        <v>25533</v>
      </c>
      <c r="I84" s="211">
        <v>25533</v>
      </c>
      <c r="J84" s="211">
        <v>49000</v>
      </c>
      <c r="K84" s="211">
        <v>48000</v>
      </c>
      <c r="L84" s="211">
        <v>48000</v>
      </c>
      <c r="M84" s="211">
        <v>48000</v>
      </c>
      <c r="N84" s="211">
        <v>37000</v>
      </c>
      <c r="O84" s="211">
        <v>37000</v>
      </c>
      <c r="P84" s="211">
        <v>32396</v>
      </c>
      <c r="Q84" s="211">
        <v>32396</v>
      </c>
      <c r="R84" s="211">
        <v>38412</v>
      </c>
      <c r="S84" s="211">
        <v>38412</v>
      </c>
      <c r="T84" s="211">
        <v>38412</v>
      </c>
      <c r="U84" s="211">
        <v>38412</v>
      </c>
      <c r="V84" s="211">
        <v>43216</v>
      </c>
      <c r="W84" s="211">
        <v>43216</v>
      </c>
      <c r="X84" s="211">
        <v>43216</v>
      </c>
      <c r="Y84" s="211">
        <v>43216</v>
      </c>
      <c r="Z84" s="211">
        <v>43740</v>
      </c>
      <c r="AA84" s="211">
        <v>77476</v>
      </c>
      <c r="AB84" s="211">
        <v>77473</v>
      </c>
      <c r="AC84" s="211">
        <v>77473</v>
      </c>
      <c r="AD84" s="211">
        <v>139562</v>
      </c>
      <c r="AE84" s="211">
        <v>139562</v>
      </c>
      <c r="AF84" s="211">
        <v>139562</v>
      </c>
      <c r="AG84" s="211">
        <v>139562</v>
      </c>
      <c r="AH84" s="211">
        <v>150598</v>
      </c>
      <c r="AI84" s="211">
        <v>162396</v>
      </c>
      <c r="AJ84" s="211">
        <v>162396</v>
      </c>
      <c r="AK84" s="211">
        <v>1163909</v>
      </c>
      <c r="AL84" s="211">
        <v>1081835</v>
      </c>
      <c r="AM84" s="211">
        <v>1103112</v>
      </c>
      <c r="AN84" s="211">
        <v>1130398</v>
      </c>
      <c r="AO84" s="211">
        <v>1149229</v>
      </c>
      <c r="AP84" s="211">
        <v>1112845</v>
      </c>
      <c r="AQ84" s="211">
        <v>1133672</v>
      </c>
      <c r="AR84" s="211">
        <v>1124262</v>
      </c>
      <c r="AS84" s="211">
        <v>1135017</v>
      </c>
    </row>
    <row r="85" spans="1:45" x14ac:dyDescent="0.35">
      <c r="A85" s="209" t="s">
        <v>368</v>
      </c>
      <c r="B85" s="210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>
        <v>258810.99999999997</v>
      </c>
      <c r="AF85" s="211">
        <v>257885</v>
      </c>
      <c r="AG85" s="211">
        <v>267016</v>
      </c>
      <c r="AH85" s="211">
        <v>266358</v>
      </c>
      <c r="AI85" s="211">
        <v>277007</v>
      </c>
      <c r="AJ85" s="211">
        <v>439053</v>
      </c>
      <c r="AK85" s="211"/>
      <c r="AL85" s="211"/>
      <c r="AM85" s="211"/>
      <c r="AN85" s="211"/>
      <c r="AO85" s="211"/>
      <c r="AP85" s="211"/>
      <c r="AQ85" s="211"/>
      <c r="AR85" s="211"/>
      <c r="AS85" s="211"/>
    </row>
    <row r="86" spans="1:45" x14ac:dyDescent="0.35">
      <c r="A86" s="209" t="s">
        <v>337</v>
      </c>
      <c r="B86" s="210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>
        <v>1915750</v>
      </c>
      <c r="AI86" s="211">
        <v>2006608</v>
      </c>
      <c r="AJ86" s="211">
        <v>1984664</v>
      </c>
      <c r="AK86" s="211">
        <v>2081084</v>
      </c>
      <c r="AL86" s="211">
        <v>2366195</v>
      </c>
      <c r="AM86" s="211">
        <v>2579799</v>
      </c>
      <c r="AN86" s="211">
        <v>2474274</v>
      </c>
      <c r="AO86" s="211">
        <v>2450077</v>
      </c>
      <c r="AP86" s="211">
        <v>2493928</v>
      </c>
      <c r="AQ86" s="211">
        <v>2421364</v>
      </c>
      <c r="AR86" s="211">
        <v>2411959</v>
      </c>
      <c r="AS86" s="211">
        <v>2524950</v>
      </c>
    </row>
    <row r="87" spans="1:45" x14ac:dyDescent="0.35">
      <c r="A87" s="209" t="s">
        <v>360</v>
      </c>
      <c r="B87" s="210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>
        <v>984845</v>
      </c>
      <c r="AI87" s="211">
        <v>1008934</v>
      </c>
      <c r="AJ87" s="211">
        <v>1032731</v>
      </c>
      <c r="AK87" s="211">
        <v>1053758</v>
      </c>
      <c r="AL87" s="211">
        <v>1084678</v>
      </c>
      <c r="AM87" s="211">
        <v>1110889</v>
      </c>
      <c r="AN87" s="211">
        <v>997297</v>
      </c>
      <c r="AO87" s="211">
        <v>1095244</v>
      </c>
      <c r="AP87" s="211">
        <v>1117292</v>
      </c>
      <c r="AQ87" s="211">
        <v>1149542</v>
      </c>
      <c r="AR87" s="211">
        <v>1168169</v>
      </c>
      <c r="AS87" s="211">
        <v>1197097</v>
      </c>
    </row>
    <row r="88" spans="1:45" x14ac:dyDescent="0.35">
      <c r="A88" s="209" t="s">
        <v>363</v>
      </c>
      <c r="B88" s="210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>
        <v>1751622</v>
      </c>
      <c r="AF88" s="211">
        <v>1321944</v>
      </c>
      <c r="AG88" s="211">
        <v>1410247</v>
      </c>
      <c r="AH88" s="211">
        <v>2321392</v>
      </c>
      <c r="AI88" s="211">
        <v>2327176</v>
      </c>
      <c r="AJ88" s="211">
        <v>2187405</v>
      </c>
      <c r="AK88" s="211">
        <v>2243456</v>
      </c>
      <c r="AL88" s="211">
        <v>2057700</v>
      </c>
      <c r="AM88" s="211">
        <v>2103294</v>
      </c>
      <c r="AN88" s="211">
        <v>2308318</v>
      </c>
      <c r="AO88" s="211">
        <v>1257773</v>
      </c>
      <c r="AP88" s="211">
        <v>3717709</v>
      </c>
      <c r="AQ88" s="211">
        <v>3693783</v>
      </c>
      <c r="AR88" s="211">
        <v>3301058</v>
      </c>
      <c r="AS88" s="211">
        <v>2402532</v>
      </c>
    </row>
    <row r="89" spans="1:45" x14ac:dyDescent="0.35">
      <c r="A89" s="209" t="s">
        <v>369</v>
      </c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>
        <v>0</v>
      </c>
      <c r="AM89" s="211"/>
      <c r="AN89" s="211"/>
      <c r="AO89" s="211">
        <v>0</v>
      </c>
      <c r="AP89" s="211"/>
      <c r="AQ89" s="211"/>
      <c r="AR89" s="211"/>
      <c r="AS89" s="211"/>
    </row>
    <row r="90" spans="1:45" x14ac:dyDescent="0.35">
      <c r="A90" s="209" t="s">
        <v>325</v>
      </c>
      <c r="B90" s="210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>
        <v>46767</v>
      </c>
      <c r="AM90" s="211"/>
      <c r="AN90" s="211"/>
      <c r="AO90" s="211">
        <v>239745</v>
      </c>
      <c r="AP90" s="211">
        <v>282486</v>
      </c>
      <c r="AQ90" s="211">
        <v>369881</v>
      </c>
      <c r="AR90" s="211">
        <v>514111</v>
      </c>
      <c r="AS90" s="211">
        <v>369780</v>
      </c>
    </row>
    <row r="91" spans="1:45" x14ac:dyDescent="0.35">
      <c r="A91" s="209" t="s">
        <v>365</v>
      </c>
      <c r="B91" s="210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>
        <v>130186</v>
      </c>
      <c r="AS91" s="211">
        <v>99472</v>
      </c>
    </row>
    <row r="92" spans="1:45" x14ac:dyDescent="0.35">
      <c r="A92" s="209" t="s">
        <v>366</v>
      </c>
      <c r="B92" s="210"/>
      <c r="C92" s="211">
        <v>260731</v>
      </c>
      <c r="D92" s="211">
        <v>254714</v>
      </c>
      <c r="E92" s="211">
        <v>243334</v>
      </c>
      <c r="F92" s="211">
        <v>187002</v>
      </c>
      <c r="G92" s="211">
        <v>209501</v>
      </c>
      <c r="H92" s="211">
        <v>241037</v>
      </c>
      <c r="I92" s="211">
        <v>271656</v>
      </c>
      <c r="J92" s="211">
        <v>307417</v>
      </c>
      <c r="K92" s="211">
        <v>321400</v>
      </c>
      <c r="L92" s="211">
        <v>335000</v>
      </c>
      <c r="M92" s="211">
        <v>370500</v>
      </c>
      <c r="N92" s="211">
        <v>447400</v>
      </c>
      <c r="O92" s="211">
        <v>509500</v>
      </c>
      <c r="P92" s="211">
        <v>629431</v>
      </c>
      <c r="Q92" s="211">
        <v>536367</v>
      </c>
      <c r="R92" s="211">
        <v>402162</v>
      </c>
      <c r="S92" s="211">
        <v>611479</v>
      </c>
      <c r="T92" s="211">
        <v>546036</v>
      </c>
      <c r="U92" s="211">
        <v>529584</v>
      </c>
      <c r="V92" s="211">
        <v>422086</v>
      </c>
      <c r="W92" s="211">
        <v>447883</v>
      </c>
      <c r="X92" s="211">
        <v>226625</v>
      </c>
      <c r="Y92" s="211">
        <v>247779</v>
      </c>
      <c r="Z92" s="211">
        <v>402233</v>
      </c>
      <c r="AA92" s="211">
        <v>426691</v>
      </c>
      <c r="AB92" s="211">
        <v>461238</v>
      </c>
      <c r="AC92" s="211">
        <v>521664</v>
      </c>
      <c r="AD92" s="211">
        <f>387168+7094</f>
        <v>394262</v>
      </c>
      <c r="AE92" s="211">
        <v>375355</v>
      </c>
      <c r="AF92" s="211">
        <v>381185</v>
      </c>
      <c r="AG92" s="211">
        <v>367156</v>
      </c>
      <c r="AH92" s="211">
        <v>256517</v>
      </c>
      <c r="AI92" s="211">
        <v>260593</v>
      </c>
      <c r="AJ92" s="211">
        <v>266286</v>
      </c>
      <c r="AK92" s="211">
        <v>333002</v>
      </c>
      <c r="AL92" s="211">
        <v>311254</v>
      </c>
      <c r="AM92" s="211">
        <v>960339</v>
      </c>
      <c r="AN92" s="211">
        <v>846400</v>
      </c>
      <c r="AO92" s="211">
        <v>549952</v>
      </c>
      <c r="AP92" s="211">
        <v>599343</v>
      </c>
      <c r="AQ92" s="211">
        <v>615749</v>
      </c>
      <c r="AR92" s="211">
        <v>661315</v>
      </c>
      <c r="AS92" s="211">
        <v>651883</v>
      </c>
    </row>
    <row r="93" spans="1:45" ht="15" thickBot="1" x14ac:dyDescent="0.4">
      <c r="A93" s="209" t="s">
        <v>364</v>
      </c>
      <c r="B93" s="210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>
        <v>19344</v>
      </c>
      <c r="AE93" s="211">
        <v>22023</v>
      </c>
      <c r="AF93" s="211">
        <v>22294</v>
      </c>
      <c r="AG93" s="211">
        <v>18709</v>
      </c>
      <c r="AH93" s="211">
        <v>17716</v>
      </c>
      <c r="AI93" s="211">
        <v>16664</v>
      </c>
      <c r="AJ93" s="211">
        <v>16147</v>
      </c>
      <c r="AK93" s="211">
        <v>59885</v>
      </c>
      <c r="AL93" s="211">
        <v>31735</v>
      </c>
      <c r="AM93" s="211">
        <v>86178</v>
      </c>
      <c r="AN93" s="211">
        <v>82154</v>
      </c>
      <c r="AO93" s="211">
        <v>79077</v>
      </c>
      <c r="AP93" s="211">
        <v>90232</v>
      </c>
      <c r="AQ93" s="211">
        <v>85355</v>
      </c>
      <c r="AR93" s="211">
        <v>81207</v>
      </c>
      <c r="AS93" s="211">
        <v>81164</v>
      </c>
    </row>
    <row r="94" spans="1:45" ht="15" thickBot="1" x14ac:dyDescent="0.4">
      <c r="A94" s="222" t="s">
        <v>370</v>
      </c>
      <c r="B94" s="206"/>
      <c r="C94" s="214">
        <v>341274</v>
      </c>
      <c r="D94" s="214">
        <v>468797.69704999897</v>
      </c>
      <c r="E94" s="214">
        <v>480829.57929000002</v>
      </c>
      <c r="F94" s="214">
        <v>493473.65370999998</v>
      </c>
      <c r="G94" s="214">
        <v>508947</v>
      </c>
      <c r="H94" s="214">
        <v>495538.39843</v>
      </c>
      <c r="I94" s="214">
        <v>540568</v>
      </c>
      <c r="J94" s="214">
        <v>609158</v>
      </c>
      <c r="K94" s="214">
        <v>631000</v>
      </c>
      <c r="L94" s="214">
        <v>700000</v>
      </c>
      <c r="M94" s="214">
        <v>730000</v>
      </c>
      <c r="N94" s="214">
        <v>750000</v>
      </c>
      <c r="O94" s="214">
        <v>779000</v>
      </c>
      <c r="P94" s="214">
        <v>788084</v>
      </c>
      <c r="Q94" s="214">
        <v>836779</v>
      </c>
      <c r="R94" s="214">
        <v>847688</v>
      </c>
      <c r="S94" s="214">
        <v>857914</v>
      </c>
      <c r="T94" s="214">
        <v>854103</v>
      </c>
      <c r="U94" s="214">
        <v>928249</v>
      </c>
      <c r="V94" s="214">
        <v>962019</v>
      </c>
      <c r="W94" s="214">
        <v>988688</v>
      </c>
      <c r="X94" s="214">
        <v>968869</v>
      </c>
      <c r="Y94" s="214">
        <v>1030915.9999999999</v>
      </c>
      <c r="Z94" s="214">
        <v>956839</v>
      </c>
      <c r="AA94" s="214">
        <v>1019944</v>
      </c>
      <c r="AB94" s="214">
        <v>1005752</v>
      </c>
      <c r="AC94" s="214">
        <v>1073431</v>
      </c>
      <c r="AD94" s="214">
        <v>1662495</v>
      </c>
      <c r="AE94" s="214">
        <v>1737162</v>
      </c>
      <c r="AF94" s="214">
        <v>1775283</v>
      </c>
      <c r="AG94" s="214">
        <v>1892673</v>
      </c>
      <c r="AH94" s="214">
        <v>1816097</v>
      </c>
      <c r="AI94" s="214">
        <v>1910945</v>
      </c>
      <c r="AJ94" s="214">
        <v>1951547</v>
      </c>
      <c r="AK94" s="214">
        <v>1945793.7750300001</v>
      </c>
      <c r="AL94" s="214">
        <v>1848111</v>
      </c>
      <c r="AM94" s="214">
        <v>1939284.2124271924</v>
      </c>
      <c r="AN94" s="214">
        <v>1926307.8941017031</v>
      </c>
      <c r="AO94" s="214">
        <v>2000673</v>
      </c>
      <c r="AP94" s="214">
        <v>1952627</v>
      </c>
      <c r="AQ94" s="214">
        <v>3106423</v>
      </c>
      <c r="AR94" s="214">
        <v>3242376</v>
      </c>
      <c r="AS94" s="214">
        <v>3350862</v>
      </c>
    </row>
    <row r="95" spans="1:45" ht="15" thickBot="1" x14ac:dyDescent="0.4">
      <c r="A95" s="213" t="s">
        <v>371</v>
      </c>
      <c r="B95" s="206"/>
      <c r="C95" s="214">
        <f t="shared" ref="C95:M95" si="12">SUM(C96:C100)</f>
        <v>2381916</v>
      </c>
      <c r="D95" s="214">
        <f t="shared" si="12"/>
        <v>2196114.0274999999</v>
      </c>
      <c r="E95" s="214">
        <f t="shared" si="12"/>
        <v>2400375.2762099998</v>
      </c>
      <c r="F95" s="214">
        <f t="shared" si="12"/>
        <v>2354171.9656600002</v>
      </c>
      <c r="G95" s="214">
        <f t="shared" si="12"/>
        <v>2369380.4613600001</v>
      </c>
      <c r="H95" s="214">
        <f t="shared" si="12"/>
        <v>2183114.4080699999</v>
      </c>
      <c r="I95" s="214">
        <f t="shared" si="12"/>
        <v>2471449.1239100001</v>
      </c>
      <c r="J95" s="214">
        <f t="shared" si="12"/>
        <v>2836366</v>
      </c>
      <c r="K95" s="214">
        <f t="shared" si="12"/>
        <v>2932400</v>
      </c>
      <c r="L95" s="214">
        <f t="shared" si="12"/>
        <v>3439000</v>
      </c>
      <c r="M95" s="214">
        <f t="shared" si="12"/>
        <v>3515000</v>
      </c>
      <c r="N95" s="214">
        <f>SUM(N96:N100)</f>
        <v>3479000</v>
      </c>
      <c r="O95" s="214">
        <f t="shared" ref="O95:Z95" si="13">SUM(O96:O100)</f>
        <v>3621000</v>
      </c>
      <c r="P95" s="214">
        <f t="shared" si="13"/>
        <v>3804796</v>
      </c>
      <c r="Q95" s="214">
        <f t="shared" si="13"/>
        <v>3995611</v>
      </c>
      <c r="R95" s="214">
        <f t="shared" si="13"/>
        <v>4023998</v>
      </c>
      <c r="S95" s="214">
        <f t="shared" si="13"/>
        <v>4075994</v>
      </c>
      <c r="T95" s="214">
        <f t="shared" si="13"/>
        <v>4205356</v>
      </c>
      <c r="U95" s="214">
        <f t="shared" si="13"/>
        <v>4517000</v>
      </c>
      <c r="V95" s="214">
        <f t="shared" si="13"/>
        <v>4786085</v>
      </c>
      <c r="W95" s="214">
        <f t="shared" si="13"/>
        <v>4851393</v>
      </c>
      <c r="X95" s="214">
        <f t="shared" si="13"/>
        <v>4973696</v>
      </c>
      <c r="Y95" s="214">
        <f t="shared" si="13"/>
        <v>5221894</v>
      </c>
      <c r="Z95" s="214">
        <f t="shared" si="13"/>
        <v>5596032</v>
      </c>
      <c r="AA95" s="214">
        <f t="shared" ref="AA95:AS95" si="14">SUM(AA96:AA103)</f>
        <v>5715464</v>
      </c>
      <c r="AB95" s="214">
        <f t="shared" si="14"/>
        <v>6085700</v>
      </c>
      <c r="AC95" s="214">
        <f t="shared" si="14"/>
        <v>6635795</v>
      </c>
      <c r="AD95" s="214">
        <f t="shared" si="14"/>
        <v>8110877</v>
      </c>
      <c r="AE95" s="214">
        <f t="shared" si="14"/>
        <v>8573097</v>
      </c>
      <c r="AF95" s="214">
        <f t="shared" si="14"/>
        <v>8983155</v>
      </c>
      <c r="AG95" s="214">
        <f t="shared" si="14"/>
        <v>9718557</v>
      </c>
      <c r="AH95" s="214">
        <f t="shared" si="14"/>
        <v>10462390</v>
      </c>
      <c r="AI95" s="214">
        <f t="shared" si="14"/>
        <v>10179556</v>
      </c>
      <c r="AJ95" s="214">
        <f t="shared" si="14"/>
        <v>10569520</v>
      </c>
      <c r="AK95" s="214">
        <f t="shared" si="14"/>
        <v>11941123</v>
      </c>
      <c r="AL95" s="214">
        <f t="shared" si="14"/>
        <v>12756361</v>
      </c>
      <c r="AM95" s="214">
        <f t="shared" si="14"/>
        <v>16081201</v>
      </c>
      <c r="AN95" s="214">
        <f t="shared" si="14"/>
        <v>15801255</v>
      </c>
      <c r="AO95" s="214">
        <f t="shared" si="14"/>
        <v>16283130</v>
      </c>
      <c r="AP95" s="214">
        <f t="shared" si="14"/>
        <v>16614353</v>
      </c>
      <c r="AQ95" s="214">
        <f t="shared" si="14"/>
        <v>17760900</v>
      </c>
      <c r="AR95" s="214">
        <f t="shared" si="14"/>
        <v>18590449</v>
      </c>
      <c r="AS95" s="214">
        <f t="shared" si="14"/>
        <v>19573928</v>
      </c>
    </row>
    <row r="96" spans="1:45" x14ac:dyDescent="0.35">
      <c r="A96" s="209" t="s">
        <v>372</v>
      </c>
      <c r="B96" s="210"/>
      <c r="C96" s="211">
        <v>1977276</v>
      </c>
      <c r="D96" s="211">
        <v>1977276</v>
      </c>
      <c r="E96" s="211">
        <v>1977276</v>
      </c>
      <c r="F96" s="211">
        <v>1977276.4613600001</v>
      </c>
      <c r="G96" s="211">
        <v>1977276.4613600001</v>
      </c>
      <c r="H96" s="211">
        <v>1977276.4613600001</v>
      </c>
      <c r="I96" s="211">
        <v>1977276</v>
      </c>
      <c r="J96" s="211">
        <v>1977276</v>
      </c>
      <c r="K96" s="211">
        <v>1977000</v>
      </c>
      <c r="L96" s="211">
        <v>1977000</v>
      </c>
      <c r="M96" s="211">
        <v>1979000</v>
      </c>
      <c r="N96" s="211">
        <v>1980000</v>
      </c>
      <c r="O96" s="211">
        <v>1980000</v>
      </c>
      <c r="P96" s="211">
        <v>1981985</v>
      </c>
      <c r="Q96" s="211">
        <v>1981985</v>
      </c>
      <c r="R96" s="211">
        <v>1981985</v>
      </c>
      <c r="S96" s="211">
        <v>1981985</v>
      </c>
      <c r="T96" s="211">
        <v>2227021</v>
      </c>
      <c r="U96" s="211">
        <v>2227021</v>
      </c>
      <c r="V96" s="211">
        <v>2227021</v>
      </c>
      <c r="W96" s="211">
        <v>2227021</v>
      </c>
      <c r="X96" s="211">
        <v>2227491</v>
      </c>
      <c r="Y96" s="211">
        <v>2375354</v>
      </c>
      <c r="Z96" s="211">
        <v>2375354</v>
      </c>
      <c r="AA96" s="211">
        <v>2394929</v>
      </c>
      <c r="AB96" s="211">
        <v>2735580</v>
      </c>
      <c r="AC96" s="211">
        <v>2739133</v>
      </c>
      <c r="AD96" s="211">
        <v>2741931</v>
      </c>
      <c r="AE96" s="211">
        <v>2741931</v>
      </c>
      <c r="AF96" s="211">
        <v>2742270</v>
      </c>
      <c r="AG96" s="211">
        <v>3489736</v>
      </c>
      <c r="AH96" s="211">
        <v>3489736</v>
      </c>
      <c r="AI96" s="211">
        <v>3489736</v>
      </c>
      <c r="AJ96" s="211">
        <v>4655287</v>
      </c>
      <c r="AK96" s="211">
        <v>4655287</v>
      </c>
      <c r="AL96" s="211">
        <v>4655287</v>
      </c>
      <c r="AM96" s="211">
        <v>7437570</v>
      </c>
      <c r="AN96" s="211">
        <v>8872296</v>
      </c>
      <c r="AO96" s="211">
        <v>8872296</v>
      </c>
      <c r="AP96" s="211">
        <v>8872296</v>
      </c>
      <c r="AQ96" s="211">
        <v>8879443</v>
      </c>
      <c r="AR96" s="211">
        <v>8890946</v>
      </c>
      <c r="AS96" s="211">
        <v>9276102</v>
      </c>
    </row>
    <row r="97" spans="1:45" x14ac:dyDescent="0.35">
      <c r="A97" s="209" t="s">
        <v>373</v>
      </c>
      <c r="B97" s="210"/>
      <c r="C97" s="211">
        <v>-27083</v>
      </c>
      <c r="D97" s="211">
        <v>-22262</v>
      </c>
      <c r="E97" s="211">
        <v>-22262</v>
      </c>
      <c r="F97" s="211">
        <v>-22262.789120000001</v>
      </c>
      <c r="G97" s="211">
        <v>-22262</v>
      </c>
      <c r="H97" s="211">
        <v>-22263</v>
      </c>
      <c r="I97" s="211">
        <v>-22263</v>
      </c>
      <c r="J97" s="211">
        <v>-22263</v>
      </c>
      <c r="K97" s="211">
        <v>-22000</v>
      </c>
      <c r="L97" s="211">
        <v>-22000</v>
      </c>
      <c r="M97" s="211">
        <v>-22000</v>
      </c>
      <c r="N97" s="211">
        <v>-22000</v>
      </c>
      <c r="O97" s="211">
        <v>-22000</v>
      </c>
      <c r="P97" s="211">
        <v>-22263</v>
      </c>
      <c r="Q97" s="211">
        <v>-22262</v>
      </c>
      <c r="R97" s="211">
        <v>-22262</v>
      </c>
      <c r="S97" s="211">
        <v>-22262</v>
      </c>
      <c r="T97" s="211">
        <v>-22262</v>
      </c>
      <c r="U97" s="211">
        <v>-22262</v>
      </c>
      <c r="V97" s="211">
        <v>-22262</v>
      </c>
      <c r="W97" s="211">
        <v>-22262</v>
      </c>
      <c r="X97" s="211">
        <v>-22262</v>
      </c>
      <c r="Y97" s="211">
        <v>-22262</v>
      </c>
      <c r="Z97" s="211">
        <v>-22262</v>
      </c>
      <c r="AA97" s="211">
        <v>-22262</v>
      </c>
      <c r="AB97" s="211">
        <v>-22262</v>
      </c>
      <c r="AC97" s="211">
        <v>-22262</v>
      </c>
      <c r="AD97" s="211">
        <v>529933</v>
      </c>
      <c r="AE97" s="211">
        <v>-145494</v>
      </c>
      <c r="AF97" s="211">
        <v>-154352</v>
      </c>
      <c r="AG97" s="211">
        <v>-160445</v>
      </c>
      <c r="AH97" s="211">
        <v>-252843</v>
      </c>
      <c r="AI97" s="211">
        <v>-295828</v>
      </c>
      <c r="AJ97" s="211">
        <v>-264023</v>
      </c>
      <c r="AK97" s="211">
        <v>-300485</v>
      </c>
      <c r="AL97" s="211">
        <v>-272001</v>
      </c>
      <c r="AM97" s="211"/>
      <c r="AN97" s="211"/>
      <c r="AO97" s="211">
        <v>-411971</v>
      </c>
      <c r="AP97" s="211">
        <v>-55699</v>
      </c>
      <c r="AQ97" s="211">
        <v>-146291</v>
      </c>
      <c r="AR97" s="211">
        <v>-215008</v>
      </c>
      <c r="AS97" s="211">
        <v>6265</v>
      </c>
    </row>
    <row r="98" spans="1:45" x14ac:dyDescent="0.35">
      <c r="A98" s="209" t="s">
        <v>374</v>
      </c>
      <c r="B98" s="210"/>
      <c r="C98" s="211">
        <v>457706</v>
      </c>
      <c r="D98" s="211">
        <v>311412</v>
      </c>
      <c r="E98" s="211">
        <v>311412</v>
      </c>
      <c r="F98" s="211">
        <v>497299</v>
      </c>
      <c r="G98" s="211">
        <v>498543</v>
      </c>
      <c r="H98" s="211">
        <v>496984</v>
      </c>
      <c r="I98" s="211">
        <v>502339</v>
      </c>
      <c r="J98" s="211">
        <v>894428</v>
      </c>
      <c r="K98" s="211">
        <v>904400</v>
      </c>
      <c r="L98" s="211">
        <v>911000</v>
      </c>
      <c r="M98" s="211">
        <v>913000</v>
      </c>
      <c r="N98" s="211">
        <v>1517000</v>
      </c>
      <c r="O98" s="211">
        <v>1520000</v>
      </c>
      <c r="P98" s="211">
        <v>1523436</v>
      </c>
      <c r="Q98" s="211">
        <v>1525528</v>
      </c>
      <c r="R98" s="211">
        <v>2064804</v>
      </c>
      <c r="S98" s="211">
        <v>2067400</v>
      </c>
      <c r="T98" s="211">
        <v>1824556</v>
      </c>
      <c r="U98" s="211">
        <v>1824518</v>
      </c>
      <c r="V98" s="211">
        <v>2583952</v>
      </c>
      <c r="W98" s="211">
        <v>2584679</v>
      </c>
      <c r="X98" s="211">
        <v>2585413</v>
      </c>
      <c r="Y98" s="211">
        <v>2437719</v>
      </c>
      <c r="Z98" s="211">
        <v>3270994</v>
      </c>
      <c r="AA98" s="211">
        <v>3270994</v>
      </c>
      <c r="AB98" s="211">
        <v>2849563</v>
      </c>
      <c r="AC98" s="211">
        <v>2849562</v>
      </c>
      <c r="AD98" s="211">
        <v>4993924</v>
      </c>
      <c r="AE98" s="211">
        <v>5536702.9999999991</v>
      </c>
      <c r="AF98" s="211">
        <v>5549549</v>
      </c>
      <c r="AG98" s="211">
        <v>4815621</v>
      </c>
      <c r="AH98" s="211">
        <v>7257231</v>
      </c>
      <c r="AI98" s="211">
        <v>7264427</v>
      </c>
      <c r="AJ98" s="211">
        <v>5947305</v>
      </c>
      <c r="AK98" s="211">
        <v>5955694</v>
      </c>
      <c r="AL98" s="211">
        <v>155745</v>
      </c>
      <c r="AM98" s="211">
        <v>9021765</v>
      </c>
      <c r="AN98" s="211">
        <v>7538567</v>
      </c>
      <c r="AO98" s="211">
        <v>181343</v>
      </c>
      <c r="AP98" s="211">
        <v>187518</v>
      </c>
      <c r="AQ98" s="211">
        <v>1260971</v>
      </c>
      <c r="AR98" s="211">
        <v>1266429</v>
      </c>
      <c r="AS98" s="211">
        <v>1278937</v>
      </c>
    </row>
    <row r="99" spans="1:45" x14ac:dyDescent="0.35">
      <c r="A99" s="209" t="s">
        <v>375</v>
      </c>
      <c r="B99" s="210"/>
      <c r="C99" s="211">
        <v>-1390</v>
      </c>
      <c r="D99" s="211">
        <v>-1390</v>
      </c>
      <c r="E99" s="211">
        <v>-1390</v>
      </c>
      <c r="F99" s="211">
        <v>-1389.38851</v>
      </c>
      <c r="G99" s="211">
        <v>-2633</v>
      </c>
      <c r="H99" s="211">
        <v>-2633</v>
      </c>
      <c r="I99" s="211">
        <v>-2633</v>
      </c>
      <c r="J99" s="211">
        <v>-13075</v>
      </c>
      <c r="K99" s="211">
        <v>-12000</v>
      </c>
      <c r="L99" s="211">
        <v>-12000</v>
      </c>
      <c r="M99" s="211">
        <v>-12000</v>
      </c>
      <c r="N99" s="211">
        <v>4000</v>
      </c>
      <c r="O99" s="211">
        <v>4000</v>
      </c>
      <c r="P99" s="211">
        <v>4050</v>
      </c>
      <c r="Q99" s="211">
        <v>4050</v>
      </c>
      <c r="R99" s="211">
        <v>-529</v>
      </c>
      <c r="S99" s="211">
        <v>-529</v>
      </c>
      <c r="T99" s="211">
        <v>-529</v>
      </c>
      <c r="U99" s="211">
        <v>-529</v>
      </c>
      <c r="V99" s="211">
        <v>-2626</v>
      </c>
      <c r="W99" s="211">
        <v>-2626</v>
      </c>
      <c r="X99" s="211">
        <v>-2626</v>
      </c>
      <c r="Y99" s="211">
        <v>-2626</v>
      </c>
      <c r="Z99" s="211">
        <v>-28054</v>
      </c>
      <c r="AA99" s="211">
        <v>-140977</v>
      </c>
      <c r="AB99" s="211">
        <v>-32034.999999999996</v>
      </c>
      <c r="AC99" s="211">
        <v>-34037</v>
      </c>
      <c r="AD99" s="211">
        <v>-22262</v>
      </c>
      <c r="AE99" s="211">
        <v>0</v>
      </c>
      <c r="AF99" s="211"/>
      <c r="AG99" s="211"/>
      <c r="AH99" s="211"/>
      <c r="AI99" s="211"/>
      <c r="AJ99" s="211"/>
      <c r="AK99" s="211"/>
      <c r="AL99" s="211"/>
      <c r="AM99" s="211">
        <v>-315485</v>
      </c>
      <c r="AN99" s="211">
        <v>-376656</v>
      </c>
      <c r="AO99" s="211"/>
      <c r="AP99" s="211"/>
      <c r="AQ99" s="211"/>
      <c r="AR99" s="211"/>
      <c r="AS99" s="211"/>
    </row>
    <row r="100" spans="1:45" x14ac:dyDescent="0.35">
      <c r="A100" s="209" t="s">
        <v>376</v>
      </c>
      <c r="B100" s="210"/>
      <c r="C100" s="211">
        <v>-24593</v>
      </c>
      <c r="D100" s="211">
        <v>-68921.972500000091</v>
      </c>
      <c r="E100" s="211">
        <v>135339.27621000001</v>
      </c>
      <c r="F100" s="211">
        <v>-96751.318069999994</v>
      </c>
      <c r="G100" s="211">
        <v>-81544</v>
      </c>
      <c r="H100" s="211">
        <v>-266250.05329000001</v>
      </c>
      <c r="I100" s="211">
        <v>16730.123909999998</v>
      </c>
      <c r="J100" s="211">
        <v>0</v>
      </c>
      <c r="K100" s="211">
        <v>85000</v>
      </c>
      <c r="L100" s="211">
        <v>585000</v>
      </c>
      <c r="M100" s="211">
        <v>657000</v>
      </c>
      <c r="N100" s="211">
        <v>0</v>
      </c>
      <c r="O100" s="211">
        <v>139000</v>
      </c>
      <c r="P100" s="211">
        <v>317588</v>
      </c>
      <c r="Q100" s="211">
        <v>506310</v>
      </c>
      <c r="R100" s="211">
        <v>0</v>
      </c>
      <c r="S100" s="211">
        <v>49400</v>
      </c>
      <c r="T100" s="211">
        <v>176570</v>
      </c>
      <c r="U100" s="211">
        <v>488252</v>
      </c>
      <c r="V100" s="211">
        <v>0</v>
      </c>
      <c r="W100" s="211">
        <v>64581</v>
      </c>
      <c r="X100" s="211">
        <v>185680</v>
      </c>
      <c r="Y100" s="211">
        <v>433709</v>
      </c>
      <c r="Z100" s="211"/>
      <c r="AA100" s="211">
        <v>212780</v>
      </c>
      <c r="AB100" s="211">
        <v>554854</v>
      </c>
      <c r="AC100" s="211">
        <v>1103399</v>
      </c>
      <c r="AD100" s="211">
        <v>-132649</v>
      </c>
      <c r="AE100" s="211">
        <v>439957</v>
      </c>
      <c r="AF100" s="211">
        <v>845688</v>
      </c>
      <c r="AG100" s="211">
        <v>1573645</v>
      </c>
      <c r="AH100" s="211"/>
      <c r="AI100" s="211">
        <v>353226</v>
      </c>
      <c r="AJ100" s="211">
        <v>862956</v>
      </c>
      <c r="AK100" s="211">
        <v>2273352</v>
      </c>
      <c r="AL100" s="211">
        <v>8860055</v>
      </c>
      <c r="AM100" s="211">
        <v>580076</v>
      </c>
      <c r="AN100" s="211">
        <v>409773</v>
      </c>
      <c r="AO100" s="211">
        <v>7370153</v>
      </c>
      <c r="AP100" s="211">
        <v>8245816</v>
      </c>
      <c r="AQ100" s="211">
        <v>8245816</v>
      </c>
      <c r="AR100" s="211">
        <v>8241848</v>
      </c>
      <c r="AS100" s="211">
        <v>8241848</v>
      </c>
    </row>
    <row r="101" spans="1:45" x14ac:dyDescent="0.35">
      <c r="A101" s="209" t="s">
        <v>377</v>
      </c>
      <c r="B101" s="210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>
        <v>0</v>
      </c>
      <c r="AM101" s="211"/>
      <c r="AN101" s="211"/>
      <c r="AO101" s="211">
        <v>914034</v>
      </c>
      <c r="AP101" s="211">
        <v>0</v>
      </c>
      <c r="AQ101" s="211">
        <v>163686</v>
      </c>
      <c r="AR101" s="211">
        <v>681385</v>
      </c>
      <c r="AS101" s="211">
        <v>1401408</v>
      </c>
    </row>
    <row r="102" spans="1:45" x14ac:dyDescent="0.35">
      <c r="A102" s="209" t="s">
        <v>378</v>
      </c>
      <c r="B102" s="210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>
        <v>-31734</v>
      </c>
      <c r="AI102" s="211">
        <v>-632005</v>
      </c>
      <c r="AJ102" s="211">
        <v>-632005</v>
      </c>
      <c r="AK102" s="211">
        <v>-642725</v>
      </c>
      <c r="AL102" s="211">
        <v>-642725</v>
      </c>
      <c r="AM102" s="211">
        <v>-642725</v>
      </c>
      <c r="AN102" s="211">
        <v>-642725</v>
      </c>
      <c r="AO102" s="211">
        <v>-642725</v>
      </c>
      <c r="AP102" s="211">
        <v>-642725</v>
      </c>
      <c r="AQ102" s="211">
        <v>-642725</v>
      </c>
      <c r="AR102" s="211">
        <v>-642725</v>
      </c>
      <c r="AS102" s="211">
        <v>-630632</v>
      </c>
    </row>
    <row r="103" spans="1:45" ht="15" thickBot="1" x14ac:dyDescent="0.4">
      <c r="A103" s="209" t="s">
        <v>379</v>
      </c>
      <c r="B103" s="210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>
        <v>7147</v>
      </c>
      <c r="AQ103" s="211"/>
      <c r="AR103" s="211">
        <v>367574</v>
      </c>
      <c r="AS103" s="211">
        <v>0</v>
      </c>
    </row>
    <row r="104" spans="1:45" ht="15" thickBot="1" x14ac:dyDescent="0.4">
      <c r="A104" s="213" t="s">
        <v>380</v>
      </c>
      <c r="B104" s="206"/>
      <c r="C104" s="214">
        <f t="shared" ref="C104:AS104" si="15">C95+C94+C75+C51</f>
        <v>9090362</v>
      </c>
      <c r="D104" s="214">
        <f t="shared" si="15"/>
        <v>9044973.0974499993</v>
      </c>
      <c r="E104" s="214">
        <f t="shared" si="15"/>
        <v>9103485.6875700001</v>
      </c>
      <c r="F104" s="214">
        <f t="shared" si="15"/>
        <v>9103497.7326800004</v>
      </c>
      <c r="G104" s="214">
        <f t="shared" si="15"/>
        <v>9291633.8968099989</v>
      </c>
      <c r="H104" s="214">
        <f t="shared" si="15"/>
        <v>9303223.7943900004</v>
      </c>
      <c r="I104" s="214">
        <f t="shared" si="15"/>
        <v>9779306.9760299996</v>
      </c>
      <c r="J104" s="214">
        <f t="shared" si="15"/>
        <v>11269867</v>
      </c>
      <c r="K104" s="214">
        <f t="shared" si="15"/>
        <v>11302800</v>
      </c>
      <c r="L104" s="214">
        <f t="shared" si="15"/>
        <v>11626000</v>
      </c>
      <c r="M104" s="214">
        <f t="shared" si="15"/>
        <v>12287445</v>
      </c>
      <c r="N104" s="214">
        <f t="shared" si="15"/>
        <v>12585665</v>
      </c>
      <c r="O104" s="214">
        <f t="shared" si="15"/>
        <v>12473577</v>
      </c>
      <c r="P104" s="214">
        <f t="shared" si="15"/>
        <v>12671720</v>
      </c>
      <c r="Q104" s="214">
        <f t="shared" si="15"/>
        <v>12855594</v>
      </c>
      <c r="R104" s="214">
        <f t="shared" si="15"/>
        <v>14219520</v>
      </c>
      <c r="S104" s="214">
        <f t="shared" si="15"/>
        <v>13902302</v>
      </c>
      <c r="T104" s="214">
        <f t="shared" si="15"/>
        <v>14341674</v>
      </c>
      <c r="U104" s="214">
        <f t="shared" si="15"/>
        <v>15072973</v>
      </c>
      <c r="V104" s="214">
        <f t="shared" si="15"/>
        <v>17488451</v>
      </c>
      <c r="W104" s="214">
        <f t="shared" si="15"/>
        <v>17386033</v>
      </c>
      <c r="X104" s="214">
        <f t="shared" si="15"/>
        <v>18348912</v>
      </c>
      <c r="Y104" s="214">
        <f t="shared" si="15"/>
        <v>19399055</v>
      </c>
      <c r="Z104" s="214">
        <f t="shared" si="15"/>
        <v>25505996</v>
      </c>
      <c r="AA104" s="214">
        <f t="shared" si="15"/>
        <v>30744475</v>
      </c>
      <c r="AB104" s="214">
        <f t="shared" si="15"/>
        <v>32721740</v>
      </c>
      <c r="AC104" s="214">
        <f t="shared" si="15"/>
        <v>33872014</v>
      </c>
      <c r="AD104" s="214">
        <f t="shared" si="15"/>
        <v>37530095</v>
      </c>
      <c r="AE104" s="214">
        <f t="shared" si="15"/>
        <v>39457780</v>
      </c>
      <c r="AF104" s="214">
        <f t="shared" si="15"/>
        <v>40503036</v>
      </c>
      <c r="AG104" s="214">
        <f t="shared" si="15"/>
        <v>42136010</v>
      </c>
      <c r="AH104" s="214">
        <f t="shared" si="15"/>
        <v>44124020</v>
      </c>
      <c r="AI104" s="214">
        <f t="shared" si="15"/>
        <v>42298314</v>
      </c>
      <c r="AJ104" s="214">
        <f t="shared" si="15"/>
        <v>43552604</v>
      </c>
      <c r="AK104" s="214">
        <f t="shared" si="15"/>
        <v>55563723.775030002</v>
      </c>
      <c r="AL104" s="214">
        <f t="shared" si="15"/>
        <v>61714300</v>
      </c>
      <c r="AM104" s="214">
        <f t="shared" si="15"/>
        <v>70620775.212427199</v>
      </c>
      <c r="AN104" s="214">
        <f t="shared" si="15"/>
        <v>71409298.894101709</v>
      </c>
      <c r="AO104" s="214">
        <f t="shared" si="15"/>
        <v>70907242</v>
      </c>
      <c r="AP104" s="214">
        <f t="shared" si="15"/>
        <v>90617397</v>
      </c>
      <c r="AQ104" s="214">
        <f t="shared" si="15"/>
        <v>92834649</v>
      </c>
      <c r="AR104" s="214">
        <f t="shared" si="15"/>
        <v>95701577</v>
      </c>
      <c r="AS104" s="214">
        <f t="shared" si="15"/>
        <v>98775410.00891</v>
      </c>
    </row>
    <row r="105" spans="1:45" s="223" customFormat="1" ht="12" x14ac:dyDescent="0.3">
      <c r="B105" s="3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>
        <f>AD48-AD104</f>
        <v>0</v>
      </c>
      <c r="AE105" s="224">
        <f>AE104-AE48</f>
        <v>0</v>
      </c>
      <c r="AF105" s="224">
        <f>AF104-AF48</f>
        <v>0</v>
      </c>
      <c r="AG105" s="224">
        <f>AG104-AG48</f>
        <v>0</v>
      </c>
      <c r="AH105" s="224">
        <f>AH104-AH48</f>
        <v>0</v>
      </c>
      <c r="AI105" s="224">
        <f>AI104-AI48</f>
        <v>0</v>
      </c>
      <c r="AJ105" s="224"/>
      <c r="AK105" s="224"/>
      <c r="AL105" s="224">
        <f t="shared" ref="AL105:AS105" si="16">AL104-AL48</f>
        <v>0</v>
      </c>
      <c r="AM105" s="224">
        <f t="shared" si="16"/>
        <v>0.21242719888687134</v>
      </c>
      <c r="AN105" s="224">
        <f t="shared" si="16"/>
        <v>-0.10589829087257385</v>
      </c>
      <c r="AO105" s="224">
        <f t="shared" si="16"/>
        <v>0</v>
      </c>
      <c r="AP105" s="224">
        <f t="shared" si="16"/>
        <v>0</v>
      </c>
      <c r="AQ105" s="224">
        <f t="shared" si="16"/>
        <v>0</v>
      </c>
      <c r="AR105" s="224">
        <f t="shared" si="16"/>
        <v>0</v>
      </c>
      <c r="AS105" s="224">
        <f t="shared" si="16"/>
        <v>0</v>
      </c>
    </row>
    <row r="106" spans="1:45" x14ac:dyDescent="0.35"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4215F-8D1E-48CE-9217-7F0E6874FF39}">
  <sheetPr>
    <tabColor theme="9" tint="0.79998168889431442"/>
  </sheetPr>
  <dimension ref="A6:AS95"/>
  <sheetViews>
    <sheetView showGridLines="0" zoomScale="85" zoomScaleNormal="85" workbookViewId="0">
      <pane xSplit="1" ySplit="7" topLeftCell="B8" activePane="bottomRight" state="frozen"/>
      <selection activeCell="J5" sqref="J5"/>
      <selection pane="topRight" activeCell="J5" sqref="J5"/>
      <selection pane="bottomLeft" activeCell="J5" sqref="J5"/>
      <selection pane="bottomRight" activeCell="AO10" sqref="AO10"/>
    </sheetView>
  </sheetViews>
  <sheetFormatPr defaultColWidth="9.1796875" defaultRowHeight="14.5" outlineLevelCol="1" x14ac:dyDescent="0.35"/>
  <cols>
    <col min="1" max="1" width="47.54296875" style="37" bestFit="1" customWidth="1"/>
    <col min="2" max="2" width="2.6328125" customWidth="1"/>
    <col min="3" max="29" width="9.1796875" style="37" hidden="1" customWidth="1" outlineLevel="1"/>
    <col min="30" max="38" width="9.81640625" style="37" hidden="1" customWidth="1" outlineLevel="1"/>
    <col min="39" max="39" width="9.81640625" style="37" bestFit="1" customWidth="1" collapsed="1"/>
    <col min="40" max="45" width="9.81640625" style="37" bestFit="1" customWidth="1"/>
    <col min="46" max="16384" width="9.1796875" style="37"/>
  </cols>
  <sheetData>
    <row r="6" spans="1:45" x14ac:dyDescent="0.35">
      <c r="A6" s="41" t="s">
        <v>381</v>
      </c>
      <c r="B6" s="168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</row>
    <row r="7" spans="1:45" ht="15" thickBot="1" x14ac:dyDescent="0.4">
      <c r="A7" s="5" t="s">
        <v>315</v>
      </c>
      <c r="B7" s="204"/>
      <c r="C7" s="573" t="s">
        <v>289</v>
      </c>
      <c r="D7" s="573" t="s">
        <v>290</v>
      </c>
      <c r="E7" s="573" t="s">
        <v>291</v>
      </c>
      <c r="F7" s="573" t="s">
        <v>292</v>
      </c>
      <c r="G7" s="573" t="s">
        <v>293</v>
      </c>
      <c r="H7" s="573" t="s">
        <v>294</v>
      </c>
      <c r="I7" s="573" t="s">
        <v>295</v>
      </c>
      <c r="J7" s="573" t="s">
        <v>296</v>
      </c>
      <c r="K7" s="573" t="s">
        <v>297</v>
      </c>
      <c r="L7" s="573" t="s">
        <v>298</v>
      </c>
      <c r="M7" s="573" t="s">
        <v>299</v>
      </c>
      <c r="N7" s="573" t="s">
        <v>300</v>
      </c>
      <c r="O7" s="573" t="s">
        <v>301</v>
      </c>
      <c r="P7" s="573" t="s">
        <v>302</v>
      </c>
      <c r="Q7" s="573" t="s">
        <v>303</v>
      </c>
      <c r="R7" s="573" t="s">
        <v>304</v>
      </c>
      <c r="S7" s="573" t="s">
        <v>57</v>
      </c>
      <c r="T7" s="573" t="s">
        <v>58</v>
      </c>
      <c r="U7" s="573" t="s">
        <v>59</v>
      </c>
      <c r="V7" s="573" t="s">
        <v>60</v>
      </c>
      <c r="W7" s="573" t="s">
        <v>61</v>
      </c>
      <c r="X7" s="573" t="s">
        <v>62</v>
      </c>
      <c r="Y7" s="573" t="s">
        <v>63</v>
      </c>
      <c r="Z7" s="573" t="s">
        <v>64</v>
      </c>
      <c r="AA7" s="573" t="s">
        <v>65</v>
      </c>
      <c r="AB7" s="573" t="s">
        <v>66</v>
      </c>
      <c r="AC7" s="609" t="s">
        <v>67</v>
      </c>
      <c r="AD7" s="609" t="s">
        <v>68</v>
      </c>
      <c r="AE7" s="609" t="s">
        <v>69</v>
      </c>
      <c r="AF7" s="609" t="s">
        <v>70</v>
      </c>
      <c r="AG7" s="609" t="s">
        <v>71</v>
      </c>
      <c r="AH7" s="609" t="s">
        <v>72</v>
      </c>
      <c r="AI7" s="609" t="s">
        <v>73</v>
      </c>
      <c r="AJ7" s="609" t="s">
        <v>74</v>
      </c>
      <c r="AK7" s="609" t="s">
        <v>75</v>
      </c>
      <c r="AL7" s="609" t="s">
        <v>76</v>
      </c>
      <c r="AM7" s="609" t="s">
        <v>77</v>
      </c>
      <c r="AN7" s="609" t="s">
        <v>78</v>
      </c>
      <c r="AO7" s="609" t="s">
        <v>79</v>
      </c>
      <c r="AP7" s="609" t="s">
        <v>80</v>
      </c>
      <c r="AQ7" s="609" t="s">
        <v>81</v>
      </c>
      <c r="AR7" s="609" t="s">
        <v>82</v>
      </c>
      <c r="AS7" s="609" t="s">
        <v>83</v>
      </c>
    </row>
    <row r="8" spans="1:45" ht="15" thickBot="1" x14ac:dyDescent="0.4">
      <c r="A8" s="205" t="s">
        <v>316</v>
      </c>
      <c r="B8" s="206"/>
      <c r="C8" s="207">
        <f t="shared" ref="C8:AD8" si="0">SUM(C9:C24)</f>
        <v>815654</v>
      </c>
      <c r="D8" s="207">
        <f t="shared" si="0"/>
        <v>719860</v>
      </c>
      <c r="E8" s="207">
        <f t="shared" si="0"/>
        <v>674776</v>
      </c>
      <c r="F8" s="207">
        <f t="shared" si="0"/>
        <v>671663</v>
      </c>
      <c r="G8" s="207">
        <f t="shared" si="0"/>
        <v>416216</v>
      </c>
      <c r="H8" s="207">
        <f t="shared" si="0"/>
        <v>316265</v>
      </c>
      <c r="I8" s="207">
        <f t="shared" si="0"/>
        <v>326736</v>
      </c>
      <c r="J8" s="207">
        <f t="shared" si="0"/>
        <v>359605</v>
      </c>
      <c r="K8" s="207">
        <f t="shared" si="0"/>
        <v>362620</v>
      </c>
      <c r="L8" s="207">
        <f t="shared" si="0"/>
        <v>400245</v>
      </c>
      <c r="M8" s="207">
        <f t="shared" si="0"/>
        <v>407105</v>
      </c>
      <c r="N8" s="207">
        <f t="shared" si="0"/>
        <v>336914</v>
      </c>
      <c r="O8" s="207">
        <f t="shared" si="0"/>
        <v>334462</v>
      </c>
      <c r="P8" s="207">
        <f t="shared" si="0"/>
        <v>411995</v>
      </c>
      <c r="Q8" s="207">
        <f t="shared" si="0"/>
        <v>443950</v>
      </c>
      <c r="R8" s="207">
        <f t="shared" si="0"/>
        <v>642356</v>
      </c>
      <c r="S8" s="207">
        <f t="shared" si="0"/>
        <v>661393</v>
      </c>
      <c r="T8" s="207">
        <f t="shared" si="0"/>
        <v>737890</v>
      </c>
      <c r="U8" s="207">
        <f t="shared" si="0"/>
        <v>717768</v>
      </c>
      <c r="V8" s="207">
        <f t="shared" si="0"/>
        <v>1500797</v>
      </c>
      <c r="W8" s="207">
        <f t="shared" si="0"/>
        <v>1331642</v>
      </c>
      <c r="X8" s="207">
        <f t="shared" si="0"/>
        <v>1354961</v>
      </c>
      <c r="Y8" s="207">
        <f t="shared" si="0"/>
        <v>2116225</v>
      </c>
      <c r="Z8" s="207">
        <f t="shared" si="0"/>
        <v>936489</v>
      </c>
      <c r="AA8" s="207">
        <f t="shared" si="0"/>
        <v>483726</v>
      </c>
      <c r="AB8" s="207">
        <f t="shared" si="0"/>
        <v>503629</v>
      </c>
      <c r="AC8" s="207">
        <f t="shared" si="0"/>
        <v>321528</v>
      </c>
      <c r="AD8" s="207">
        <f t="shared" si="0"/>
        <v>1513114</v>
      </c>
      <c r="AE8" s="207">
        <v>795031</v>
      </c>
      <c r="AF8" s="207">
        <v>885347</v>
      </c>
      <c r="AG8" s="207">
        <f>SUM(AG9:AG24)</f>
        <v>189328</v>
      </c>
      <c r="AH8" s="207">
        <f>SUM(AH9:AH24)</f>
        <v>996270</v>
      </c>
      <c r="AI8" s="207">
        <f>SUM(AI9:AI24)</f>
        <v>362636</v>
      </c>
      <c r="AJ8" s="207">
        <f>SUM(AJ9:AJ24)</f>
        <v>1542400</v>
      </c>
      <c r="AK8" s="207">
        <v>1813759</v>
      </c>
      <c r="AL8" s="207">
        <f>SUM(AL9:AL24)</f>
        <v>3647515</v>
      </c>
      <c r="AM8" s="207">
        <f>SUM(AM9:AM24)</f>
        <v>1205573</v>
      </c>
      <c r="AN8" s="207">
        <f>SUM(AN9:AN24)</f>
        <v>1284096</v>
      </c>
      <c r="AO8" s="207">
        <f>SUM(AO9:AO24)</f>
        <v>1163874</v>
      </c>
      <c r="AP8" s="207">
        <f>SUM(AP9:AP26)</f>
        <v>1293371</v>
      </c>
      <c r="AQ8" s="207">
        <f>SUM(AQ9:AQ26)</f>
        <v>1290496</v>
      </c>
      <c r="AR8" s="207">
        <f>SUM(AR9:AR26)</f>
        <v>2783259</v>
      </c>
      <c r="AS8" s="207">
        <f>SUM(AS9:AS26)</f>
        <v>2424084</v>
      </c>
    </row>
    <row r="9" spans="1:45" x14ac:dyDescent="0.35">
      <c r="A9" s="209" t="s">
        <v>317</v>
      </c>
      <c r="B9" s="210"/>
      <c r="C9" s="225">
        <v>2</v>
      </c>
      <c r="D9" s="225">
        <v>20450</v>
      </c>
      <c r="E9" s="225">
        <v>21123</v>
      </c>
      <c r="F9" s="225">
        <v>21403</v>
      </c>
      <c r="G9" s="225">
        <v>21453</v>
      </c>
      <c r="H9" s="225">
        <v>22010</v>
      </c>
      <c r="I9" s="225">
        <v>22835</v>
      </c>
      <c r="J9" s="225">
        <v>23226</v>
      </c>
      <c r="K9" s="225">
        <v>314</v>
      </c>
      <c r="L9" s="225">
        <v>8417</v>
      </c>
      <c r="M9" s="225">
        <v>8710</v>
      </c>
      <c r="N9" s="225">
        <v>9035</v>
      </c>
      <c r="O9" s="225">
        <v>9226</v>
      </c>
      <c r="P9" s="225">
        <v>9496</v>
      </c>
      <c r="Q9" s="225">
        <v>9833</v>
      </c>
      <c r="R9" s="225">
        <v>137661</v>
      </c>
      <c r="S9" s="225">
        <v>148117</v>
      </c>
      <c r="T9" s="225">
        <v>140560</v>
      </c>
      <c r="U9" s="225">
        <v>169108</v>
      </c>
      <c r="V9" s="225">
        <v>1247838</v>
      </c>
      <c r="W9" s="225">
        <v>1090368</v>
      </c>
      <c r="X9" s="225">
        <v>1005818</v>
      </c>
      <c r="Y9" s="225">
        <v>1764814</v>
      </c>
      <c r="Z9" s="225">
        <v>718146</v>
      </c>
      <c r="AA9" s="225">
        <v>235797</v>
      </c>
      <c r="AB9" s="225">
        <v>434204</v>
      </c>
      <c r="AC9" s="226">
        <v>264746</v>
      </c>
      <c r="AD9" s="226">
        <v>536313</v>
      </c>
      <c r="AE9" s="226">
        <v>446457</v>
      </c>
      <c r="AF9" s="226">
        <v>133811</v>
      </c>
      <c r="AG9" s="226">
        <v>39586</v>
      </c>
      <c r="AH9" s="226">
        <v>165569</v>
      </c>
      <c r="AI9" s="226">
        <v>34152</v>
      </c>
      <c r="AJ9" s="227">
        <v>936058</v>
      </c>
      <c r="AK9" s="227">
        <v>1100541</v>
      </c>
      <c r="AL9" s="227">
        <v>541415</v>
      </c>
      <c r="AM9" s="227">
        <v>1796</v>
      </c>
      <c r="AN9" s="227">
        <v>599712</v>
      </c>
      <c r="AO9" s="227">
        <v>496124</v>
      </c>
      <c r="AP9" s="227">
        <v>460753</v>
      </c>
      <c r="AQ9" s="227">
        <v>616</v>
      </c>
      <c r="AR9" s="227">
        <v>1853298</v>
      </c>
      <c r="AS9" s="228">
        <v>1706583</v>
      </c>
    </row>
    <row r="10" spans="1:45" x14ac:dyDescent="0.35">
      <c r="A10" s="209" t="s">
        <v>382</v>
      </c>
      <c r="B10" s="210"/>
      <c r="C10" s="225">
        <v>754617</v>
      </c>
      <c r="D10" s="225">
        <v>640951</v>
      </c>
      <c r="E10" s="225">
        <v>595060</v>
      </c>
      <c r="F10" s="225">
        <v>604457</v>
      </c>
      <c r="G10" s="225">
        <v>359725</v>
      </c>
      <c r="H10" s="225">
        <v>251978</v>
      </c>
      <c r="I10" s="225">
        <v>257904</v>
      </c>
      <c r="J10" s="225">
        <v>267252</v>
      </c>
      <c r="K10" s="225">
        <v>293920</v>
      </c>
      <c r="L10" s="225">
        <v>295062</v>
      </c>
      <c r="M10" s="225">
        <v>321220</v>
      </c>
      <c r="N10" s="225">
        <v>223045</v>
      </c>
      <c r="O10" s="225">
        <v>226554</v>
      </c>
      <c r="P10" s="225">
        <v>235475</v>
      </c>
      <c r="Q10" s="225">
        <v>275810</v>
      </c>
      <c r="R10" s="225">
        <v>350366</v>
      </c>
      <c r="S10" s="225">
        <v>329796</v>
      </c>
      <c r="T10" s="225">
        <v>332423</v>
      </c>
      <c r="U10" s="225">
        <v>286178</v>
      </c>
      <c r="V10" s="225">
        <v>0</v>
      </c>
      <c r="W10" s="225">
        <v>0</v>
      </c>
      <c r="X10" s="225">
        <v>0</v>
      </c>
      <c r="Y10" s="225">
        <v>0</v>
      </c>
      <c r="Z10" s="225"/>
      <c r="AA10" s="225"/>
      <c r="AB10" s="225"/>
      <c r="AC10" s="226"/>
      <c r="AD10" s="226">
        <v>871556</v>
      </c>
      <c r="AE10" s="226">
        <v>241730</v>
      </c>
      <c r="AF10" s="226">
        <v>676231</v>
      </c>
      <c r="AG10" s="226">
        <v>86037</v>
      </c>
      <c r="AH10" s="226">
        <v>642999</v>
      </c>
      <c r="AI10" s="226">
        <v>142817</v>
      </c>
      <c r="AJ10" s="227">
        <v>289687</v>
      </c>
      <c r="AK10" s="227">
        <v>384392</v>
      </c>
      <c r="AL10" s="227">
        <v>2306880</v>
      </c>
      <c r="AM10" s="227">
        <v>561305</v>
      </c>
      <c r="AN10" s="227">
        <v>321554</v>
      </c>
      <c r="AO10" s="227">
        <v>280373</v>
      </c>
      <c r="AP10" s="227">
        <v>26578</v>
      </c>
      <c r="AQ10" s="227">
        <v>486715</v>
      </c>
      <c r="AR10" s="227">
        <v>184224</v>
      </c>
      <c r="AS10" s="228">
        <v>46400</v>
      </c>
    </row>
    <row r="11" spans="1:45" x14ac:dyDescent="0.35">
      <c r="A11" s="209" t="s">
        <v>319</v>
      </c>
      <c r="B11" s="210"/>
      <c r="C11" s="225">
        <v>0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  <c r="W11" s="225">
        <v>0</v>
      </c>
      <c r="X11" s="225">
        <v>0</v>
      </c>
      <c r="Y11" s="225">
        <v>0</v>
      </c>
      <c r="Z11" s="225"/>
      <c r="AA11" s="225"/>
      <c r="AB11" s="225"/>
      <c r="AC11" s="226"/>
      <c r="AD11" s="226"/>
      <c r="AE11" s="226"/>
      <c r="AF11" s="226"/>
      <c r="AG11" s="226"/>
      <c r="AH11" s="226"/>
      <c r="AI11" s="226"/>
      <c r="AJ11" s="227"/>
      <c r="AK11" s="227"/>
      <c r="AL11" s="227"/>
      <c r="AN11" s="227"/>
      <c r="AO11" s="227"/>
      <c r="AP11" s="227"/>
      <c r="AQ11" s="227"/>
      <c r="AR11" s="227"/>
      <c r="AS11" s="228"/>
    </row>
    <row r="12" spans="1:45" x14ac:dyDescent="0.35">
      <c r="A12" s="209" t="s">
        <v>320</v>
      </c>
      <c r="B12" s="210"/>
      <c r="C12" s="225">
        <v>0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225">
        <v>0</v>
      </c>
      <c r="R12" s="225">
        <v>0</v>
      </c>
      <c r="S12" s="225">
        <v>0</v>
      </c>
      <c r="T12" s="225">
        <v>0</v>
      </c>
      <c r="U12" s="225">
        <v>0</v>
      </c>
      <c r="V12" s="225">
        <v>0</v>
      </c>
      <c r="W12" s="225">
        <v>0</v>
      </c>
      <c r="X12" s="225">
        <v>0</v>
      </c>
      <c r="Y12" s="225">
        <v>0</v>
      </c>
      <c r="Z12" s="225"/>
      <c r="AA12" s="225"/>
      <c r="AB12" s="225"/>
      <c r="AC12" s="226"/>
      <c r="AD12" s="226"/>
      <c r="AE12" s="226"/>
      <c r="AF12" s="226"/>
      <c r="AG12" s="226"/>
      <c r="AH12" s="226"/>
      <c r="AI12" s="226"/>
      <c r="AJ12" s="227"/>
      <c r="AK12" s="227"/>
      <c r="AL12" s="227"/>
      <c r="AN12" s="227"/>
      <c r="AO12" s="227"/>
      <c r="AP12" s="227"/>
      <c r="AQ12" s="227"/>
      <c r="AR12" s="227"/>
      <c r="AS12" s="228"/>
    </row>
    <row r="13" spans="1:45" x14ac:dyDescent="0.35">
      <c r="A13" s="209" t="s">
        <v>322</v>
      </c>
      <c r="B13" s="210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6"/>
      <c r="AD13" s="226"/>
      <c r="AE13" s="226"/>
      <c r="AF13" s="226"/>
      <c r="AG13" s="226"/>
      <c r="AH13" s="226"/>
      <c r="AI13" s="226"/>
      <c r="AJ13" s="227"/>
      <c r="AK13" s="227"/>
      <c r="AL13" s="227"/>
      <c r="AN13" s="227"/>
      <c r="AO13" s="227"/>
      <c r="AP13" s="227"/>
      <c r="AQ13" s="227"/>
      <c r="AR13" s="227"/>
      <c r="AS13" s="228"/>
    </row>
    <row r="14" spans="1:45" x14ac:dyDescent="0.35">
      <c r="A14" s="209" t="s">
        <v>325</v>
      </c>
      <c r="B14" s="210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6"/>
      <c r="AD14" s="226"/>
      <c r="AE14" s="226"/>
      <c r="AF14" s="226"/>
      <c r="AG14" s="226"/>
      <c r="AH14" s="226"/>
      <c r="AI14" s="226"/>
      <c r="AJ14" s="227"/>
      <c r="AK14" s="227"/>
      <c r="AL14" s="227"/>
      <c r="AN14" s="227"/>
      <c r="AO14" s="227"/>
      <c r="AP14" s="227"/>
      <c r="AQ14" s="227"/>
      <c r="AR14" s="227"/>
      <c r="AS14" s="228"/>
    </row>
    <row r="15" spans="1:45" x14ac:dyDescent="0.35">
      <c r="A15" s="209" t="s">
        <v>321</v>
      </c>
      <c r="B15" s="210"/>
      <c r="C15" s="225">
        <v>0</v>
      </c>
      <c r="D15" s="225">
        <v>0</v>
      </c>
      <c r="E15" s="225">
        <v>0</v>
      </c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  <c r="U15" s="225">
        <v>0</v>
      </c>
      <c r="V15" s="225">
        <v>0</v>
      </c>
      <c r="W15" s="225">
        <v>0</v>
      </c>
      <c r="X15" s="225">
        <v>0</v>
      </c>
      <c r="Y15" s="225">
        <v>0</v>
      </c>
      <c r="Z15" s="225"/>
      <c r="AA15" s="225"/>
      <c r="AB15" s="225"/>
      <c r="AC15" s="226"/>
      <c r="AD15" s="226"/>
      <c r="AE15" s="226"/>
      <c r="AF15" s="226"/>
      <c r="AG15" s="226"/>
      <c r="AH15" s="226"/>
      <c r="AI15" s="226"/>
      <c r="AJ15" s="227"/>
      <c r="AK15" s="227"/>
      <c r="AL15" s="227"/>
      <c r="AN15" s="227"/>
      <c r="AO15" s="227"/>
      <c r="AP15" s="227"/>
      <c r="AQ15" s="227"/>
      <c r="AR15" s="227"/>
      <c r="AS15" s="228"/>
    </row>
    <row r="16" spans="1:45" x14ac:dyDescent="0.35">
      <c r="A16" s="209" t="s">
        <v>383</v>
      </c>
      <c r="B16" s="210"/>
      <c r="C16" s="229">
        <v>0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/>
      <c r="AA16" s="229"/>
      <c r="AB16" s="229"/>
      <c r="AC16" s="230"/>
      <c r="AD16" s="230"/>
      <c r="AE16" s="230"/>
      <c r="AF16" s="230"/>
      <c r="AG16" s="230"/>
      <c r="AH16" s="230"/>
      <c r="AI16" s="230"/>
      <c r="AJ16" s="231"/>
      <c r="AK16" s="231"/>
      <c r="AL16" s="231"/>
      <c r="AN16" s="231"/>
      <c r="AO16" s="231"/>
      <c r="AP16" s="231"/>
      <c r="AQ16" s="231"/>
      <c r="AR16" s="231"/>
      <c r="AS16" s="232"/>
    </row>
    <row r="17" spans="1:45" x14ac:dyDescent="0.35">
      <c r="A17" s="209" t="s">
        <v>336</v>
      </c>
      <c r="B17" s="210"/>
      <c r="C17" s="225">
        <v>0</v>
      </c>
      <c r="D17" s="225">
        <v>0</v>
      </c>
      <c r="E17" s="225">
        <v>0</v>
      </c>
      <c r="F17" s="225">
        <v>0</v>
      </c>
      <c r="G17" s="225">
        <v>405</v>
      </c>
      <c r="H17" s="225">
        <v>408</v>
      </c>
      <c r="I17" s="225">
        <v>417</v>
      </c>
      <c r="J17" s="225">
        <v>139</v>
      </c>
      <c r="K17" s="225">
        <v>139</v>
      </c>
      <c r="L17" s="225">
        <v>2204</v>
      </c>
      <c r="M17" s="225">
        <v>4191</v>
      </c>
      <c r="N17" s="225">
        <v>4203</v>
      </c>
      <c r="O17" s="225">
        <v>4392</v>
      </c>
      <c r="P17" s="225">
        <v>4394</v>
      </c>
      <c r="Q17" s="225">
        <v>4436</v>
      </c>
      <c r="R17" s="225">
        <v>4236</v>
      </c>
      <c r="S17" s="225">
        <v>4236</v>
      </c>
      <c r="T17" s="225">
        <v>4238</v>
      </c>
      <c r="U17" s="225">
        <v>4238</v>
      </c>
      <c r="V17" s="225">
        <v>4240</v>
      </c>
      <c r="W17" s="225">
        <v>4240</v>
      </c>
      <c r="X17" s="225">
        <v>4240</v>
      </c>
      <c r="Y17" s="225">
        <v>4240</v>
      </c>
      <c r="Z17" s="225">
        <v>1921</v>
      </c>
      <c r="AA17" s="225">
        <v>1921</v>
      </c>
      <c r="AB17" s="225">
        <v>1921</v>
      </c>
      <c r="AC17" s="226"/>
      <c r="AD17" s="226"/>
      <c r="AE17" s="226"/>
      <c r="AF17" s="226"/>
      <c r="AG17" s="226"/>
      <c r="AH17" s="226">
        <v>56</v>
      </c>
      <c r="AI17" s="226">
        <v>111</v>
      </c>
      <c r="AJ17" s="227">
        <v>148</v>
      </c>
      <c r="AK17" s="227"/>
      <c r="AL17" s="227">
        <v>283</v>
      </c>
      <c r="AM17" s="227">
        <v>449</v>
      </c>
      <c r="AN17" s="227">
        <v>528</v>
      </c>
      <c r="AO17" s="227">
        <v>687</v>
      </c>
      <c r="AP17" s="227">
        <v>695</v>
      </c>
      <c r="AQ17" s="227">
        <v>695</v>
      </c>
      <c r="AR17" s="227">
        <v>1190</v>
      </c>
      <c r="AS17" s="228">
        <v>1750</v>
      </c>
    </row>
    <row r="18" spans="1:45" x14ac:dyDescent="0.35">
      <c r="A18" s="209" t="s">
        <v>384</v>
      </c>
      <c r="B18" s="210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6">
        <v>3636</v>
      </c>
      <c r="AD18" s="226"/>
      <c r="AE18" s="226"/>
      <c r="AF18" s="226"/>
      <c r="AG18" s="226"/>
      <c r="AH18" s="226"/>
      <c r="AI18" s="226"/>
      <c r="AJ18" s="227"/>
      <c r="AK18" s="227"/>
      <c r="AL18" s="227"/>
      <c r="AN18" s="227"/>
      <c r="AO18" s="227"/>
      <c r="AP18" s="227"/>
      <c r="AQ18" s="227"/>
      <c r="AR18" s="227"/>
      <c r="AS18" s="228"/>
    </row>
    <row r="19" spans="1:45" x14ac:dyDescent="0.35">
      <c r="A19" s="209" t="s">
        <v>385</v>
      </c>
      <c r="B19" s="210"/>
      <c r="C19" s="225">
        <v>0</v>
      </c>
      <c r="D19" s="225">
        <v>0</v>
      </c>
      <c r="E19" s="225">
        <v>0</v>
      </c>
      <c r="F19" s="225">
        <v>0</v>
      </c>
      <c r="G19" s="225">
        <v>0</v>
      </c>
      <c r="H19" s="225">
        <v>0</v>
      </c>
      <c r="I19" s="225"/>
      <c r="J19" s="225">
        <v>0</v>
      </c>
      <c r="K19" s="225">
        <v>0</v>
      </c>
      <c r="L19" s="225">
        <v>0</v>
      </c>
      <c r="M19" s="225">
        <v>0</v>
      </c>
      <c r="N19" s="225">
        <v>0</v>
      </c>
      <c r="O19" s="225">
        <v>0</v>
      </c>
      <c r="P19" s="225">
        <v>0</v>
      </c>
      <c r="Q19" s="225">
        <v>0</v>
      </c>
      <c r="R19" s="225">
        <v>0</v>
      </c>
      <c r="S19" s="225">
        <v>0</v>
      </c>
      <c r="T19" s="225">
        <v>0</v>
      </c>
      <c r="U19" s="225">
        <v>0</v>
      </c>
      <c r="V19" s="225">
        <v>0</v>
      </c>
      <c r="W19" s="225">
        <v>0</v>
      </c>
      <c r="X19" s="225">
        <v>0</v>
      </c>
      <c r="Y19" s="225">
        <v>0</v>
      </c>
      <c r="Z19" s="225"/>
      <c r="AA19" s="225"/>
      <c r="AB19" s="225"/>
      <c r="AC19" s="226"/>
      <c r="AD19" s="226"/>
      <c r="AE19" s="226"/>
      <c r="AF19" s="226"/>
      <c r="AG19" s="226"/>
      <c r="AH19" s="226"/>
      <c r="AI19" s="226"/>
      <c r="AJ19" s="227"/>
      <c r="AK19" s="227"/>
      <c r="AL19" s="227"/>
      <c r="AN19" s="227"/>
      <c r="AO19" s="227"/>
      <c r="AP19" s="227"/>
      <c r="AQ19" s="227"/>
      <c r="AR19" s="227"/>
      <c r="AS19" s="228"/>
    </row>
    <row r="20" spans="1:45" x14ac:dyDescent="0.35">
      <c r="A20" s="209" t="s">
        <v>386</v>
      </c>
      <c r="B20" s="210"/>
      <c r="C20" s="225">
        <v>51451</v>
      </c>
      <c r="D20" s="225">
        <v>51445</v>
      </c>
      <c r="E20" s="225">
        <v>50406</v>
      </c>
      <c r="F20" s="225">
        <v>26490</v>
      </c>
      <c r="G20" s="225">
        <v>26490</v>
      </c>
      <c r="H20" s="225">
        <v>26598</v>
      </c>
      <c r="I20" s="225">
        <v>26598</v>
      </c>
      <c r="J20" s="225">
        <v>45559</v>
      </c>
      <c r="K20" s="225">
        <v>45559</v>
      </c>
      <c r="L20" s="225">
        <v>45841</v>
      </c>
      <c r="M20" s="225">
        <v>45841</v>
      </c>
      <c r="N20" s="225">
        <v>68188</v>
      </c>
      <c r="O20" s="225">
        <v>68188</v>
      </c>
      <c r="P20" s="225">
        <v>135320</v>
      </c>
      <c r="Q20" s="225">
        <v>135320</v>
      </c>
      <c r="R20" s="225">
        <v>125469</v>
      </c>
      <c r="S20" s="225">
        <v>125469</v>
      </c>
      <c r="T20" s="225">
        <v>226317</v>
      </c>
      <c r="U20" s="225">
        <v>226317</v>
      </c>
      <c r="V20" s="225">
        <v>208269</v>
      </c>
      <c r="W20" s="225">
        <v>195042</v>
      </c>
      <c r="X20" s="225">
        <v>306588</v>
      </c>
      <c r="Y20" s="225">
        <v>306588</v>
      </c>
      <c r="Z20" s="225">
        <v>172157</v>
      </c>
      <c r="AA20" s="225">
        <v>200589</v>
      </c>
      <c r="AB20" s="225">
        <v>20739</v>
      </c>
      <c r="AC20" s="226">
        <v>11066</v>
      </c>
      <c r="AD20" s="226">
        <v>98381</v>
      </c>
      <c r="AE20" s="226">
        <v>96097</v>
      </c>
      <c r="AF20" s="226">
        <v>63745</v>
      </c>
      <c r="AG20" s="226">
        <v>51295</v>
      </c>
      <c r="AH20" s="226">
        <v>175277</v>
      </c>
      <c r="AI20" s="226">
        <v>167172</v>
      </c>
      <c r="AJ20" s="227">
        <v>298116</v>
      </c>
      <c r="AK20" s="227">
        <v>298116</v>
      </c>
      <c r="AL20" s="227">
        <v>767997</v>
      </c>
      <c r="AM20" s="227">
        <v>597989</v>
      </c>
      <c r="AN20" s="227">
        <v>312351</v>
      </c>
      <c r="AO20" s="227">
        <v>311700</v>
      </c>
      <c r="AP20" s="227">
        <v>382410</v>
      </c>
      <c r="AQ20" s="227">
        <v>379535</v>
      </c>
      <c r="AR20" s="227">
        <v>468732</v>
      </c>
      <c r="AS20" s="228">
        <v>475672</v>
      </c>
    </row>
    <row r="21" spans="1:45" x14ac:dyDescent="0.35">
      <c r="A21" s="209" t="s">
        <v>356</v>
      </c>
      <c r="B21" s="210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6"/>
      <c r="AD21" s="226"/>
      <c r="AE21" s="226"/>
      <c r="AF21" s="226"/>
      <c r="AG21" s="226"/>
      <c r="AH21" s="226"/>
      <c r="AI21" s="226"/>
      <c r="AJ21" s="227"/>
      <c r="AK21" s="227"/>
      <c r="AL21" s="227"/>
      <c r="AM21" s="227"/>
      <c r="AN21" s="227"/>
      <c r="AO21" s="227"/>
      <c r="AP21" s="227">
        <v>312647</v>
      </c>
      <c r="AQ21" s="227">
        <v>312647</v>
      </c>
      <c r="AR21" s="227">
        <v>0</v>
      </c>
      <c r="AS21" s="228">
        <v>0</v>
      </c>
    </row>
    <row r="22" spans="1:45" x14ac:dyDescent="0.35">
      <c r="A22" s="209" t="s">
        <v>327</v>
      </c>
      <c r="B22" s="210"/>
      <c r="C22" s="225">
        <v>0</v>
      </c>
      <c r="D22" s="225">
        <v>0</v>
      </c>
      <c r="E22" s="225">
        <v>0</v>
      </c>
      <c r="F22" s="225">
        <v>0</v>
      </c>
      <c r="G22" s="225">
        <v>0</v>
      </c>
      <c r="H22" s="225">
        <v>13984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641</v>
      </c>
      <c r="T22" s="225">
        <v>641</v>
      </c>
      <c r="U22" s="225">
        <v>641</v>
      </c>
      <c r="V22" s="225">
        <v>641</v>
      </c>
      <c r="W22" s="225">
        <v>643</v>
      </c>
      <c r="X22" s="225">
        <v>644</v>
      </c>
      <c r="Y22" s="225">
        <v>644</v>
      </c>
      <c r="Z22" s="225">
        <v>644</v>
      </c>
      <c r="AA22" s="225">
        <v>859</v>
      </c>
      <c r="AB22" s="225">
        <v>859</v>
      </c>
      <c r="AC22" s="226">
        <v>860</v>
      </c>
      <c r="AD22" s="226">
        <v>862</v>
      </c>
      <c r="AE22" s="226">
        <v>7</v>
      </c>
      <c r="AF22" s="226">
        <v>34</v>
      </c>
      <c r="AG22" s="226">
        <v>34</v>
      </c>
      <c r="AH22" s="226">
        <v>34</v>
      </c>
      <c r="AI22" s="226">
        <v>34</v>
      </c>
      <c r="AJ22" s="227">
        <v>34</v>
      </c>
      <c r="AK22" s="227">
        <v>34</v>
      </c>
      <c r="AL22" s="227">
        <v>35</v>
      </c>
      <c r="AM22" s="227">
        <v>33</v>
      </c>
      <c r="AN22" s="227">
        <v>31</v>
      </c>
      <c r="AO22" s="227">
        <v>34</v>
      </c>
      <c r="AP22" s="227">
        <v>35</v>
      </c>
      <c r="AQ22" s="227">
        <v>35</v>
      </c>
      <c r="AR22" s="227">
        <v>36</v>
      </c>
      <c r="AS22" s="228">
        <v>36</v>
      </c>
    </row>
    <row r="23" spans="1:45" x14ac:dyDescent="0.35">
      <c r="A23" s="209" t="s">
        <v>328</v>
      </c>
      <c r="B23" s="210"/>
      <c r="C23" s="225">
        <v>3749</v>
      </c>
      <c r="D23" s="225">
        <v>6713</v>
      </c>
      <c r="E23" s="225">
        <v>6881</v>
      </c>
      <c r="F23" s="225">
        <v>17988</v>
      </c>
      <c r="G23" s="225">
        <v>6839</v>
      </c>
      <c r="H23" s="225">
        <v>0</v>
      </c>
      <c r="I23" s="225">
        <v>17674</v>
      </c>
      <c r="J23" s="225">
        <v>22147</v>
      </c>
      <c r="K23" s="225">
        <v>21429</v>
      </c>
      <c r="L23" s="225">
        <v>24613</v>
      </c>
      <c r="M23" s="225">
        <v>26052</v>
      </c>
      <c r="N23" s="225">
        <v>31215</v>
      </c>
      <c r="O23" s="225">
        <v>24862</v>
      </c>
      <c r="P23" s="225">
        <v>26035</v>
      </c>
      <c r="Q23" s="225">
        <v>17209</v>
      </c>
      <c r="R23" s="225">
        <v>21959</v>
      </c>
      <c r="S23" s="225">
        <v>25098</v>
      </c>
      <c r="T23" s="225">
        <v>23845</v>
      </c>
      <c r="U23" s="225">
        <v>18588</v>
      </c>
      <c r="V23" s="225">
        <v>29965</v>
      </c>
      <c r="W23" s="225">
        <v>30545</v>
      </c>
      <c r="X23" s="225">
        <v>32745</v>
      </c>
      <c r="Y23" s="225">
        <v>34494</v>
      </c>
      <c r="Z23" s="225">
        <v>37514</v>
      </c>
      <c r="AA23" s="225">
        <v>38623</v>
      </c>
      <c r="AB23" s="225">
        <v>39383</v>
      </c>
      <c r="AC23" s="226">
        <v>40586</v>
      </c>
      <c r="AD23" s="226">
        <v>1428</v>
      </c>
      <c r="AE23" s="226">
        <v>5141</v>
      </c>
      <c r="AF23" s="226">
        <v>5823</v>
      </c>
      <c r="AG23" s="226">
        <v>5743</v>
      </c>
      <c r="AH23" s="226">
        <v>6264</v>
      </c>
      <c r="AI23" s="226">
        <v>11619</v>
      </c>
      <c r="AJ23" s="227">
        <v>11680</v>
      </c>
      <c r="AK23" s="227">
        <v>15390</v>
      </c>
      <c r="AL23" s="227">
        <v>18776</v>
      </c>
      <c r="AM23" s="227">
        <v>32187</v>
      </c>
      <c r="AN23" s="227">
        <v>37358</v>
      </c>
      <c r="AO23" s="227">
        <v>45455</v>
      </c>
      <c r="AP23" s="227">
        <v>53313</v>
      </c>
      <c r="AQ23" s="227">
        <v>53313</v>
      </c>
      <c r="AR23" s="227">
        <v>68835</v>
      </c>
      <c r="AS23" s="228">
        <v>53443</v>
      </c>
    </row>
    <row r="24" spans="1:45" x14ac:dyDescent="0.35">
      <c r="A24" s="209" t="s">
        <v>330</v>
      </c>
      <c r="B24" s="210"/>
      <c r="C24" s="225">
        <v>5835</v>
      </c>
      <c r="D24" s="225">
        <v>301</v>
      </c>
      <c r="E24" s="225">
        <v>1306</v>
      </c>
      <c r="F24" s="225">
        <v>1325</v>
      </c>
      <c r="G24" s="225">
        <v>1304</v>
      </c>
      <c r="H24" s="225">
        <v>1287</v>
      </c>
      <c r="I24" s="225">
        <v>1308</v>
      </c>
      <c r="J24" s="225">
        <v>1282</v>
      </c>
      <c r="K24" s="225">
        <v>1259</v>
      </c>
      <c r="L24" s="225">
        <v>24108</v>
      </c>
      <c r="M24" s="225">
        <v>1091</v>
      </c>
      <c r="N24" s="225">
        <v>1228</v>
      </c>
      <c r="O24" s="225">
        <v>1240</v>
      </c>
      <c r="P24" s="225">
        <v>1275</v>
      </c>
      <c r="Q24" s="225">
        <v>1342</v>
      </c>
      <c r="R24" s="225">
        <v>2665</v>
      </c>
      <c r="S24" s="225">
        <v>28036</v>
      </c>
      <c r="T24" s="225">
        <v>9866</v>
      </c>
      <c r="U24" s="225">
        <v>12698</v>
      </c>
      <c r="V24" s="225">
        <v>9844</v>
      </c>
      <c r="W24" s="225">
        <v>10804</v>
      </c>
      <c r="X24" s="225">
        <v>4926</v>
      </c>
      <c r="Y24" s="225">
        <v>5445</v>
      </c>
      <c r="Z24" s="225">
        <v>6107</v>
      </c>
      <c r="AA24" s="225">
        <v>5937</v>
      </c>
      <c r="AB24" s="225">
        <f>3045+3478</f>
        <v>6523</v>
      </c>
      <c r="AC24" s="226">
        <v>634</v>
      </c>
      <c r="AD24" s="226">
        <v>4574</v>
      </c>
      <c r="AE24" s="226">
        <v>5599</v>
      </c>
      <c r="AF24" s="226">
        <v>5703</v>
      </c>
      <c r="AG24" s="226">
        <v>6633</v>
      </c>
      <c r="AH24" s="226">
        <v>6071</v>
      </c>
      <c r="AI24" s="226">
        <v>6731</v>
      </c>
      <c r="AJ24" s="227">
        <v>6677</v>
      </c>
      <c r="AK24" s="227">
        <v>15286</v>
      </c>
      <c r="AL24" s="227">
        <v>12129</v>
      </c>
      <c r="AM24" s="227">
        <v>11814</v>
      </c>
      <c r="AN24" s="227">
        <v>12562</v>
      </c>
      <c r="AO24" s="227">
        <v>29501</v>
      </c>
      <c r="AP24" s="227">
        <v>39455</v>
      </c>
      <c r="AQ24" s="227">
        <v>39455</v>
      </c>
      <c r="AR24" s="227">
        <v>188259</v>
      </c>
      <c r="AS24" s="228">
        <v>140200</v>
      </c>
    </row>
    <row r="25" spans="1:45" x14ac:dyDescent="0.35">
      <c r="A25" s="209" t="s">
        <v>387</v>
      </c>
      <c r="B25" s="210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6"/>
      <c r="AD25" s="226"/>
      <c r="AE25" s="226"/>
      <c r="AF25" s="226"/>
      <c r="AG25" s="226"/>
      <c r="AH25" s="226"/>
      <c r="AI25" s="226"/>
      <c r="AJ25" s="227"/>
      <c r="AK25" s="227"/>
      <c r="AL25" s="227"/>
      <c r="AM25" s="227"/>
      <c r="AN25" s="227"/>
      <c r="AO25" s="227"/>
      <c r="AP25" s="227">
        <v>17485</v>
      </c>
      <c r="AQ25" s="227">
        <v>17485</v>
      </c>
      <c r="AR25" s="227">
        <v>18685</v>
      </c>
      <c r="AS25" s="228">
        <v>0</v>
      </c>
    </row>
    <row r="26" spans="1:45" ht="15" thickBot="1" x14ac:dyDescent="0.4">
      <c r="A26" s="212" t="s">
        <v>388</v>
      </c>
      <c r="B26" s="210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6"/>
      <c r="AD26" s="226"/>
      <c r="AE26" s="226"/>
      <c r="AF26" s="226"/>
      <c r="AG26" s="226"/>
      <c r="AH26" s="226"/>
      <c r="AI26" s="226"/>
      <c r="AJ26" s="227"/>
      <c r="AK26" s="227"/>
      <c r="AL26" s="227"/>
      <c r="AN26" s="227"/>
      <c r="AO26" s="227"/>
      <c r="AP26" s="227"/>
      <c r="AQ26" s="227"/>
      <c r="AR26" s="227"/>
      <c r="AS26" s="228"/>
    </row>
    <row r="27" spans="1:45" ht="15" thickBot="1" x14ac:dyDescent="0.4">
      <c r="A27" s="213" t="s">
        <v>333</v>
      </c>
      <c r="B27" s="206"/>
      <c r="C27" s="214">
        <f>SUM(C28,C42)</f>
        <v>1635487</v>
      </c>
      <c r="D27" s="214">
        <f t="shared" ref="D27:AD27" si="1">SUM(D28,D42)</f>
        <v>1537777</v>
      </c>
      <c r="E27" s="214">
        <f t="shared" si="1"/>
        <v>1793384</v>
      </c>
      <c r="F27" s="214">
        <f t="shared" si="1"/>
        <v>1719218</v>
      </c>
      <c r="G27" s="214">
        <f t="shared" si="1"/>
        <v>1975721</v>
      </c>
      <c r="H27" s="214">
        <f t="shared" si="1"/>
        <v>1896600</v>
      </c>
      <c r="I27" s="214">
        <f t="shared" si="1"/>
        <v>2179604</v>
      </c>
      <c r="J27" s="214">
        <f t="shared" si="1"/>
        <v>2640496</v>
      </c>
      <c r="K27" s="214">
        <f t="shared" si="1"/>
        <v>2734757</v>
      </c>
      <c r="L27" s="214">
        <f t="shared" si="1"/>
        <v>3206798</v>
      </c>
      <c r="M27" s="214">
        <f t="shared" si="1"/>
        <v>3282064</v>
      </c>
      <c r="N27" s="214">
        <f t="shared" si="1"/>
        <v>3349230</v>
      </c>
      <c r="O27" s="214">
        <f t="shared" si="1"/>
        <v>3492701</v>
      </c>
      <c r="P27" s="214">
        <f t="shared" si="1"/>
        <v>3600265</v>
      </c>
      <c r="Q27" s="214">
        <f t="shared" si="1"/>
        <v>3758349</v>
      </c>
      <c r="R27" s="214">
        <f t="shared" si="1"/>
        <v>3560735</v>
      </c>
      <c r="S27" s="214">
        <f t="shared" si="1"/>
        <v>3600222</v>
      </c>
      <c r="T27" s="214">
        <f t="shared" si="1"/>
        <v>3649387</v>
      </c>
      <c r="U27" s="214">
        <f t="shared" si="1"/>
        <v>3992931</v>
      </c>
      <c r="V27" s="214">
        <f t="shared" si="1"/>
        <v>4685528</v>
      </c>
      <c r="W27" s="214">
        <f t="shared" si="1"/>
        <v>4939539</v>
      </c>
      <c r="X27" s="214">
        <f t="shared" si="1"/>
        <v>5026756</v>
      </c>
      <c r="Y27" s="214">
        <f t="shared" si="1"/>
        <v>5359168</v>
      </c>
      <c r="Z27" s="214">
        <f t="shared" si="1"/>
        <v>6997813</v>
      </c>
      <c r="AA27" s="214">
        <f t="shared" si="1"/>
        <v>7598602</v>
      </c>
      <c r="AB27" s="214">
        <f t="shared" si="1"/>
        <v>7941671</v>
      </c>
      <c r="AC27" s="233">
        <v>8337221</v>
      </c>
      <c r="AD27" s="214">
        <f t="shared" si="1"/>
        <v>8732084</v>
      </c>
      <c r="AE27" s="214">
        <v>9239250</v>
      </c>
      <c r="AF27" s="214">
        <v>9546055</v>
      </c>
      <c r="AG27" s="214">
        <f t="shared" ref="AG27:AR27" si="2">SUM(AG28,AG42)</f>
        <v>10464111</v>
      </c>
      <c r="AH27" s="214">
        <f t="shared" si="2"/>
        <v>10670500</v>
      </c>
      <c r="AI27" s="214">
        <f t="shared" si="2"/>
        <v>11004124</v>
      </c>
      <c r="AJ27" s="214">
        <f t="shared" si="2"/>
        <v>10463314</v>
      </c>
      <c r="AK27" s="214">
        <f t="shared" si="2"/>
        <v>11899197.22497</v>
      </c>
      <c r="AL27" s="214">
        <f t="shared" si="2"/>
        <v>12427768.978800001</v>
      </c>
      <c r="AM27" s="214">
        <f t="shared" si="2"/>
        <v>20314034</v>
      </c>
      <c r="AN27" s="214">
        <f t="shared" si="2"/>
        <v>20202909</v>
      </c>
      <c r="AO27" s="214">
        <f t="shared" si="2"/>
        <v>20883012</v>
      </c>
      <c r="AP27" s="214">
        <f t="shared" si="2"/>
        <v>21092976</v>
      </c>
      <c r="AQ27" s="214">
        <f t="shared" si="2"/>
        <v>21095851</v>
      </c>
      <c r="AR27" s="214">
        <f t="shared" si="2"/>
        <v>20620395</v>
      </c>
      <c r="AS27" s="214">
        <f>SUM(AS28,AS42)</f>
        <v>22025136</v>
      </c>
    </row>
    <row r="28" spans="1:45" ht="15" thickBot="1" x14ac:dyDescent="0.4">
      <c r="A28" s="213" t="s">
        <v>334</v>
      </c>
      <c r="B28" s="206"/>
      <c r="C28" s="214">
        <f t="shared" ref="C28:AG28" si="3">SUM(C29:C41)</f>
        <v>304433</v>
      </c>
      <c r="D28" s="214">
        <f t="shared" si="3"/>
        <v>411573</v>
      </c>
      <c r="E28" s="214">
        <f t="shared" si="3"/>
        <v>465679</v>
      </c>
      <c r="F28" s="214">
        <f t="shared" si="3"/>
        <v>466147</v>
      </c>
      <c r="G28" s="214">
        <f t="shared" si="3"/>
        <v>720403</v>
      </c>
      <c r="H28" s="214">
        <f t="shared" si="3"/>
        <v>842223</v>
      </c>
      <c r="I28" s="214">
        <f t="shared" si="3"/>
        <v>852948</v>
      </c>
      <c r="J28" s="214">
        <f t="shared" si="3"/>
        <v>871269</v>
      </c>
      <c r="K28" s="214">
        <f t="shared" si="3"/>
        <v>882025</v>
      </c>
      <c r="L28" s="214">
        <f t="shared" si="3"/>
        <v>289423</v>
      </c>
      <c r="M28" s="214">
        <f t="shared" si="3"/>
        <v>296425</v>
      </c>
      <c r="N28" s="214">
        <f t="shared" si="3"/>
        <v>302865</v>
      </c>
      <c r="O28" s="214">
        <f t="shared" si="3"/>
        <v>308594</v>
      </c>
      <c r="P28" s="214">
        <f t="shared" si="3"/>
        <v>315906</v>
      </c>
      <c r="Q28" s="214">
        <f t="shared" si="3"/>
        <v>297864</v>
      </c>
      <c r="R28" s="214">
        <f t="shared" si="3"/>
        <v>48219</v>
      </c>
      <c r="S28" s="214">
        <f t="shared" si="3"/>
        <v>41200</v>
      </c>
      <c r="T28" s="214">
        <f t="shared" si="3"/>
        <v>72573</v>
      </c>
      <c r="U28" s="214">
        <f t="shared" si="3"/>
        <v>34416</v>
      </c>
      <c r="V28" s="214">
        <f t="shared" si="3"/>
        <v>8670</v>
      </c>
      <c r="W28" s="214">
        <f t="shared" si="3"/>
        <v>8790</v>
      </c>
      <c r="X28" s="214">
        <f t="shared" si="3"/>
        <v>15657</v>
      </c>
      <c r="Y28" s="214">
        <f t="shared" si="3"/>
        <v>17048</v>
      </c>
      <c r="Z28" s="214">
        <f t="shared" si="3"/>
        <v>10173</v>
      </c>
      <c r="AA28" s="214">
        <f t="shared" si="3"/>
        <v>14621</v>
      </c>
      <c r="AB28" s="214">
        <f t="shared" si="3"/>
        <v>18752</v>
      </c>
      <c r="AC28" s="214">
        <f t="shared" si="3"/>
        <v>19244</v>
      </c>
      <c r="AD28" s="214">
        <f t="shared" si="3"/>
        <v>62851</v>
      </c>
      <c r="AE28" s="214">
        <f t="shared" si="3"/>
        <v>60974</v>
      </c>
      <c r="AF28" s="214">
        <f t="shared" si="3"/>
        <v>71779</v>
      </c>
      <c r="AG28" s="214">
        <f t="shared" si="3"/>
        <v>204419</v>
      </c>
      <c r="AH28" s="214">
        <f t="shared" ref="AH28:AR28" si="4">SUM(AH29:AH41)</f>
        <v>42357</v>
      </c>
      <c r="AI28" s="214">
        <f t="shared" si="4"/>
        <v>36430</v>
      </c>
      <c r="AJ28" s="214">
        <f t="shared" si="4"/>
        <v>36267</v>
      </c>
      <c r="AK28" s="214">
        <f t="shared" si="4"/>
        <v>151115</v>
      </c>
      <c r="AL28" s="214">
        <f t="shared" si="4"/>
        <v>566675</v>
      </c>
      <c r="AM28" s="214">
        <f t="shared" si="4"/>
        <v>612861</v>
      </c>
      <c r="AN28" s="214">
        <f t="shared" si="4"/>
        <v>655182</v>
      </c>
      <c r="AO28" s="214">
        <f t="shared" si="4"/>
        <v>676952</v>
      </c>
      <c r="AP28" s="214">
        <f t="shared" si="4"/>
        <v>729995</v>
      </c>
      <c r="AQ28" s="214">
        <f t="shared" si="4"/>
        <v>729995</v>
      </c>
      <c r="AR28" s="214">
        <f t="shared" si="4"/>
        <v>367874</v>
      </c>
      <c r="AS28" s="214">
        <f>SUM(AS29:AS41)</f>
        <v>312930</v>
      </c>
    </row>
    <row r="29" spans="1:45" x14ac:dyDescent="0.35">
      <c r="A29" s="209" t="s">
        <v>389</v>
      </c>
      <c r="B29" s="210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6"/>
      <c r="AD29" s="226">
        <v>18129</v>
      </c>
      <c r="AE29" s="226">
        <v>18267</v>
      </c>
      <c r="AF29" s="226">
        <v>18364</v>
      </c>
      <c r="AG29" s="226"/>
      <c r="AH29" s="226"/>
      <c r="AI29" s="226"/>
      <c r="AJ29" s="227"/>
      <c r="AK29" s="227"/>
      <c r="AL29" s="227"/>
      <c r="AN29" s="227"/>
      <c r="AO29" s="227"/>
      <c r="AP29" s="227"/>
      <c r="AQ29" s="227"/>
      <c r="AR29" s="227"/>
      <c r="AS29" s="228"/>
    </row>
    <row r="30" spans="1:45" x14ac:dyDescent="0.35">
      <c r="A30" s="209" t="s">
        <v>319</v>
      </c>
      <c r="B30" s="210"/>
      <c r="C30" s="225">
        <v>0</v>
      </c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25">
        <v>0</v>
      </c>
      <c r="Q30" s="225">
        <v>0</v>
      </c>
      <c r="R30" s="225">
        <v>0</v>
      </c>
      <c r="S30" s="225">
        <v>0</v>
      </c>
      <c r="T30" s="225">
        <v>0</v>
      </c>
      <c r="U30" s="225">
        <v>0</v>
      </c>
      <c r="V30" s="225">
        <v>0</v>
      </c>
      <c r="W30" s="225">
        <v>0</v>
      </c>
      <c r="X30" s="225">
        <v>0</v>
      </c>
      <c r="Y30" s="225">
        <v>0</v>
      </c>
      <c r="Z30" s="225"/>
      <c r="AA30" s="225"/>
      <c r="AB30" s="225"/>
      <c r="AC30" s="226"/>
      <c r="AD30" s="226"/>
      <c r="AE30" s="226"/>
      <c r="AF30" s="226"/>
      <c r="AG30" s="226"/>
      <c r="AH30" s="226"/>
      <c r="AI30" s="226"/>
      <c r="AJ30" s="227"/>
      <c r="AK30" s="227"/>
      <c r="AL30" s="227"/>
      <c r="AN30" s="227"/>
      <c r="AO30" s="227"/>
      <c r="AP30" s="227"/>
      <c r="AQ30" s="227"/>
      <c r="AR30" s="227"/>
      <c r="AS30" s="228"/>
    </row>
    <row r="31" spans="1:45" x14ac:dyDescent="0.35">
      <c r="A31" s="209" t="s">
        <v>390</v>
      </c>
      <c r="B31" s="210"/>
      <c r="C31" s="225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225">
        <v>0</v>
      </c>
      <c r="Y31" s="225">
        <v>0</v>
      </c>
      <c r="Z31" s="225"/>
      <c r="AA31" s="225"/>
      <c r="AB31" s="225"/>
      <c r="AC31" s="226"/>
      <c r="AD31" s="226"/>
      <c r="AE31" s="226"/>
      <c r="AF31" s="226"/>
      <c r="AG31" s="226"/>
      <c r="AH31" s="226"/>
      <c r="AI31" s="226"/>
      <c r="AJ31" s="227"/>
      <c r="AK31" s="227"/>
      <c r="AL31" s="227"/>
      <c r="AN31" s="227"/>
      <c r="AO31" s="227"/>
      <c r="AP31" s="227"/>
      <c r="AQ31" s="227"/>
      <c r="AR31" s="227"/>
      <c r="AS31" s="228"/>
    </row>
    <row r="32" spans="1:45" x14ac:dyDescent="0.35">
      <c r="A32" s="209" t="s">
        <v>321</v>
      </c>
      <c r="B32" s="210"/>
      <c r="C32" s="225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0</v>
      </c>
      <c r="Q32" s="225">
        <v>0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  <c r="W32" s="225">
        <v>0</v>
      </c>
      <c r="X32" s="225">
        <v>0</v>
      </c>
      <c r="Y32" s="225">
        <v>0</v>
      </c>
      <c r="Z32" s="225"/>
      <c r="AA32" s="225"/>
      <c r="AB32" s="225"/>
      <c r="AC32" s="226"/>
      <c r="AD32" s="226"/>
      <c r="AE32" s="226"/>
      <c r="AF32" s="226"/>
      <c r="AG32" s="226"/>
      <c r="AH32" s="226"/>
      <c r="AI32" s="226"/>
      <c r="AJ32" s="227"/>
      <c r="AK32" s="227"/>
      <c r="AL32" s="227"/>
      <c r="AN32" s="227"/>
      <c r="AO32" s="227"/>
      <c r="AP32" s="227"/>
      <c r="AQ32" s="227"/>
      <c r="AR32" s="227"/>
      <c r="AS32" s="228"/>
    </row>
    <row r="33" spans="1:45" x14ac:dyDescent="0.35">
      <c r="A33" s="209" t="s">
        <v>335</v>
      </c>
      <c r="B33" s="210"/>
      <c r="C33" s="225">
        <v>0</v>
      </c>
      <c r="D33" s="225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225">
        <v>0</v>
      </c>
      <c r="V33" s="225">
        <v>0</v>
      </c>
      <c r="W33" s="225">
        <v>0</v>
      </c>
      <c r="X33" s="225">
        <v>0</v>
      </c>
      <c r="Y33" s="225">
        <v>0</v>
      </c>
      <c r="Z33" s="225"/>
      <c r="AA33" s="225"/>
      <c r="AB33" s="225"/>
      <c r="AC33" s="226"/>
      <c r="AD33" s="226"/>
      <c r="AE33" s="226"/>
      <c r="AF33" s="226"/>
      <c r="AG33" s="226"/>
      <c r="AH33" s="226"/>
      <c r="AI33" s="226"/>
      <c r="AJ33" s="227"/>
      <c r="AK33" s="227"/>
      <c r="AL33" s="227"/>
      <c r="AN33" s="227"/>
      <c r="AO33" s="227"/>
      <c r="AP33" s="227"/>
      <c r="AQ33" s="227"/>
      <c r="AR33" s="227"/>
      <c r="AS33" s="228"/>
    </row>
    <row r="34" spans="1:45" x14ac:dyDescent="0.35">
      <c r="A34" s="209" t="s">
        <v>336</v>
      </c>
      <c r="B34" s="210"/>
      <c r="C34" s="225">
        <v>0</v>
      </c>
      <c r="D34" s="225">
        <v>0</v>
      </c>
      <c r="E34" s="225">
        <v>0</v>
      </c>
      <c r="F34" s="225">
        <v>0</v>
      </c>
      <c r="G34" s="225">
        <v>0</v>
      </c>
      <c r="H34" s="225">
        <v>0</v>
      </c>
      <c r="I34" s="225">
        <v>0</v>
      </c>
      <c r="J34" s="225">
        <v>0</v>
      </c>
      <c r="K34" s="225">
        <v>0</v>
      </c>
      <c r="L34" s="225">
        <v>0</v>
      </c>
      <c r="M34" s="225">
        <v>0</v>
      </c>
      <c r="N34" s="225">
        <v>0</v>
      </c>
      <c r="O34" s="225">
        <v>0</v>
      </c>
      <c r="P34" s="225">
        <v>0</v>
      </c>
      <c r="Q34" s="225">
        <v>0</v>
      </c>
      <c r="R34" s="225">
        <v>0</v>
      </c>
      <c r="S34" s="225">
        <v>0</v>
      </c>
      <c r="T34" s="225">
        <v>0</v>
      </c>
      <c r="U34" s="225">
        <v>0</v>
      </c>
      <c r="V34" s="225">
        <v>0</v>
      </c>
      <c r="W34" s="225">
        <v>0</v>
      </c>
      <c r="X34" s="225">
        <v>16</v>
      </c>
      <c r="Y34" s="225">
        <v>16</v>
      </c>
      <c r="Z34" s="225">
        <v>16</v>
      </c>
      <c r="AA34" s="225">
        <v>35</v>
      </c>
      <c r="AB34" s="225">
        <v>84</v>
      </c>
      <c r="AC34" s="226">
        <v>72</v>
      </c>
      <c r="AD34" s="226">
        <v>124</v>
      </c>
      <c r="AE34" s="226">
        <v>134</v>
      </c>
      <c r="AF34" s="226">
        <v>133</v>
      </c>
      <c r="AG34" s="226">
        <v>151</v>
      </c>
      <c r="AH34" s="226">
        <v>172</v>
      </c>
      <c r="AI34" s="226">
        <v>172</v>
      </c>
      <c r="AJ34" s="227">
        <v>172</v>
      </c>
      <c r="AK34" s="227">
        <v>172</v>
      </c>
      <c r="AL34" s="227">
        <v>172</v>
      </c>
      <c r="AM34" s="227">
        <v>172</v>
      </c>
      <c r="AN34" s="227">
        <v>172</v>
      </c>
      <c r="AO34" s="227">
        <v>169</v>
      </c>
      <c r="AP34" s="227">
        <v>170</v>
      </c>
      <c r="AQ34" s="227">
        <v>170</v>
      </c>
      <c r="AR34" s="227">
        <v>157</v>
      </c>
      <c r="AS34" s="228">
        <v>157</v>
      </c>
    </row>
    <row r="35" spans="1:45" x14ac:dyDescent="0.35">
      <c r="A35" s="209" t="s">
        <v>325</v>
      </c>
      <c r="B35" s="210"/>
      <c r="C35" s="229">
        <v>0</v>
      </c>
      <c r="D35" s="229">
        <v>0</v>
      </c>
      <c r="E35" s="229">
        <v>0</v>
      </c>
      <c r="F35" s="229">
        <v>0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0</v>
      </c>
      <c r="M35" s="229">
        <v>0</v>
      </c>
      <c r="N35" s="229">
        <v>0</v>
      </c>
      <c r="O35" s="229">
        <v>0</v>
      </c>
      <c r="P35" s="229">
        <v>0</v>
      </c>
      <c r="Q35" s="229">
        <v>0</v>
      </c>
      <c r="R35" s="229">
        <v>0</v>
      </c>
      <c r="S35" s="229">
        <v>0</v>
      </c>
      <c r="T35" s="229">
        <v>0</v>
      </c>
      <c r="U35" s="229">
        <v>0</v>
      </c>
      <c r="V35" s="229">
        <v>0</v>
      </c>
      <c r="W35" s="229">
        <v>0</v>
      </c>
      <c r="X35" s="229">
        <v>0</v>
      </c>
      <c r="Y35" s="229">
        <v>0</v>
      </c>
      <c r="Z35" s="229"/>
      <c r="AA35" s="229"/>
      <c r="AB35" s="229"/>
      <c r="AC35" s="230"/>
      <c r="AD35" s="230"/>
      <c r="AE35" s="230"/>
      <c r="AF35" s="230"/>
      <c r="AG35" s="230"/>
      <c r="AH35" s="230"/>
      <c r="AI35" s="230"/>
      <c r="AJ35" s="231"/>
      <c r="AK35" s="231"/>
      <c r="AL35" s="231">
        <v>413131</v>
      </c>
      <c r="AM35" s="231">
        <v>452378</v>
      </c>
      <c r="AN35" s="231">
        <v>492170</v>
      </c>
      <c r="AO35" s="231">
        <v>531457</v>
      </c>
      <c r="AP35" s="231">
        <v>585313</v>
      </c>
      <c r="AQ35" s="231">
        <v>585313</v>
      </c>
      <c r="AR35" s="231">
        <v>237531</v>
      </c>
      <c r="AS35" s="232">
        <v>182780</v>
      </c>
    </row>
    <row r="36" spans="1:45" x14ac:dyDescent="0.35">
      <c r="A36" s="209" t="s">
        <v>327</v>
      </c>
      <c r="B36" s="210"/>
      <c r="C36" s="225">
        <v>0</v>
      </c>
      <c r="D36" s="225">
        <v>0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6</v>
      </c>
      <c r="T36" s="225">
        <v>6</v>
      </c>
      <c r="U36" s="225">
        <v>6</v>
      </c>
      <c r="V36" s="225">
        <v>9</v>
      </c>
      <c r="W36" s="225">
        <v>9</v>
      </c>
      <c r="X36" s="225">
        <v>12</v>
      </c>
      <c r="Y36" s="225">
        <v>12</v>
      </c>
      <c r="Z36" s="225">
        <v>12</v>
      </c>
      <c r="AA36" s="225">
        <v>12</v>
      </c>
      <c r="AB36" s="225">
        <v>12</v>
      </c>
      <c r="AC36" s="226">
        <v>12</v>
      </c>
      <c r="AD36" s="226">
        <v>12</v>
      </c>
      <c r="AE36" s="226">
        <v>12</v>
      </c>
      <c r="AF36" s="226">
        <v>12</v>
      </c>
      <c r="AG36" s="226">
        <v>12</v>
      </c>
      <c r="AH36" s="226">
        <v>32512</v>
      </c>
      <c r="AI36" s="226"/>
      <c r="AJ36" s="227"/>
      <c r="AK36" s="227"/>
      <c r="AL36" s="227">
        <v>24180</v>
      </c>
      <c r="AN36" s="227"/>
      <c r="AO36" s="227"/>
      <c r="AP36" s="227">
        <v>20</v>
      </c>
      <c r="AQ36" s="227">
        <v>20</v>
      </c>
      <c r="AR36" s="227">
        <v>0</v>
      </c>
      <c r="AS36" s="228"/>
    </row>
    <row r="37" spans="1:45" x14ac:dyDescent="0.35">
      <c r="A37" s="209" t="s">
        <v>328</v>
      </c>
      <c r="B37" s="210"/>
      <c r="C37" s="225">
        <v>8774</v>
      </c>
      <c r="D37" s="225">
        <v>8774</v>
      </c>
      <c r="E37" s="225">
        <v>8774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0</v>
      </c>
      <c r="T37" s="225">
        <v>0</v>
      </c>
      <c r="U37" s="225">
        <v>0</v>
      </c>
      <c r="V37" s="225">
        <v>0</v>
      </c>
      <c r="W37" s="225">
        <v>0</v>
      </c>
      <c r="X37" s="225">
        <v>0</v>
      </c>
      <c r="Y37" s="225">
        <v>0</v>
      </c>
      <c r="Z37" s="225"/>
      <c r="AA37" s="225"/>
      <c r="AB37" s="225"/>
      <c r="AC37" s="226"/>
      <c r="AD37" s="226">
        <v>35017</v>
      </c>
      <c r="AE37" s="226">
        <v>32960</v>
      </c>
      <c r="AF37" s="226">
        <v>32960</v>
      </c>
      <c r="AG37" s="226">
        <v>32960</v>
      </c>
      <c r="AH37" s="226"/>
      <c r="AI37" s="226">
        <v>26747</v>
      </c>
      <c r="AJ37" s="227">
        <v>26747</v>
      </c>
      <c r="AK37" s="227">
        <v>24180</v>
      </c>
      <c r="AL37" s="227"/>
      <c r="AN37" s="227">
        <v>22801</v>
      </c>
      <c r="AO37" s="227">
        <v>22801</v>
      </c>
      <c r="AP37" s="227">
        <v>22801</v>
      </c>
      <c r="AQ37" s="227">
        <v>22801</v>
      </c>
      <c r="AR37" s="227">
        <v>12801</v>
      </c>
      <c r="AS37" s="228">
        <v>12801</v>
      </c>
    </row>
    <row r="38" spans="1:45" x14ac:dyDescent="0.35">
      <c r="A38" s="209" t="s">
        <v>391</v>
      </c>
      <c r="B38" s="210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6"/>
      <c r="AD38" s="226"/>
      <c r="AE38" s="226"/>
      <c r="AF38" s="226"/>
      <c r="AG38" s="226"/>
      <c r="AH38" s="226"/>
      <c r="AI38" s="226"/>
      <c r="AJ38" s="227"/>
      <c r="AK38" s="227"/>
      <c r="AL38" s="227"/>
      <c r="AM38" s="227">
        <v>24180</v>
      </c>
      <c r="AN38" s="227"/>
      <c r="AO38" s="227"/>
      <c r="AP38" s="227"/>
      <c r="AQ38" s="227"/>
      <c r="AR38" s="227"/>
      <c r="AS38" s="228"/>
    </row>
    <row r="39" spans="1:45" x14ac:dyDescent="0.35">
      <c r="A39" s="209" t="s">
        <v>392</v>
      </c>
      <c r="B39" s="210"/>
      <c r="C39" s="225">
        <v>295659</v>
      </c>
      <c r="D39" s="225">
        <v>402799</v>
      </c>
      <c r="E39" s="225">
        <v>406905</v>
      </c>
      <c r="F39" s="225">
        <v>416147</v>
      </c>
      <c r="G39" s="225">
        <v>425403</v>
      </c>
      <c r="H39" s="225">
        <v>536223</v>
      </c>
      <c r="I39" s="225">
        <v>546948</v>
      </c>
      <c r="J39" s="225">
        <v>565269</v>
      </c>
      <c r="K39" s="225">
        <v>576025</v>
      </c>
      <c r="L39" s="225">
        <v>289423</v>
      </c>
      <c r="M39" s="225">
        <v>296425</v>
      </c>
      <c r="N39" s="225">
        <v>302865</v>
      </c>
      <c r="O39" s="225">
        <v>308594</v>
      </c>
      <c r="P39" s="225">
        <v>315906</v>
      </c>
      <c r="Q39" s="225">
        <v>297864</v>
      </c>
      <c r="R39" s="225">
        <v>48219</v>
      </c>
      <c r="S39" s="225">
        <v>16925</v>
      </c>
      <c r="T39" s="225">
        <v>0</v>
      </c>
      <c r="U39" s="225">
        <v>8539</v>
      </c>
      <c r="V39" s="225">
        <v>8661</v>
      </c>
      <c r="W39" s="225">
        <v>8781</v>
      </c>
      <c r="X39" s="225">
        <v>8899</v>
      </c>
      <c r="Y39" s="225">
        <v>9025</v>
      </c>
      <c r="Z39" s="225">
        <v>9145</v>
      </c>
      <c r="AA39" s="225">
        <v>9265</v>
      </c>
      <c r="AB39" s="225">
        <v>9270</v>
      </c>
      <c r="AC39" s="226">
        <v>9890</v>
      </c>
      <c r="AD39" s="226">
        <v>9569</v>
      </c>
      <c r="AE39" s="226">
        <v>9601</v>
      </c>
      <c r="AF39" s="226">
        <v>20310</v>
      </c>
      <c r="AG39" s="226">
        <v>171296</v>
      </c>
      <c r="AH39" s="226">
        <v>9673</v>
      </c>
      <c r="AI39" s="226">
        <v>9511</v>
      </c>
      <c r="AJ39" s="227">
        <v>9348</v>
      </c>
      <c r="AK39" s="227">
        <v>126763</v>
      </c>
      <c r="AL39" s="227">
        <v>129192</v>
      </c>
      <c r="AM39" s="227">
        <v>136131</v>
      </c>
      <c r="AN39" s="227">
        <v>140039</v>
      </c>
      <c r="AO39" s="227">
        <v>122525</v>
      </c>
      <c r="AP39" s="227">
        <v>121691</v>
      </c>
      <c r="AQ39" s="227">
        <v>121691</v>
      </c>
      <c r="AR39" s="227">
        <v>117385</v>
      </c>
      <c r="AS39" s="228">
        <v>117192</v>
      </c>
    </row>
    <row r="40" spans="1:45" x14ac:dyDescent="0.35">
      <c r="A40" s="209" t="s">
        <v>393</v>
      </c>
      <c r="B40" s="210"/>
      <c r="C40" s="225">
        <v>0</v>
      </c>
      <c r="D40" s="225">
        <v>0</v>
      </c>
      <c r="E40" s="225">
        <v>50000</v>
      </c>
      <c r="F40" s="225">
        <v>50000</v>
      </c>
      <c r="G40" s="225">
        <v>295000</v>
      </c>
      <c r="H40" s="225">
        <v>306000</v>
      </c>
      <c r="I40" s="225">
        <v>306000</v>
      </c>
      <c r="J40" s="225">
        <v>306000</v>
      </c>
      <c r="K40" s="225">
        <v>306000</v>
      </c>
      <c r="L40" s="225">
        <v>0</v>
      </c>
      <c r="M40" s="225">
        <v>0</v>
      </c>
      <c r="N40" s="225">
        <v>0</v>
      </c>
      <c r="O40" s="225">
        <v>0</v>
      </c>
      <c r="P40" s="225">
        <v>0</v>
      </c>
      <c r="Q40" s="225">
        <v>0</v>
      </c>
      <c r="R40" s="225">
        <v>0</v>
      </c>
      <c r="S40" s="225">
        <v>24269</v>
      </c>
      <c r="T40" s="225">
        <v>72567</v>
      </c>
      <c r="U40" s="225">
        <v>25871</v>
      </c>
      <c r="V40" s="225">
        <v>0</v>
      </c>
      <c r="W40" s="225">
        <v>0</v>
      </c>
      <c r="X40" s="225">
        <v>6730</v>
      </c>
      <c r="Y40" s="225">
        <v>7995</v>
      </c>
      <c r="Z40" s="225">
        <v>1000</v>
      </c>
      <c r="AA40" s="225">
        <v>5309</v>
      </c>
      <c r="AB40" s="225">
        <v>9386</v>
      </c>
      <c r="AC40" s="226">
        <v>9270</v>
      </c>
      <c r="AD40" s="226"/>
      <c r="AE40" s="226"/>
      <c r="AF40" s="226"/>
      <c r="AG40" s="226"/>
      <c r="AH40" s="226"/>
      <c r="AI40" s="226"/>
      <c r="AJ40" s="227"/>
      <c r="AK40" s="227"/>
      <c r="AL40" s="227"/>
      <c r="AN40" s="227"/>
      <c r="AO40" s="227"/>
      <c r="AP40" s="227"/>
      <c r="AQ40" s="227"/>
      <c r="AR40" s="227"/>
      <c r="AS40" s="228"/>
    </row>
    <row r="41" spans="1:45" ht="15" thickBot="1" x14ac:dyDescent="0.4">
      <c r="A41" s="212" t="s">
        <v>339</v>
      </c>
      <c r="B41" s="210"/>
      <c r="C41" s="225">
        <v>0</v>
      </c>
      <c r="D41" s="225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>
        <v>0</v>
      </c>
      <c r="P41" s="225">
        <v>0</v>
      </c>
      <c r="Q41" s="225">
        <v>0</v>
      </c>
      <c r="R41" s="225">
        <v>0</v>
      </c>
      <c r="S41" s="225">
        <v>0</v>
      </c>
      <c r="T41" s="225">
        <v>0</v>
      </c>
      <c r="U41" s="225">
        <v>0</v>
      </c>
      <c r="V41" s="225">
        <v>0</v>
      </c>
      <c r="W41" s="225">
        <v>0</v>
      </c>
      <c r="X41" s="225"/>
      <c r="Y41" s="225">
        <v>0</v>
      </c>
      <c r="Z41" s="225"/>
      <c r="AA41" s="225"/>
      <c r="AB41" s="225"/>
      <c r="AC41" s="226"/>
      <c r="AD41" s="226"/>
      <c r="AE41" s="226"/>
      <c r="AF41" s="226"/>
      <c r="AG41" s="226"/>
      <c r="AH41" s="226"/>
      <c r="AI41" s="226"/>
      <c r="AJ41" s="227"/>
      <c r="AK41" s="227"/>
      <c r="AL41" s="227"/>
      <c r="AN41" s="227"/>
      <c r="AO41" s="227"/>
      <c r="AP41" s="227"/>
      <c r="AQ41" s="227"/>
      <c r="AR41" s="227"/>
      <c r="AS41" s="228"/>
    </row>
    <row r="42" spans="1:45" ht="15" thickBot="1" x14ac:dyDescent="0.4">
      <c r="A42" s="213" t="s">
        <v>340</v>
      </c>
      <c r="B42" s="206"/>
      <c r="C42" s="214">
        <f>SUM(C43:C47)</f>
        <v>1331054</v>
      </c>
      <c r="D42" s="214">
        <f t="shared" ref="D42:AD42" si="5">SUM(D43:D47)</f>
        <v>1126204</v>
      </c>
      <c r="E42" s="214">
        <f t="shared" si="5"/>
        <v>1327705</v>
      </c>
      <c r="F42" s="214">
        <f t="shared" si="5"/>
        <v>1253071</v>
      </c>
      <c r="G42" s="214">
        <f t="shared" si="5"/>
        <v>1255318</v>
      </c>
      <c r="H42" s="214">
        <f t="shared" si="5"/>
        <v>1054377</v>
      </c>
      <c r="I42" s="214">
        <f t="shared" si="5"/>
        <v>1326656</v>
      </c>
      <c r="J42" s="214">
        <f t="shared" si="5"/>
        <v>1769227</v>
      </c>
      <c r="K42" s="214">
        <f t="shared" si="5"/>
        <v>1852732</v>
      </c>
      <c r="L42" s="214">
        <f t="shared" si="5"/>
        <v>2917375</v>
      </c>
      <c r="M42" s="214">
        <f t="shared" si="5"/>
        <v>2985639</v>
      </c>
      <c r="N42" s="214">
        <f t="shared" si="5"/>
        <v>3046365</v>
      </c>
      <c r="O42" s="214">
        <f t="shared" si="5"/>
        <v>3184107</v>
      </c>
      <c r="P42" s="214">
        <f t="shared" si="5"/>
        <v>3284359</v>
      </c>
      <c r="Q42" s="214">
        <f t="shared" si="5"/>
        <v>3460485</v>
      </c>
      <c r="R42" s="214">
        <f t="shared" si="5"/>
        <v>3512516</v>
      </c>
      <c r="S42" s="214">
        <f t="shared" si="5"/>
        <v>3559022</v>
      </c>
      <c r="T42" s="214">
        <f t="shared" si="5"/>
        <v>3576814</v>
      </c>
      <c r="U42" s="214">
        <f t="shared" si="5"/>
        <v>3958515</v>
      </c>
      <c r="V42" s="214">
        <f t="shared" si="5"/>
        <v>4676858</v>
      </c>
      <c r="W42" s="214">
        <f t="shared" si="5"/>
        <v>4930749</v>
      </c>
      <c r="X42" s="214">
        <f t="shared" si="5"/>
        <v>5011099</v>
      </c>
      <c r="Y42" s="214">
        <f t="shared" si="5"/>
        <v>5342120</v>
      </c>
      <c r="Z42" s="214">
        <f t="shared" si="5"/>
        <v>6987640</v>
      </c>
      <c r="AA42" s="214">
        <f t="shared" si="5"/>
        <v>7583981</v>
      </c>
      <c r="AB42" s="214">
        <f t="shared" si="5"/>
        <v>7922919</v>
      </c>
      <c r="AC42" s="214">
        <f t="shared" si="5"/>
        <v>8317977</v>
      </c>
      <c r="AD42" s="214">
        <f t="shared" si="5"/>
        <v>8669233</v>
      </c>
      <c r="AE42" s="214">
        <f t="shared" ref="AE42:AR42" si="6">SUM(AE43:AE48)</f>
        <v>9178276</v>
      </c>
      <c r="AF42" s="214">
        <f t="shared" si="6"/>
        <v>9474276</v>
      </c>
      <c r="AG42" s="214">
        <f t="shared" si="6"/>
        <v>10259692</v>
      </c>
      <c r="AH42" s="214">
        <f t="shared" si="6"/>
        <v>10628143</v>
      </c>
      <c r="AI42" s="214">
        <f t="shared" si="6"/>
        <v>10967694</v>
      </c>
      <c r="AJ42" s="214">
        <f t="shared" si="6"/>
        <v>10427047</v>
      </c>
      <c r="AK42" s="214">
        <f t="shared" si="6"/>
        <v>11748082.22497</v>
      </c>
      <c r="AL42" s="214">
        <f t="shared" si="6"/>
        <v>11861093.978800001</v>
      </c>
      <c r="AM42" s="214">
        <f t="shared" si="6"/>
        <v>19701173</v>
      </c>
      <c r="AN42" s="214">
        <f t="shared" si="6"/>
        <v>19547727</v>
      </c>
      <c r="AO42" s="214">
        <f t="shared" si="6"/>
        <v>20206060</v>
      </c>
      <c r="AP42" s="214">
        <f t="shared" si="6"/>
        <v>20362981</v>
      </c>
      <c r="AQ42" s="214">
        <f t="shared" si="6"/>
        <v>20365856</v>
      </c>
      <c r="AR42" s="214">
        <f t="shared" si="6"/>
        <v>20252521</v>
      </c>
      <c r="AS42" s="214">
        <f>SUM(AS43:AS48)</f>
        <v>21712206</v>
      </c>
    </row>
    <row r="43" spans="1:45" x14ac:dyDescent="0.35">
      <c r="A43" s="209" t="s">
        <v>341</v>
      </c>
      <c r="B43" s="210"/>
      <c r="C43" s="225">
        <v>1330756</v>
      </c>
      <c r="D43" s="225">
        <v>1125906</v>
      </c>
      <c r="E43" s="225">
        <v>1327407</v>
      </c>
      <c r="F43" s="225">
        <v>1252773</v>
      </c>
      <c r="G43" s="225">
        <v>1255020</v>
      </c>
      <c r="H43" s="225">
        <v>1054079</v>
      </c>
      <c r="I43" s="225">
        <v>1326359</v>
      </c>
      <c r="J43" s="225">
        <v>1768930</v>
      </c>
      <c r="K43" s="225">
        <v>1852435</v>
      </c>
      <c r="L43" s="225">
        <v>2917127</v>
      </c>
      <c r="M43" s="225">
        <v>2985392</v>
      </c>
      <c r="N43" s="225">
        <v>3046120</v>
      </c>
      <c r="O43" s="225">
        <v>3183862</v>
      </c>
      <c r="P43" s="225">
        <v>3284117</v>
      </c>
      <c r="Q43" s="225">
        <v>3460243</v>
      </c>
      <c r="R43" s="225">
        <v>3512077</v>
      </c>
      <c r="S43" s="225">
        <v>3558420</v>
      </c>
      <c r="T43" s="225">
        <v>3575032</v>
      </c>
      <c r="U43" s="225">
        <v>3956794</v>
      </c>
      <c r="V43" s="225">
        <v>4675018</v>
      </c>
      <c r="W43" s="225">
        <v>4928878</v>
      </c>
      <c r="X43" s="225">
        <v>5009016</v>
      </c>
      <c r="Y43" s="225">
        <v>5338416</v>
      </c>
      <c r="Z43" s="225">
        <v>6983602</v>
      </c>
      <c r="AA43" s="225">
        <v>7579853</v>
      </c>
      <c r="AB43" s="225">
        <v>7918759</v>
      </c>
      <c r="AC43" s="226">
        <v>8313843</v>
      </c>
      <c r="AD43" s="226">
        <v>8664022</v>
      </c>
      <c r="AE43" s="226">
        <v>9173094</v>
      </c>
      <c r="AF43" s="226">
        <v>9469124</v>
      </c>
      <c r="AG43" s="226">
        <v>10254570</v>
      </c>
      <c r="AH43" s="226">
        <v>10623050</v>
      </c>
      <c r="AI43" s="226">
        <v>10962477</v>
      </c>
      <c r="AJ43" s="227">
        <v>10420567</v>
      </c>
      <c r="AK43" s="227">
        <v>11741072.22497</v>
      </c>
      <c r="AL43" s="227">
        <v>11854280.978800001</v>
      </c>
      <c r="AM43" s="227">
        <v>19693411</v>
      </c>
      <c r="AN43" s="227">
        <v>19540079</v>
      </c>
      <c r="AO43" s="227">
        <v>20198408</v>
      </c>
      <c r="AP43" s="227">
        <v>20353467</v>
      </c>
      <c r="AQ43" s="227">
        <v>20356342</v>
      </c>
      <c r="AR43" s="227">
        <v>20242891</v>
      </c>
      <c r="AS43" s="228">
        <v>21702581</v>
      </c>
    </row>
    <row r="44" spans="1:45" x14ac:dyDescent="0.35">
      <c r="A44" s="209" t="s">
        <v>342</v>
      </c>
      <c r="B44" s="210"/>
      <c r="C44" s="225">
        <v>0</v>
      </c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5">
        <v>0</v>
      </c>
      <c r="Q44" s="225">
        <v>0</v>
      </c>
      <c r="R44" s="225">
        <v>0</v>
      </c>
      <c r="S44" s="225">
        <v>0</v>
      </c>
      <c r="T44" s="225">
        <v>0</v>
      </c>
      <c r="U44" s="225">
        <v>0</v>
      </c>
      <c r="V44" s="225">
        <v>0</v>
      </c>
      <c r="W44" s="225">
        <v>0</v>
      </c>
      <c r="X44" s="225">
        <v>0</v>
      </c>
      <c r="Y44" s="225">
        <v>0</v>
      </c>
      <c r="Z44" s="225"/>
      <c r="AA44" s="225"/>
      <c r="AB44" s="225"/>
      <c r="AC44" s="226"/>
      <c r="AD44" s="226"/>
      <c r="AE44" s="226"/>
      <c r="AF44" s="226"/>
      <c r="AG44" s="226"/>
      <c r="AH44" s="226"/>
      <c r="AI44" s="226"/>
      <c r="AJ44" s="227"/>
      <c r="AK44" s="227"/>
      <c r="AL44" s="227"/>
      <c r="AN44" s="227"/>
      <c r="AO44" s="227"/>
      <c r="AP44" s="227"/>
      <c r="AQ44" s="227"/>
      <c r="AR44" s="227"/>
      <c r="AS44" s="228"/>
    </row>
    <row r="45" spans="1:45" x14ac:dyDescent="0.35">
      <c r="A45" s="209" t="s">
        <v>343</v>
      </c>
      <c r="B45" s="210"/>
      <c r="C45" s="225">
        <v>298</v>
      </c>
      <c r="D45" s="225">
        <v>298</v>
      </c>
      <c r="E45" s="225">
        <v>298</v>
      </c>
      <c r="F45" s="225">
        <v>298</v>
      </c>
      <c r="G45" s="225">
        <v>298</v>
      </c>
      <c r="H45" s="225">
        <v>298</v>
      </c>
      <c r="I45" s="225">
        <v>297</v>
      </c>
      <c r="J45" s="225">
        <v>297</v>
      </c>
      <c r="K45" s="225">
        <v>297</v>
      </c>
      <c r="L45" s="225">
        <v>248</v>
      </c>
      <c r="M45" s="225">
        <v>247</v>
      </c>
      <c r="N45" s="225">
        <v>245</v>
      </c>
      <c r="O45" s="225">
        <v>245</v>
      </c>
      <c r="P45" s="225">
        <v>242</v>
      </c>
      <c r="Q45" s="225">
        <v>242</v>
      </c>
      <c r="R45" s="225">
        <v>439</v>
      </c>
      <c r="S45" s="225">
        <v>602</v>
      </c>
      <c r="T45" s="225">
        <v>1782</v>
      </c>
      <c r="U45" s="225">
        <v>1721</v>
      </c>
      <c r="V45" s="225">
        <v>1840</v>
      </c>
      <c r="W45" s="225">
        <v>1871</v>
      </c>
      <c r="X45" s="225">
        <v>2083</v>
      </c>
      <c r="Y45" s="225">
        <v>2489</v>
      </c>
      <c r="Z45" s="225">
        <v>2819</v>
      </c>
      <c r="AA45" s="225">
        <v>2817</v>
      </c>
      <c r="AB45" s="225">
        <v>2816</v>
      </c>
      <c r="AC45" s="226">
        <v>2782</v>
      </c>
      <c r="AD45" s="226">
        <v>2782</v>
      </c>
      <c r="AE45" s="226">
        <v>2782</v>
      </c>
      <c r="AF45" s="226">
        <v>2781</v>
      </c>
      <c r="AG45" s="226">
        <v>2782</v>
      </c>
      <c r="AH45" s="226">
        <v>2782</v>
      </c>
      <c r="AI45" s="226">
        <v>2936</v>
      </c>
      <c r="AJ45" s="227">
        <v>3027</v>
      </c>
      <c r="AK45" s="227">
        <v>3027</v>
      </c>
      <c r="AL45" s="227">
        <v>2908</v>
      </c>
      <c r="AM45" s="227">
        <v>2895</v>
      </c>
      <c r="AN45" s="227">
        <v>2881</v>
      </c>
      <c r="AO45" s="227">
        <v>2867</v>
      </c>
      <c r="AP45" s="227">
        <v>3230</v>
      </c>
      <c r="AQ45" s="227">
        <v>3230</v>
      </c>
      <c r="AR45" s="227">
        <v>3318</v>
      </c>
      <c r="AS45" s="228">
        <v>3318</v>
      </c>
    </row>
    <row r="46" spans="1:45" x14ac:dyDescent="0.35">
      <c r="A46" s="209" t="s">
        <v>388</v>
      </c>
      <c r="B46" s="210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6"/>
      <c r="AD46" s="226"/>
      <c r="AE46" s="226"/>
      <c r="AF46" s="226"/>
      <c r="AG46" s="226"/>
      <c r="AH46" s="226"/>
      <c r="AI46" s="226"/>
      <c r="AJ46" s="227"/>
      <c r="AK46" s="227"/>
      <c r="AL46" s="227"/>
      <c r="AN46" s="227"/>
      <c r="AO46" s="227"/>
      <c r="AP46" s="227"/>
      <c r="AQ46" s="227"/>
      <c r="AR46" s="227"/>
      <c r="AS46" s="228"/>
    </row>
    <row r="47" spans="1:45" x14ac:dyDescent="0.35">
      <c r="A47" s="209" t="s">
        <v>344</v>
      </c>
      <c r="B47" s="210"/>
      <c r="C47" s="225">
        <v>0</v>
      </c>
      <c r="D47" s="225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225">
        <v>0</v>
      </c>
      <c r="R47" s="225">
        <v>0</v>
      </c>
      <c r="S47" s="225">
        <v>0</v>
      </c>
      <c r="T47" s="225">
        <v>0</v>
      </c>
      <c r="U47" s="225">
        <v>0</v>
      </c>
      <c r="V47" s="225">
        <v>0</v>
      </c>
      <c r="W47" s="225">
        <v>0</v>
      </c>
      <c r="X47" s="225">
        <v>0</v>
      </c>
      <c r="Y47" s="225">
        <v>1215</v>
      </c>
      <c r="Z47" s="225">
        <v>1219</v>
      </c>
      <c r="AA47" s="225">
        <v>1311</v>
      </c>
      <c r="AB47" s="225">
        <v>1344</v>
      </c>
      <c r="AC47" s="226">
        <v>1352</v>
      </c>
      <c r="AD47" s="226">
        <f>1437+992</f>
        <v>2429</v>
      </c>
      <c r="AE47" s="226">
        <v>1437</v>
      </c>
      <c r="AF47" s="226">
        <v>1438</v>
      </c>
      <c r="AG47" s="226">
        <v>1437</v>
      </c>
      <c r="AH47" s="226">
        <v>1437</v>
      </c>
      <c r="AI47" s="226">
        <v>1437</v>
      </c>
      <c r="AJ47" s="227">
        <v>2638</v>
      </c>
      <c r="AK47" s="227">
        <v>3438</v>
      </c>
      <c r="AL47" s="227">
        <v>3401</v>
      </c>
      <c r="AM47" s="227">
        <v>4404</v>
      </c>
      <c r="AN47" s="227">
        <v>4767</v>
      </c>
      <c r="AO47" s="227">
        <v>4785</v>
      </c>
      <c r="AP47" s="227">
        <v>6284</v>
      </c>
      <c r="AQ47" s="227">
        <v>6284</v>
      </c>
      <c r="AR47" s="227">
        <v>6312</v>
      </c>
      <c r="AS47" s="228">
        <v>6307</v>
      </c>
    </row>
    <row r="48" spans="1:45" ht="15" thickBot="1" x14ac:dyDescent="0.4">
      <c r="A48" s="209" t="s">
        <v>345</v>
      </c>
      <c r="B48" s="210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6"/>
      <c r="AD48" s="226"/>
      <c r="AE48" s="226">
        <v>963</v>
      </c>
      <c r="AF48" s="226">
        <v>933</v>
      </c>
      <c r="AG48" s="226">
        <v>903</v>
      </c>
      <c r="AH48" s="226">
        <v>874</v>
      </c>
      <c r="AI48" s="226">
        <v>844</v>
      </c>
      <c r="AJ48" s="227">
        <v>815</v>
      </c>
      <c r="AK48" s="227">
        <v>545</v>
      </c>
      <c r="AL48" s="227">
        <v>504</v>
      </c>
      <c r="AM48" s="227">
        <v>463</v>
      </c>
      <c r="AN48" s="227"/>
      <c r="AO48" s="227">
        <v>0</v>
      </c>
      <c r="AP48" s="227"/>
      <c r="AQ48" s="227"/>
      <c r="AR48" s="227"/>
      <c r="AS48" s="228"/>
    </row>
    <row r="49" spans="1:45" ht="15" thickBot="1" x14ac:dyDescent="0.4">
      <c r="A49" s="213" t="s">
        <v>346</v>
      </c>
      <c r="B49" s="206"/>
      <c r="C49" s="214">
        <f t="shared" ref="C49:AD49" si="7">C27+C8</f>
        <v>2451141</v>
      </c>
      <c r="D49" s="214">
        <f t="shared" si="7"/>
        <v>2257637</v>
      </c>
      <c r="E49" s="214">
        <f t="shared" si="7"/>
        <v>2468160</v>
      </c>
      <c r="F49" s="214">
        <f t="shared" si="7"/>
        <v>2390881</v>
      </c>
      <c r="G49" s="214">
        <f t="shared" si="7"/>
        <v>2391937</v>
      </c>
      <c r="H49" s="214">
        <f t="shared" si="7"/>
        <v>2212865</v>
      </c>
      <c r="I49" s="214">
        <f t="shared" si="7"/>
        <v>2506340</v>
      </c>
      <c r="J49" s="214">
        <f t="shared" si="7"/>
        <v>3000101</v>
      </c>
      <c r="K49" s="214">
        <f t="shared" si="7"/>
        <v>3097377</v>
      </c>
      <c r="L49" s="214">
        <f t="shared" si="7"/>
        <v>3607043</v>
      </c>
      <c r="M49" s="214">
        <f t="shared" si="7"/>
        <v>3689169</v>
      </c>
      <c r="N49" s="214">
        <f t="shared" si="7"/>
        <v>3686144</v>
      </c>
      <c r="O49" s="214">
        <f t="shared" si="7"/>
        <v>3827163</v>
      </c>
      <c r="P49" s="214">
        <f t="shared" si="7"/>
        <v>4012260</v>
      </c>
      <c r="Q49" s="214">
        <f t="shared" si="7"/>
        <v>4202299</v>
      </c>
      <c r="R49" s="214">
        <f t="shared" si="7"/>
        <v>4203091</v>
      </c>
      <c r="S49" s="214">
        <f t="shared" si="7"/>
        <v>4261615</v>
      </c>
      <c r="T49" s="214">
        <f t="shared" si="7"/>
        <v>4387277</v>
      </c>
      <c r="U49" s="214">
        <f t="shared" si="7"/>
        <v>4710699</v>
      </c>
      <c r="V49" s="214">
        <f t="shared" si="7"/>
        <v>6186325</v>
      </c>
      <c r="W49" s="214">
        <f t="shared" si="7"/>
        <v>6271181</v>
      </c>
      <c r="X49" s="214">
        <f t="shared" si="7"/>
        <v>6381717</v>
      </c>
      <c r="Y49" s="214">
        <f t="shared" si="7"/>
        <v>7475393</v>
      </c>
      <c r="Z49" s="214">
        <f t="shared" si="7"/>
        <v>7934302</v>
      </c>
      <c r="AA49" s="214">
        <f t="shared" si="7"/>
        <v>8082328</v>
      </c>
      <c r="AB49" s="214">
        <f t="shared" si="7"/>
        <v>8445300</v>
      </c>
      <c r="AC49" s="214">
        <f t="shared" si="7"/>
        <v>8658749</v>
      </c>
      <c r="AD49" s="214">
        <f t="shared" si="7"/>
        <v>10245198</v>
      </c>
      <c r="AE49" s="214">
        <v>10034281</v>
      </c>
      <c r="AF49" s="214">
        <v>10431402</v>
      </c>
      <c r="AG49" s="214">
        <f t="shared" ref="AG49:AR49" si="8">AG27+AG8</f>
        <v>10653439</v>
      </c>
      <c r="AH49" s="214">
        <f t="shared" si="8"/>
        <v>11666770</v>
      </c>
      <c r="AI49" s="214">
        <f t="shared" si="8"/>
        <v>11366760</v>
      </c>
      <c r="AJ49" s="214">
        <f t="shared" si="8"/>
        <v>12005714</v>
      </c>
      <c r="AK49" s="214">
        <f t="shared" si="8"/>
        <v>13712956.22497</v>
      </c>
      <c r="AL49" s="214">
        <f t="shared" si="8"/>
        <v>16075283.978800001</v>
      </c>
      <c r="AM49" s="214">
        <f t="shared" si="8"/>
        <v>21519607</v>
      </c>
      <c r="AN49" s="214">
        <f t="shared" si="8"/>
        <v>21487005</v>
      </c>
      <c r="AO49" s="214">
        <f t="shared" si="8"/>
        <v>22046886</v>
      </c>
      <c r="AP49" s="214">
        <f t="shared" si="8"/>
        <v>22386347</v>
      </c>
      <c r="AQ49" s="214">
        <f t="shared" si="8"/>
        <v>22386347</v>
      </c>
      <c r="AR49" s="214">
        <f t="shared" si="8"/>
        <v>23403654</v>
      </c>
      <c r="AS49" s="214">
        <f>AS27+AS8</f>
        <v>24449220</v>
      </c>
    </row>
    <row r="50" spans="1:45" x14ac:dyDescent="0.35">
      <c r="A50" s="209"/>
      <c r="B50" s="210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N50" s="234"/>
      <c r="AO50" s="234"/>
      <c r="AP50" s="234"/>
      <c r="AQ50" s="234"/>
      <c r="AR50" s="234"/>
      <c r="AS50" s="234"/>
    </row>
    <row r="51" spans="1:45" ht="15" thickBot="1" x14ac:dyDescent="0.4">
      <c r="A51" s="5" t="s">
        <v>347</v>
      </c>
      <c r="B51" s="204"/>
      <c r="C51" s="573" t="str">
        <f t="shared" ref="C51:X51" si="9">C7</f>
        <v>1T13</v>
      </c>
      <c r="D51" s="573" t="str">
        <f t="shared" si="9"/>
        <v>2T13</v>
      </c>
      <c r="E51" s="573" t="str">
        <f t="shared" si="9"/>
        <v>3T13</v>
      </c>
      <c r="F51" s="573" t="str">
        <f t="shared" si="9"/>
        <v>4T13</v>
      </c>
      <c r="G51" s="573" t="str">
        <f t="shared" si="9"/>
        <v>1T14</v>
      </c>
      <c r="H51" s="573" t="str">
        <f t="shared" si="9"/>
        <v>2T14</v>
      </c>
      <c r="I51" s="573" t="str">
        <f t="shared" si="9"/>
        <v>3T14</v>
      </c>
      <c r="J51" s="573" t="str">
        <f t="shared" si="9"/>
        <v>4T14</v>
      </c>
      <c r="K51" s="573" t="str">
        <f t="shared" si="9"/>
        <v>1T15</v>
      </c>
      <c r="L51" s="573" t="str">
        <f t="shared" si="9"/>
        <v>2T15</v>
      </c>
      <c r="M51" s="573" t="str">
        <f t="shared" si="9"/>
        <v>3T15</v>
      </c>
      <c r="N51" s="573" t="str">
        <f t="shared" si="9"/>
        <v>4T15</v>
      </c>
      <c r="O51" s="573" t="str">
        <f t="shared" si="9"/>
        <v>1T16</v>
      </c>
      <c r="P51" s="573" t="str">
        <f t="shared" si="9"/>
        <v>2T16</v>
      </c>
      <c r="Q51" s="573" t="str">
        <f t="shared" si="9"/>
        <v>3T16</v>
      </c>
      <c r="R51" s="573" t="str">
        <f t="shared" si="9"/>
        <v>4T16</v>
      </c>
      <c r="S51" s="573" t="str">
        <f t="shared" si="9"/>
        <v>1T17</v>
      </c>
      <c r="T51" s="573" t="str">
        <f t="shared" si="9"/>
        <v>2T17</v>
      </c>
      <c r="U51" s="573" t="str">
        <f t="shared" si="9"/>
        <v>3T17</v>
      </c>
      <c r="V51" s="573" t="str">
        <f t="shared" si="9"/>
        <v>4T17</v>
      </c>
      <c r="W51" s="573" t="str">
        <f t="shared" si="9"/>
        <v>1T18</v>
      </c>
      <c r="X51" s="573" t="str">
        <f t="shared" si="9"/>
        <v>2T18</v>
      </c>
      <c r="Y51" s="573" t="s">
        <v>63</v>
      </c>
      <c r="Z51" s="573" t="s">
        <v>64</v>
      </c>
      <c r="AA51" s="573" t="s">
        <v>65</v>
      </c>
      <c r="AB51" s="573" t="s">
        <v>66</v>
      </c>
      <c r="AC51" s="609" t="s">
        <v>67</v>
      </c>
      <c r="AD51" s="609" t="s">
        <v>68</v>
      </c>
      <c r="AE51" s="609" t="str">
        <f t="shared" ref="AE51:AR51" si="10">AE7</f>
        <v>1T20</v>
      </c>
      <c r="AF51" s="609" t="str">
        <f t="shared" si="10"/>
        <v>2T20</v>
      </c>
      <c r="AG51" s="609" t="str">
        <f t="shared" si="10"/>
        <v>3T20</v>
      </c>
      <c r="AH51" s="609" t="str">
        <f t="shared" si="10"/>
        <v>4T20</v>
      </c>
      <c r="AI51" s="609" t="str">
        <f t="shared" si="10"/>
        <v>1T21</v>
      </c>
      <c r="AJ51" s="609" t="str">
        <f t="shared" si="10"/>
        <v>2T21</v>
      </c>
      <c r="AK51" s="609" t="str">
        <f t="shared" si="10"/>
        <v>3T21</v>
      </c>
      <c r="AL51" s="609" t="str">
        <f t="shared" si="10"/>
        <v>4T21</v>
      </c>
      <c r="AM51" s="609" t="str">
        <f t="shared" si="10"/>
        <v>1T22</v>
      </c>
      <c r="AN51" s="609" t="str">
        <f t="shared" si="10"/>
        <v>2T22</v>
      </c>
      <c r="AO51" s="609" t="str">
        <f t="shared" si="10"/>
        <v>3T22</v>
      </c>
      <c r="AP51" s="609" t="str">
        <f t="shared" si="10"/>
        <v>4T22</v>
      </c>
      <c r="AQ51" s="609" t="str">
        <f t="shared" si="10"/>
        <v>1T23</v>
      </c>
      <c r="AR51" s="609" t="str">
        <f t="shared" si="10"/>
        <v>2T23</v>
      </c>
      <c r="AS51" s="609" t="s">
        <v>83</v>
      </c>
    </row>
    <row r="52" spans="1:45" ht="15" thickBot="1" x14ac:dyDescent="0.4">
      <c r="A52" s="205" t="s">
        <v>316</v>
      </c>
      <c r="B52" s="206"/>
      <c r="C52" s="207">
        <f t="shared" ref="C52:AD52" si="11">SUM(C53:C67)</f>
        <v>69175</v>
      </c>
      <c r="D52" s="207">
        <f t="shared" si="11"/>
        <v>61473</v>
      </c>
      <c r="E52" s="207">
        <f t="shared" si="11"/>
        <v>67735</v>
      </c>
      <c r="F52" s="207">
        <f t="shared" si="11"/>
        <v>36658</v>
      </c>
      <c r="G52" s="207">
        <f t="shared" si="11"/>
        <v>22507</v>
      </c>
      <c r="H52" s="207">
        <f t="shared" si="11"/>
        <v>29700</v>
      </c>
      <c r="I52" s="207">
        <f t="shared" si="11"/>
        <v>34840</v>
      </c>
      <c r="J52" s="207">
        <f t="shared" si="11"/>
        <v>163684</v>
      </c>
      <c r="K52" s="207">
        <f t="shared" si="11"/>
        <v>165015</v>
      </c>
      <c r="L52" s="207">
        <f t="shared" si="11"/>
        <v>167704</v>
      </c>
      <c r="M52" s="207">
        <f t="shared" si="11"/>
        <v>173409</v>
      </c>
      <c r="N52" s="207">
        <f t="shared" si="11"/>
        <v>206842</v>
      </c>
      <c r="O52" s="207">
        <f t="shared" si="11"/>
        <v>205873</v>
      </c>
      <c r="P52" s="207">
        <f t="shared" si="11"/>
        <v>207414</v>
      </c>
      <c r="Q52" s="207">
        <f t="shared" si="11"/>
        <v>206638</v>
      </c>
      <c r="R52" s="207">
        <f t="shared" si="11"/>
        <v>179043</v>
      </c>
      <c r="S52" s="207">
        <f t="shared" si="11"/>
        <v>186001</v>
      </c>
      <c r="T52" s="207">
        <f t="shared" si="11"/>
        <v>180338</v>
      </c>
      <c r="U52" s="207">
        <f t="shared" si="11"/>
        <v>192581</v>
      </c>
      <c r="V52" s="207">
        <f t="shared" si="11"/>
        <v>583031</v>
      </c>
      <c r="W52" s="207">
        <f t="shared" si="11"/>
        <v>601970</v>
      </c>
      <c r="X52" s="207">
        <f t="shared" si="11"/>
        <v>594745</v>
      </c>
      <c r="Y52" s="207">
        <f t="shared" si="11"/>
        <v>1437919</v>
      </c>
      <c r="Z52" s="207">
        <f t="shared" si="11"/>
        <v>1073438</v>
      </c>
      <c r="AA52" s="207">
        <f t="shared" si="11"/>
        <v>1100575</v>
      </c>
      <c r="AB52" s="207">
        <f t="shared" si="11"/>
        <v>1091805</v>
      </c>
      <c r="AC52" s="207">
        <f t="shared" si="11"/>
        <v>756029</v>
      </c>
      <c r="AD52" s="207">
        <f t="shared" si="11"/>
        <v>864797</v>
      </c>
      <c r="AE52" s="207">
        <v>873341</v>
      </c>
      <c r="AF52" s="207">
        <v>873026</v>
      </c>
      <c r="AG52" s="207">
        <f t="shared" ref="AG52:AN52" si="12">SUM(AG53:AG67)</f>
        <v>358274</v>
      </c>
      <c r="AH52" s="207">
        <f t="shared" si="12"/>
        <v>605880</v>
      </c>
      <c r="AI52" s="207">
        <f t="shared" si="12"/>
        <v>580434</v>
      </c>
      <c r="AJ52" s="207">
        <f t="shared" si="12"/>
        <v>830340</v>
      </c>
      <c r="AK52" s="207">
        <f t="shared" si="12"/>
        <v>747053</v>
      </c>
      <c r="AL52" s="207">
        <f t="shared" si="12"/>
        <v>37998</v>
      </c>
      <c r="AM52" s="207">
        <f t="shared" si="12"/>
        <v>779574</v>
      </c>
      <c r="AN52" s="207">
        <f t="shared" si="12"/>
        <v>776133</v>
      </c>
      <c r="AO52" s="207">
        <f>SUM(AO53:AO67)</f>
        <v>864783</v>
      </c>
      <c r="AP52" s="207">
        <f>SUM(AP53:AP67)</f>
        <v>1030629</v>
      </c>
      <c r="AQ52" s="207">
        <f>SUM(AQ53:AQ67)</f>
        <v>1034035</v>
      </c>
      <c r="AR52" s="207">
        <f>SUM(AR53:AR67)</f>
        <v>141639</v>
      </c>
      <c r="AS52" s="207">
        <f>SUM(AS53:AS67)</f>
        <v>165469</v>
      </c>
    </row>
    <row r="53" spans="1:45" x14ac:dyDescent="0.35">
      <c r="A53" s="218" t="s">
        <v>348</v>
      </c>
      <c r="B53" s="219"/>
      <c r="C53" s="225">
        <v>612</v>
      </c>
      <c r="D53" s="225">
        <v>710</v>
      </c>
      <c r="E53" s="225">
        <v>250</v>
      </c>
      <c r="F53" s="225">
        <v>212</v>
      </c>
      <c r="G53" s="225">
        <v>376</v>
      </c>
      <c r="H53" s="225">
        <v>249</v>
      </c>
      <c r="I53" s="225">
        <v>263</v>
      </c>
      <c r="J53" s="225">
        <v>158</v>
      </c>
      <c r="K53" s="225">
        <v>269</v>
      </c>
      <c r="L53" s="225">
        <v>305</v>
      </c>
      <c r="M53" s="225">
        <v>310</v>
      </c>
      <c r="N53" s="225">
        <v>305</v>
      </c>
      <c r="O53" s="225">
        <v>395</v>
      </c>
      <c r="P53" s="225">
        <v>427</v>
      </c>
      <c r="Q53" s="225">
        <v>434</v>
      </c>
      <c r="R53" s="225">
        <v>702</v>
      </c>
      <c r="S53" s="225">
        <v>926</v>
      </c>
      <c r="T53" s="225">
        <v>1154</v>
      </c>
      <c r="U53" s="225">
        <v>532</v>
      </c>
      <c r="V53" s="225">
        <v>1178</v>
      </c>
      <c r="W53" s="225">
        <v>704</v>
      </c>
      <c r="X53" s="225">
        <v>2032</v>
      </c>
      <c r="Y53" s="225">
        <v>1667</v>
      </c>
      <c r="Z53" s="225">
        <v>993</v>
      </c>
      <c r="AA53" s="225">
        <v>536</v>
      </c>
      <c r="AB53" s="225">
        <v>612</v>
      </c>
      <c r="AC53" s="226">
        <v>639</v>
      </c>
      <c r="AD53" s="226">
        <v>2081</v>
      </c>
      <c r="AE53" s="226">
        <v>1134</v>
      </c>
      <c r="AF53" s="226">
        <v>1479</v>
      </c>
      <c r="AG53" s="226">
        <v>1958</v>
      </c>
      <c r="AH53" s="226">
        <v>33007</v>
      </c>
      <c r="AI53" s="226">
        <v>1125</v>
      </c>
      <c r="AJ53" s="227">
        <v>1297</v>
      </c>
      <c r="AK53" s="227">
        <v>1768</v>
      </c>
      <c r="AL53" s="227">
        <v>2957</v>
      </c>
      <c r="AM53" s="227">
        <v>3697</v>
      </c>
      <c r="AN53" s="227">
        <v>1780</v>
      </c>
      <c r="AO53" s="227">
        <v>1254</v>
      </c>
      <c r="AP53" s="227">
        <v>2655</v>
      </c>
      <c r="AQ53" s="227">
        <v>2655</v>
      </c>
      <c r="AR53" s="227">
        <v>4175</v>
      </c>
      <c r="AS53" s="228">
        <v>3306</v>
      </c>
    </row>
    <row r="54" spans="1:45" x14ac:dyDescent="0.35">
      <c r="A54" s="218" t="s">
        <v>350</v>
      </c>
      <c r="B54" s="219"/>
      <c r="C54" s="225">
        <v>377</v>
      </c>
      <c r="D54" s="225">
        <v>250</v>
      </c>
      <c r="E54" s="225">
        <v>241</v>
      </c>
      <c r="F54" s="225">
        <v>127</v>
      </c>
      <c r="G54" s="225">
        <v>390</v>
      </c>
      <c r="H54" s="225">
        <v>157</v>
      </c>
      <c r="I54" s="225">
        <v>186</v>
      </c>
      <c r="J54" s="225">
        <v>178</v>
      </c>
      <c r="K54" s="225">
        <v>2316</v>
      </c>
      <c r="L54" s="225">
        <v>179</v>
      </c>
      <c r="M54" s="225">
        <v>181</v>
      </c>
      <c r="N54" s="225">
        <v>223</v>
      </c>
      <c r="O54" s="225">
        <v>2602</v>
      </c>
      <c r="P54" s="225">
        <v>131</v>
      </c>
      <c r="Q54" s="225">
        <v>106</v>
      </c>
      <c r="R54" s="225">
        <v>489</v>
      </c>
      <c r="S54" s="225">
        <v>570</v>
      </c>
      <c r="T54" s="225">
        <v>795</v>
      </c>
      <c r="U54" s="225">
        <v>1083</v>
      </c>
      <c r="V54" s="225">
        <v>1063</v>
      </c>
      <c r="W54" s="225">
        <v>838</v>
      </c>
      <c r="X54" s="225">
        <v>703</v>
      </c>
      <c r="Y54" s="225">
        <v>717</v>
      </c>
      <c r="Z54" s="225">
        <v>712</v>
      </c>
      <c r="AA54" s="225">
        <v>876</v>
      </c>
      <c r="AB54" s="225">
        <v>794</v>
      </c>
      <c r="AC54" s="226">
        <v>848</v>
      </c>
      <c r="AD54" s="226">
        <v>722</v>
      </c>
      <c r="AE54" s="226">
        <v>827</v>
      </c>
      <c r="AF54" s="226">
        <v>906</v>
      </c>
      <c r="AG54" s="226">
        <v>725</v>
      </c>
      <c r="AH54" s="226">
        <v>304</v>
      </c>
      <c r="AI54" s="226">
        <v>405</v>
      </c>
      <c r="AJ54" s="227">
        <v>453</v>
      </c>
      <c r="AK54" s="227">
        <v>550</v>
      </c>
      <c r="AL54" s="227">
        <v>547</v>
      </c>
      <c r="AM54" s="227">
        <v>546</v>
      </c>
      <c r="AN54" s="227">
        <v>714</v>
      </c>
      <c r="AO54" s="227">
        <v>880</v>
      </c>
      <c r="AP54" s="227">
        <v>643</v>
      </c>
      <c r="AQ54" s="227">
        <v>643</v>
      </c>
      <c r="AR54" s="227">
        <v>866</v>
      </c>
      <c r="AS54" s="228">
        <v>1065</v>
      </c>
    </row>
    <row r="55" spans="1:45" x14ac:dyDescent="0.35">
      <c r="A55" s="209" t="s">
        <v>367</v>
      </c>
      <c r="B55" s="210"/>
      <c r="C55" s="225">
        <v>0</v>
      </c>
      <c r="D55" s="225">
        <v>0</v>
      </c>
      <c r="E55" s="225">
        <v>0</v>
      </c>
      <c r="F55" s="225">
        <v>0</v>
      </c>
      <c r="G55" s="225">
        <v>0</v>
      </c>
      <c r="H55" s="225">
        <v>0</v>
      </c>
      <c r="I55" s="225">
        <v>0</v>
      </c>
      <c r="J55" s="225">
        <v>0</v>
      </c>
      <c r="K55" s="225">
        <v>0</v>
      </c>
      <c r="L55" s="225">
        <v>0</v>
      </c>
      <c r="M55" s="225">
        <v>0</v>
      </c>
      <c r="N55" s="225">
        <v>0</v>
      </c>
      <c r="O55" s="225">
        <v>0</v>
      </c>
      <c r="P55" s="225">
        <v>0</v>
      </c>
      <c r="Q55" s="225">
        <v>0</v>
      </c>
      <c r="R55" s="225">
        <v>0</v>
      </c>
      <c r="S55" s="225">
        <v>0</v>
      </c>
      <c r="T55" s="225">
        <v>0</v>
      </c>
      <c r="U55" s="225">
        <v>0</v>
      </c>
      <c r="V55" s="225">
        <v>310447</v>
      </c>
      <c r="W55" s="225">
        <v>315831</v>
      </c>
      <c r="X55" s="225">
        <v>320496</v>
      </c>
      <c r="Y55" s="225">
        <v>1147081</v>
      </c>
      <c r="Z55" s="225">
        <v>834166</v>
      </c>
      <c r="AA55" s="225">
        <v>847802</v>
      </c>
      <c r="AB55" s="225">
        <v>861827</v>
      </c>
      <c r="AC55" s="226">
        <v>500674</v>
      </c>
      <c r="AD55" s="226">
        <v>507358</v>
      </c>
      <c r="AE55" s="226">
        <v>512906</v>
      </c>
      <c r="AF55" s="226">
        <v>516991</v>
      </c>
      <c r="AG55" s="226"/>
      <c r="AH55" s="226"/>
      <c r="AI55" s="226"/>
      <c r="AJ55" s="227"/>
      <c r="AK55" s="227"/>
      <c r="AL55" s="227"/>
      <c r="AN55" s="227"/>
      <c r="AO55" s="227"/>
      <c r="AP55" s="227">
        <v>501404</v>
      </c>
      <c r="AQ55" s="227">
        <v>501404</v>
      </c>
      <c r="AR55" s="227">
        <v>0</v>
      </c>
      <c r="AS55" s="228"/>
    </row>
    <row r="56" spans="1:45" x14ac:dyDescent="0.35">
      <c r="A56" s="209" t="s">
        <v>191</v>
      </c>
      <c r="B56" s="210"/>
      <c r="C56" s="225">
        <v>0</v>
      </c>
      <c r="D56" s="225">
        <v>0</v>
      </c>
      <c r="E56" s="225">
        <v>0</v>
      </c>
      <c r="F56" s="225">
        <v>0</v>
      </c>
      <c r="G56" s="225">
        <v>0</v>
      </c>
      <c r="H56" s="225">
        <v>0</v>
      </c>
      <c r="I56" s="225">
        <v>0</v>
      </c>
      <c r="J56" s="225">
        <v>0</v>
      </c>
      <c r="K56" s="225">
        <v>0</v>
      </c>
      <c r="L56" s="225">
        <v>0</v>
      </c>
      <c r="M56" s="225">
        <v>0</v>
      </c>
      <c r="N56" s="225">
        <v>0</v>
      </c>
      <c r="O56" s="225">
        <v>0</v>
      </c>
      <c r="P56" s="225">
        <v>0</v>
      </c>
      <c r="Q56" s="225">
        <v>0</v>
      </c>
      <c r="R56" s="225">
        <v>0</v>
      </c>
      <c r="S56" s="225">
        <v>0</v>
      </c>
      <c r="T56" s="225">
        <v>0</v>
      </c>
      <c r="U56" s="225">
        <v>0</v>
      </c>
      <c r="V56" s="225">
        <v>3269</v>
      </c>
      <c r="W56" s="225">
        <v>18561</v>
      </c>
      <c r="X56" s="225">
        <v>10220</v>
      </c>
      <c r="Y56" s="225">
        <v>24976</v>
      </c>
      <c r="Z56" s="225">
        <v>14112</v>
      </c>
      <c r="AA56" s="225">
        <v>37348</v>
      </c>
      <c r="AB56" s="225">
        <v>17861</v>
      </c>
      <c r="AC56" s="226">
        <v>42009</v>
      </c>
      <c r="AD56" s="226">
        <v>11622</v>
      </c>
      <c r="AE56" s="226">
        <v>14199</v>
      </c>
      <c r="AF56" s="226">
        <v>7385</v>
      </c>
      <c r="AG56" s="226">
        <v>12997</v>
      </c>
      <c r="AH56" s="226">
        <v>3161</v>
      </c>
      <c r="AI56" s="226">
        <v>8448</v>
      </c>
      <c r="AJ56" s="227">
        <v>7993</v>
      </c>
      <c r="AK56" s="227">
        <v>17090</v>
      </c>
      <c r="AL56" s="227">
        <v>12247</v>
      </c>
      <c r="AM56" s="227">
        <v>103167</v>
      </c>
      <c r="AN56" s="227">
        <v>108881</v>
      </c>
      <c r="AO56" s="227">
        <v>142446</v>
      </c>
      <c r="AP56" s="227">
        <v>125480</v>
      </c>
      <c r="AQ56" s="227">
        <v>125480</v>
      </c>
      <c r="AR56" s="227">
        <v>122855</v>
      </c>
      <c r="AS56" s="228">
        <v>140447</v>
      </c>
    </row>
    <row r="57" spans="1:45" x14ac:dyDescent="0.35">
      <c r="A57" s="209" t="s">
        <v>353</v>
      </c>
      <c r="B57" s="210"/>
      <c r="C57" s="225">
        <v>689</v>
      </c>
      <c r="D57" s="225">
        <v>125</v>
      </c>
      <c r="E57" s="225">
        <v>258</v>
      </c>
      <c r="F57" s="225">
        <v>72</v>
      </c>
      <c r="G57" s="225">
        <v>254</v>
      </c>
      <c r="H57" s="225">
        <v>71</v>
      </c>
      <c r="I57" s="225">
        <v>79</v>
      </c>
      <c r="J57" s="225">
        <v>94</v>
      </c>
      <c r="K57" s="225">
        <v>1672</v>
      </c>
      <c r="L57" s="225">
        <v>77</v>
      </c>
      <c r="M57" s="225">
        <v>436</v>
      </c>
      <c r="N57" s="225">
        <v>483</v>
      </c>
      <c r="O57" s="225">
        <v>3068</v>
      </c>
      <c r="P57" s="225">
        <v>2151</v>
      </c>
      <c r="Q57" s="225">
        <v>3143</v>
      </c>
      <c r="R57" s="225">
        <v>4013</v>
      </c>
      <c r="S57" s="225">
        <v>4915</v>
      </c>
      <c r="T57" s="225">
        <v>5097</v>
      </c>
      <c r="U57" s="225">
        <v>3742</v>
      </c>
      <c r="V57" s="225">
        <v>3851</v>
      </c>
      <c r="W57" s="225">
        <v>3021</v>
      </c>
      <c r="X57" s="225">
        <v>2870</v>
      </c>
      <c r="Y57" s="225">
        <v>2774</v>
      </c>
      <c r="Z57" s="225">
        <v>2769</v>
      </c>
      <c r="AA57" s="225">
        <v>2612</v>
      </c>
      <c r="AB57" s="225">
        <v>2586</v>
      </c>
      <c r="AC57" s="226">
        <v>2634</v>
      </c>
      <c r="AD57" s="226">
        <v>2761</v>
      </c>
      <c r="AE57" s="226">
        <v>2635</v>
      </c>
      <c r="AF57" s="226">
        <v>3168</v>
      </c>
      <c r="AG57" s="226">
        <v>2946</v>
      </c>
      <c r="AH57" s="226">
        <v>2763</v>
      </c>
      <c r="AI57" s="226">
        <v>2718</v>
      </c>
      <c r="AJ57" s="227">
        <v>2663</v>
      </c>
      <c r="AK57" s="227">
        <v>3213</v>
      </c>
      <c r="AL57" s="227">
        <v>3644</v>
      </c>
      <c r="AM57" s="227">
        <v>3022</v>
      </c>
      <c r="AN57" s="227">
        <v>2316</v>
      </c>
      <c r="AO57" s="227">
        <v>878</v>
      </c>
      <c r="AP57" s="227">
        <v>2221</v>
      </c>
      <c r="AQ57" s="227">
        <v>2221</v>
      </c>
      <c r="AR57" s="227">
        <v>2116</v>
      </c>
      <c r="AS57" s="228">
        <v>7434</v>
      </c>
    </row>
    <row r="58" spans="1:45" x14ac:dyDescent="0.35">
      <c r="A58" s="209" t="s">
        <v>394</v>
      </c>
      <c r="B58" s="210"/>
      <c r="C58" s="225">
        <v>198</v>
      </c>
      <c r="D58" s="225">
        <v>9</v>
      </c>
      <c r="E58" s="225">
        <v>5247</v>
      </c>
      <c r="F58" s="225">
        <v>11772</v>
      </c>
      <c r="G58" s="225">
        <v>3123</v>
      </c>
      <c r="H58" s="225">
        <v>8197</v>
      </c>
      <c r="I58" s="225">
        <v>12837</v>
      </c>
      <c r="J58" s="225">
        <v>7209</v>
      </c>
      <c r="K58" s="225">
        <v>8040</v>
      </c>
      <c r="L58" s="225">
        <v>13404</v>
      </c>
      <c r="M58" s="225">
        <v>17491</v>
      </c>
      <c r="N58" s="225">
        <v>10637</v>
      </c>
      <c r="O58" s="225">
        <v>6643</v>
      </c>
      <c r="P58" s="225">
        <v>10378</v>
      </c>
      <c r="Q58" s="225">
        <v>7466</v>
      </c>
      <c r="R58" s="225">
        <v>0</v>
      </c>
      <c r="S58" s="225">
        <v>4978</v>
      </c>
      <c r="T58" s="225">
        <v>3724</v>
      </c>
      <c r="U58" s="225">
        <v>629</v>
      </c>
      <c r="V58" s="225">
        <v>5443</v>
      </c>
      <c r="W58" s="225">
        <v>3227</v>
      </c>
      <c r="X58" s="225">
        <v>3272</v>
      </c>
      <c r="Y58" s="225">
        <v>3233</v>
      </c>
      <c r="Z58" s="225">
        <v>3249</v>
      </c>
      <c r="AA58" s="225">
        <v>3229</v>
      </c>
      <c r="AB58" s="225">
        <v>3236</v>
      </c>
      <c r="AC58" s="226">
        <v>3241</v>
      </c>
      <c r="AD58" s="226">
        <v>41</v>
      </c>
      <c r="AE58" s="226">
        <v>17</v>
      </c>
      <c r="AF58" s="226">
        <v>19</v>
      </c>
      <c r="AG58" s="226">
        <v>11</v>
      </c>
      <c r="AH58" s="226">
        <v>61</v>
      </c>
      <c r="AI58" s="226">
        <v>30</v>
      </c>
      <c r="AJ58" s="227">
        <v>16</v>
      </c>
      <c r="AK58" s="227">
        <v>88</v>
      </c>
      <c r="AL58" s="227">
        <v>116</v>
      </c>
      <c r="AM58" s="227">
        <v>88</v>
      </c>
      <c r="AN58" s="227">
        <v>16</v>
      </c>
      <c r="AO58" s="227">
        <v>12</v>
      </c>
      <c r="AP58" s="227">
        <v>42</v>
      </c>
      <c r="AQ58" s="227">
        <v>42</v>
      </c>
      <c r="AR58" s="227">
        <v>24</v>
      </c>
      <c r="AS58" s="228">
        <v>5</v>
      </c>
    </row>
    <row r="59" spans="1:45" x14ac:dyDescent="0.35">
      <c r="A59" s="209" t="s">
        <v>395</v>
      </c>
      <c r="B59" s="210"/>
      <c r="C59" s="225">
        <v>33829</v>
      </c>
      <c r="D59" s="225">
        <v>33829</v>
      </c>
      <c r="E59" s="225">
        <v>33829</v>
      </c>
      <c r="F59" s="225">
        <v>16399</v>
      </c>
      <c r="G59" s="225">
        <v>16399</v>
      </c>
      <c r="H59" s="225">
        <v>17958</v>
      </c>
      <c r="I59" s="225">
        <v>17958</v>
      </c>
      <c r="J59" s="225">
        <v>151565</v>
      </c>
      <c r="K59" s="225">
        <v>151565</v>
      </c>
      <c r="L59" s="225">
        <v>151565</v>
      </c>
      <c r="M59" s="225">
        <v>151565</v>
      </c>
      <c r="N59" s="225">
        <v>191943</v>
      </c>
      <c r="O59" s="225">
        <v>191943</v>
      </c>
      <c r="P59" s="225">
        <v>191943</v>
      </c>
      <c r="Q59" s="225">
        <v>191943</v>
      </c>
      <c r="R59" s="225">
        <v>169288</v>
      </c>
      <c r="S59" s="225">
        <v>169288</v>
      </c>
      <c r="T59" s="225">
        <v>169284</v>
      </c>
      <c r="U59" s="225">
        <v>169284</v>
      </c>
      <c r="V59" s="225">
        <v>234834</v>
      </c>
      <c r="W59" s="225">
        <v>234679</v>
      </c>
      <c r="X59" s="225">
        <v>234679</v>
      </c>
      <c r="Y59" s="225">
        <v>234679</v>
      </c>
      <c r="Z59" s="225">
        <v>190701</v>
      </c>
      <c r="AA59" s="225">
        <v>190490</v>
      </c>
      <c r="AB59" s="225">
        <v>190490</v>
      </c>
      <c r="AC59" s="226">
        <v>190491</v>
      </c>
      <c r="AD59" s="226">
        <v>322581</v>
      </c>
      <c r="AE59" s="226">
        <v>322469</v>
      </c>
      <c r="AF59" s="226">
        <v>322469</v>
      </c>
      <c r="AG59" s="226">
        <v>322469</v>
      </c>
      <c r="AH59" s="226">
        <v>547597</v>
      </c>
      <c r="AI59" s="226">
        <v>547565</v>
      </c>
      <c r="AJ59" s="227">
        <v>707099</v>
      </c>
      <c r="AK59" s="227">
        <v>707054</v>
      </c>
      <c r="AL59" s="227"/>
      <c r="AM59" s="227">
        <v>648864</v>
      </c>
      <c r="AN59" s="227">
        <v>648864</v>
      </c>
      <c r="AO59" s="227">
        <v>704041</v>
      </c>
      <c r="AP59" s="227">
        <v>381207</v>
      </c>
      <c r="AQ59" s="227">
        <v>384613</v>
      </c>
      <c r="AR59" s="227">
        <v>42</v>
      </c>
      <c r="AS59" s="228">
        <v>42</v>
      </c>
    </row>
    <row r="60" spans="1:45" x14ac:dyDescent="0.35">
      <c r="A60" s="209" t="s">
        <v>357</v>
      </c>
      <c r="B60" s="210"/>
      <c r="C60" s="225">
        <v>0</v>
      </c>
      <c r="D60" s="225">
        <v>0</v>
      </c>
      <c r="E60" s="225">
        <v>0</v>
      </c>
      <c r="F60" s="225">
        <v>0</v>
      </c>
      <c r="G60" s="225">
        <v>0</v>
      </c>
      <c r="H60" s="225">
        <v>0</v>
      </c>
      <c r="I60" s="225">
        <v>0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0</v>
      </c>
      <c r="P60" s="225">
        <v>0</v>
      </c>
      <c r="Q60" s="225">
        <v>0</v>
      </c>
      <c r="R60" s="225">
        <v>0</v>
      </c>
      <c r="S60" s="225">
        <v>0</v>
      </c>
      <c r="T60" s="225">
        <v>0</v>
      </c>
      <c r="U60" s="225">
        <v>0</v>
      </c>
      <c r="V60" s="225">
        <v>0</v>
      </c>
      <c r="W60" s="225">
        <v>0</v>
      </c>
      <c r="X60" s="225">
        <v>0</v>
      </c>
      <c r="Y60" s="225">
        <v>0</v>
      </c>
      <c r="Z60" s="225">
        <v>0</v>
      </c>
      <c r="AA60" s="225"/>
      <c r="AB60" s="225"/>
      <c r="AC60" s="226"/>
      <c r="AD60" s="226"/>
      <c r="AE60" s="226"/>
      <c r="AF60" s="226"/>
      <c r="AG60" s="226"/>
      <c r="AH60" s="226"/>
      <c r="AI60" s="226"/>
      <c r="AJ60" s="227"/>
      <c r="AK60" s="227"/>
      <c r="AL60" s="227"/>
      <c r="AN60" s="227"/>
      <c r="AO60" s="227"/>
      <c r="AP60" s="227"/>
      <c r="AQ60" s="227"/>
      <c r="AR60" s="227"/>
      <c r="AS60" s="228"/>
    </row>
    <row r="61" spans="1:45" x14ac:dyDescent="0.35">
      <c r="A61" s="209" t="s">
        <v>359</v>
      </c>
      <c r="B61" s="210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6">
        <v>15493</v>
      </c>
      <c r="AD61" s="226">
        <v>17466</v>
      </c>
      <c r="AE61" s="226">
        <v>19065</v>
      </c>
      <c r="AF61" s="226">
        <v>20451</v>
      </c>
      <c r="AG61" s="226">
        <v>17026</v>
      </c>
      <c r="AH61" s="226">
        <v>18848</v>
      </c>
      <c r="AI61" s="226">
        <v>19994</v>
      </c>
      <c r="AJ61" s="227">
        <v>16156</v>
      </c>
      <c r="AK61" s="227"/>
      <c r="AL61" s="227">
        <v>18328</v>
      </c>
      <c r="AM61" s="227">
        <v>20033</v>
      </c>
      <c r="AN61" s="227">
        <v>13560</v>
      </c>
      <c r="AO61" s="227">
        <v>15267</v>
      </c>
      <c r="AP61" s="227">
        <v>16973</v>
      </c>
      <c r="AQ61" s="227">
        <v>16973</v>
      </c>
      <c r="AR61" s="227">
        <v>11558</v>
      </c>
      <c r="AS61" s="228">
        <v>13168</v>
      </c>
    </row>
    <row r="62" spans="1:45" x14ac:dyDescent="0.35">
      <c r="A62" s="209" t="s">
        <v>325</v>
      </c>
      <c r="B62" s="210"/>
      <c r="C62" s="225">
        <v>0</v>
      </c>
      <c r="D62" s="225">
        <v>0</v>
      </c>
      <c r="E62" s="225">
        <v>0</v>
      </c>
      <c r="F62" s="225">
        <v>0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  <c r="L62" s="225">
        <v>0</v>
      </c>
      <c r="M62" s="225">
        <v>0</v>
      </c>
      <c r="N62" s="225">
        <v>0</v>
      </c>
      <c r="O62" s="225">
        <v>0</v>
      </c>
      <c r="P62" s="225">
        <v>0</v>
      </c>
      <c r="Q62" s="225">
        <v>0</v>
      </c>
      <c r="R62" s="225">
        <v>0</v>
      </c>
      <c r="S62" s="225">
        <v>0</v>
      </c>
      <c r="T62" s="225">
        <v>0</v>
      </c>
      <c r="U62" s="225">
        <v>0</v>
      </c>
      <c r="V62" s="225">
        <v>0</v>
      </c>
      <c r="W62" s="225">
        <v>0</v>
      </c>
      <c r="X62" s="225">
        <v>0</v>
      </c>
      <c r="Y62" s="225">
        <v>0</v>
      </c>
      <c r="Z62" s="225">
        <v>0</v>
      </c>
      <c r="AA62" s="225"/>
      <c r="AB62" s="225"/>
      <c r="AJ62" s="227">
        <v>94528</v>
      </c>
      <c r="AK62" s="227">
        <v>17122</v>
      </c>
      <c r="AL62" s="227"/>
      <c r="AN62" s="227"/>
      <c r="AO62" s="227"/>
      <c r="AP62" s="227"/>
      <c r="AQ62" s="227"/>
      <c r="AR62" s="227"/>
      <c r="AS62" s="228"/>
    </row>
    <row r="63" spans="1:45" x14ac:dyDescent="0.35">
      <c r="A63" s="209" t="s">
        <v>396</v>
      </c>
      <c r="B63" s="210"/>
      <c r="C63" s="225">
        <v>0</v>
      </c>
      <c r="D63" s="225"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5">
        <v>0</v>
      </c>
      <c r="T63" s="225">
        <v>0</v>
      </c>
      <c r="U63" s="225">
        <v>0</v>
      </c>
      <c r="V63" s="225">
        <v>0</v>
      </c>
      <c r="W63" s="225">
        <v>0</v>
      </c>
      <c r="X63" s="225">
        <v>0</v>
      </c>
      <c r="Y63" s="225">
        <v>0</v>
      </c>
      <c r="Z63" s="225">
        <v>0</v>
      </c>
      <c r="AA63" s="225"/>
      <c r="AB63" s="225"/>
      <c r="AC63" s="226"/>
      <c r="AD63" s="226"/>
      <c r="AE63" s="226"/>
      <c r="AF63" s="226"/>
      <c r="AG63" s="226"/>
      <c r="AH63" s="226"/>
      <c r="AI63" s="226"/>
      <c r="AJ63" s="227"/>
      <c r="AK63" s="227"/>
      <c r="AL63" s="227"/>
      <c r="AN63" s="227"/>
      <c r="AO63" s="227"/>
      <c r="AP63" s="227"/>
      <c r="AQ63" s="227"/>
      <c r="AR63" s="227"/>
      <c r="AS63" s="228"/>
    </row>
    <row r="64" spans="1:45" x14ac:dyDescent="0.35">
      <c r="A64" s="209" t="s">
        <v>360</v>
      </c>
      <c r="B64" s="210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6"/>
      <c r="AD64" s="226"/>
      <c r="AE64" s="226"/>
      <c r="AF64" s="226"/>
      <c r="AG64" s="226"/>
      <c r="AH64" s="226"/>
      <c r="AI64" s="226"/>
      <c r="AJ64" s="227"/>
      <c r="AK64" s="227"/>
      <c r="AL64" s="227"/>
      <c r="AN64" s="227"/>
      <c r="AO64" s="227"/>
      <c r="AP64" s="227"/>
      <c r="AQ64" s="227"/>
      <c r="AR64" s="227"/>
      <c r="AS64" s="228"/>
    </row>
    <row r="65" spans="1:45" x14ac:dyDescent="0.35">
      <c r="A65" s="209" t="s">
        <v>358</v>
      </c>
      <c r="B65" s="210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6"/>
      <c r="AD65" s="226"/>
      <c r="AE65" s="226"/>
      <c r="AF65" s="226"/>
      <c r="AG65" s="226"/>
      <c r="AH65" s="226"/>
      <c r="AI65" s="226"/>
      <c r="AJ65" s="227"/>
      <c r="AK65" s="227"/>
      <c r="AL65" s="227"/>
      <c r="AN65" s="227"/>
      <c r="AO65" s="227"/>
      <c r="AP65" s="227"/>
      <c r="AQ65" s="227"/>
      <c r="AR65" s="227"/>
      <c r="AS65" s="228"/>
    </row>
    <row r="66" spans="1:45" x14ac:dyDescent="0.35">
      <c r="A66" s="209" t="s">
        <v>363</v>
      </c>
      <c r="B66" s="210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6"/>
      <c r="AD66" s="226"/>
      <c r="AE66" s="226"/>
      <c r="AF66" s="226"/>
      <c r="AG66" s="226"/>
      <c r="AH66" s="226"/>
      <c r="AI66" s="226"/>
      <c r="AJ66" s="227"/>
      <c r="AK66" s="227"/>
      <c r="AL66" s="227"/>
      <c r="AN66" s="227"/>
      <c r="AO66" s="227"/>
      <c r="AP66" s="227"/>
      <c r="AQ66" s="227"/>
      <c r="AR66" s="227"/>
      <c r="AS66" s="228"/>
    </row>
    <row r="67" spans="1:45" ht="15" thickBot="1" x14ac:dyDescent="0.4">
      <c r="A67" s="209" t="s">
        <v>366</v>
      </c>
      <c r="B67" s="210"/>
      <c r="C67" s="225">
        <v>33470</v>
      </c>
      <c r="D67" s="225">
        <v>26550</v>
      </c>
      <c r="E67" s="225">
        <v>27910</v>
      </c>
      <c r="F67" s="225">
        <v>8076</v>
      </c>
      <c r="G67" s="225">
        <v>1965</v>
      </c>
      <c r="H67" s="225">
        <v>3068</v>
      </c>
      <c r="I67" s="225">
        <v>3517</v>
      </c>
      <c r="J67" s="225">
        <v>4480</v>
      </c>
      <c r="K67" s="225">
        <v>1153</v>
      </c>
      <c r="L67" s="225">
        <v>2174</v>
      </c>
      <c r="M67" s="225">
        <v>3426</v>
      </c>
      <c r="N67" s="225">
        <v>3251</v>
      </c>
      <c r="O67" s="225">
        <v>1222</v>
      </c>
      <c r="P67" s="225">
        <v>2384</v>
      </c>
      <c r="Q67" s="225">
        <v>3546</v>
      </c>
      <c r="R67" s="225">
        <v>4551</v>
      </c>
      <c r="S67" s="225">
        <v>5324</v>
      </c>
      <c r="T67" s="225">
        <v>284</v>
      </c>
      <c r="U67" s="225">
        <v>17311</v>
      </c>
      <c r="V67" s="225">
        <v>22946</v>
      </c>
      <c r="W67" s="225">
        <v>25109</v>
      </c>
      <c r="X67" s="225">
        <v>20473</v>
      </c>
      <c r="Y67" s="225">
        <v>22792</v>
      </c>
      <c r="Z67" s="225">
        <v>26736</v>
      </c>
      <c r="AA67" s="225">
        <v>17682</v>
      </c>
      <c r="AB67" s="225">
        <f>14384+15</f>
        <v>14399</v>
      </c>
      <c r="AC67" s="226"/>
      <c r="AD67" s="226">
        <f>150+15</f>
        <v>165</v>
      </c>
      <c r="AE67" s="226">
        <v>89</v>
      </c>
      <c r="AF67" s="226">
        <v>158</v>
      </c>
      <c r="AG67" s="226">
        <v>142</v>
      </c>
      <c r="AH67" s="226">
        <v>139</v>
      </c>
      <c r="AI67" s="226">
        <v>149</v>
      </c>
      <c r="AJ67" s="227">
        <v>135</v>
      </c>
      <c r="AK67" s="227">
        <v>168</v>
      </c>
      <c r="AL67" s="227">
        <v>159</v>
      </c>
      <c r="AM67" s="227">
        <v>157</v>
      </c>
      <c r="AN67" s="227">
        <v>2</v>
      </c>
      <c r="AO67" s="227">
        <v>5</v>
      </c>
      <c r="AP67" s="227">
        <v>4</v>
      </c>
      <c r="AQ67" s="227">
        <v>4</v>
      </c>
      <c r="AR67" s="227">
        <v>3</v>
      </c>
      <c r="AS67" s="228">
        <v>2</v>
      </c>
    </row>
    <row r="68" spans="1:45" ht="15" thickBot="1" x14ac:dyDescent="0.4">
      <c r="A68" s="213" t="s">
        <v>333</v>
      </c>
      <c r="B68" s="206"/>
      <c r="C68" s="214">
        <f t="shared" ref="C68:AE68" si="13">SUM(C70:C81)</f>
        <v>50</v>
      </c>
      <c r="D68" s="214">
        <f t="shared" si="13"/>
        <v>50</v>
      </c>
      <c r="E68" s="214">
        <f t="shared" si="13"/>
        <v>50</v>
      </c>
      <c r="F68" s="214">
        <f t="shared" si="13"/>
        <v>50</v>
      </c>
      <c r="G68" s="214">
        <f t="shared" si="13"/>
        <v>50</v>
      </c>
      <c r="H68" s="214">
        <f t="shared" si="13"/>
        <v>50</v>
      </c>
      <c r="I68" s="214">
        <f t="shared" si="13"/>
        <v>50</v>
      </c>
      <c r="J68" s="214">
        <f t="shared" si="13"/>
        <v>50</v>
      </c>
      <c r="K68" s="214">
        <f t="shared" si="13"/>
        <v>50</v>
      </c>
      <c r="L68" s="214">
        <f t="shared" si="13"/>
        <v>50</v>
      </c>
      <c r="M68" s="214">
        <f t="shared" si="13"/>
        <v>50</v>
      </c>
      <c r="N68" s="214">
        <f t="shared" si="13"/>
        <v>50</v>
      </c>
      <c r="O68" s="214">
        <f t="shared" si="13"/>
        <v>50</v>
      </c>
      <c r="P68" s="214">
        <f t="shared" si="13"/>
        <v>50</v>
      </c>
      <c r="Q68" s="214">
        <f t="shared" si="13"/>
        <v>50</v>
      </c>
      <c r="R68" s="214">
        <f t="shared" si="13"/>
        <v>50</v>
      </c>
      <c r="S68" s="214">
        <f t="shared" si="13"/>
        <v>50</v>
      </c>
      <c r="T68" s="214">
        <f t="shared" si="13"/>
        <v>1583</v>
      </c>
      <c r="U68" s="214">
        <f t="shared" si="13"/>
        <v>1118</v>
      </c>
      <c r="V68" s="214">
        <f t="shared" si="13"/>
        <v>817209</v>
      </c>
      <c r="W68" s="214">
        <f t="shared" si="13"/>
        <v>817818</v>
      </c>
      <c r="X68" s="214">
        <f t="shared" si="13"/>
        <v>813276</v>
      </c>
      <c r="Y68" s="214">
        <f t="shared" si="13"/>
        <v>815580</v>
      </c>
      <c r="Z68" s="214">
        <f t="shared" si="13"/>
        <v>1264831</v>
      </c>
      <c r="AA68" s="214">
        <f t="shared" si="13"/>
        <v>1266289</v>
      </c>
      <c r="AB68" s="214">
        <f t="shared" si="13"/>
        <v>1267795</v>
      </c>
      <c r="AC68" s="214">
        <f t="shared" si="13"/>
        <v>1266925</v>
      </c>
      <c r="AD68" s="214">
        <f t="shared" si="13"/>
        <v>1269524</v>
      </c>
      <c r="AE68" s="214">
        <f t="shared" si="13"/>
        <v>575635</v>
      </c>
      <c r="AF68" s="214">
        <v>575221</v>
      </c>
      <c r="AG68" s="214">
        <f t="shared" ref="AG68:AR68" si="14">SUM(AG70:AG81)</f>
        <v>576608</v>
      </c>
      <c r="AH68" s="214">
        <f t="shared" si="14"/>
        <v>598500</v>
      </c>
      <c r="AI68" s="214">
        <f t="shared" si="14"/>
        <v>606770</v>
      </c>
      <c r="AJ68" s="214">
        <f t="shared" si="14"/>
        <v>605854</v>
      </c>
      <c r="AK68" s="214">
        <f t="shared" si="14"/>
        <v>1024780</v>
      </c>
      <c r="AL68" s="214">
        <f t="shared" si="14"/>
        <v>2632061</v>
      </c>
      <c r="AM68" s="214">
        <f t="shared" si="14"/>
        <v>4658832</v>
      </c>
      <c r="AN68" s="214">
        <f t="shared" si="14"/>
        <v>4806288</v>
      </c>
      <c r="AO68" s="214">
        <f t="shared" si="14"/>
        <v>4898973</v>
      </c>
      <c r="AP68" s="214">
        <f t="shared" si="14"/>
        <v>4741365</v>
      </c>
      <c r="AQ68" s="214">
        <f t="shared" si="14"/>
        <v>4741366</v>
      </c>
      <c r="AR68" s="214">
        <f t="shared" si="14"/>
        <v>4671566</v>
      </c>
      <c r="AS68" s="214">
        <f>SUM(AS70:AS81)</f>
        <v>4709823</v>
      </c>
    </row>
    <row r="69" spans="1:45" x14ac:dyDescent="0.35">
      <c r="A69" s="209" t="s">
        <v>348</v>
      </c>
      <c r="B69" s="20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N69" s="235"/>
      <c r="AO69" s="235"/>
      <c r="AP69" s="235"/>
      <c r="AQ69" s="235"/>
      <c r="AR69" s="235"/>
      <c r="AS69" s="236"/>
    </row>
    <row r="70" spans="1:45" x14ac:dyDescent="0.35">
      <c r="A70" s="209" t="s">
        <v>367</v>
      </c>
      <c r="B70" s="210"/>
      <c r="C70" s="237">
        <v>0</v>
      </c>
      <c r="D70" s="237">
        <v>0</v>
      </c>
      <c r="E70" s="237">
        <v>0</v>
      </c>
      <c r="F70" s="237">
        <v>0</v>
      </c>
      <c r="G70" s="237">
        <v>0</v>
      </c>
      <c r="H70" s="237">
        <v>0</v>
      </c>
      <c r="I70" s="237">
        <v>0</v>
      </c>
      <c r="J70" s="237">
        <v>0</v>
      </c>
      <c r="K70" s="237">
        <v>0</v>
      </c>
      <c r="L70" s="237">
        <v>0</v>
      </c>
      <c r="M70" s="237">
        <v>0</v>
      </c>
      <c r="N70" s="237">
        <v>0</v>
      </c>
      <c r="O70" s="237">
        <v>0</v>
      </c>
      <c r="P70" s="237">
        <v>0</v>
      </c>
      <c r="Q70" s="237">
        <v>0</v>
      </c>
      <c r="R70" s="237">
        <v>0</v>
      </c>
      <c r="S70" s="237">
        <v>0</v>
      </c>
      <c r="T70" s="237">
        <v>0</v>
      </c>
      <c r="U70" s="237">
        <v>0</v>
      </c>
      <c r="V70" s="237">
        <v>0</v>
      </c>
      <c r="W70" s="237">
        <v>0</v>
      </c>
      <c r="X70" s="237">
        <v>0</v>
      </c>
      <c r="Y70" s="237">
        <v>0</v>
      </c>
      <c r="Z70" s="237"/>
      <c r="AA70" s="237"/>
      <c r="AB70" s="237"/>
      <c r="AC70" s="238"/>
      <c r="AD70" s="238"/>
      <c r="AE70" s="238"/>
      <c r="AF70" s="238"/>
      <c r="AG70" s="238"/>
      <c r="AH70" s="238"/>
      <c r="AI70" s="238"/>
      <c r="AJ70" s="239"/>
      <c r="AK70" s="239"/>
      <c r="AL70" s="239"/>
      <c r="AN70" s="239"/>
      <c r="AO70" s="239"/>
      <c r="AP70" s="239"/>
      <c r="AQ70" s="239"/>
      <c r="AR70" s="239"/>
      <c r="AS70" s="240"/>
    </row>
    <row r="71" spans="1:45" x14ac:dyDescent="0.35">
      <c r="A71" s="209" t="s">
        <v>191</v>
      </c>
      <c r="B71" s="210"/>
      <c r="C71" s="237">
        <v>0</v>
      </c>
      <c r="D71" s="237">
        <v>0</v>
      </c>
      <c r="E71" s="237">
        <v>0</v>
      </c>
      <c r="F71" s="237">
        <v>0</v>
      </c>
      <c r="G71" s="237">
        <v>0</v>
      </c>
      <c r="H71" s="237">
        <v>0</v>
      </c>
      <c r="I71" s="237">
        <v>0</v>
      </c>
      <c r="J71" s="237">
        <v>0</v>
      </c>
      <c r="K71" s="237">
        <v>0</v>
      </c>
      <c r="L71" s="237">
        <v>0</v>
      </c>
      <c r="M71" s="237">
        <v>0</v>
      </c>
      <c r="N71" s="237">
        <v>0</v>
      </c>
      <c r="O71" s="237">
        <v>0</v>
      </c>
      <c r="P71" s="237">
        <v>0</v>
      </c>
      <c r="Q71" s="237">
        <v>0</v>
      </c>
      <c r="R71" s="237">
        <v>0</v>
      </c>
      <c r="S71" s="237">
        <v>0</v>
      </c>
      <c r="T71" s="237">
        <v>0</v>
      </c>
      <c r="U71" s="237">
        <v>0</v>
      </c>
      <c r="V71" s="237">
        <v>800195</v>
      </c>
      <c r="W71" s="237">
        <v>801318</v>
      </c>
      <c r="X71" s="237">
        <v>796776</v>
      </c>
      <c r="Y71" s="237">
        <v>799080</v>
      </c>
      <c r="Z71" s="237">
        <v>1248331</v>
      </c>
      <c r="AA71" s="237">
        <v>1249789</v>
      </c>
      <c r="AB71" s="237">
        <v>1251295</v>
      </c>
      <c r="AC71" s="238">
        <v>1250425</v>
      </c>
      <c r="AD71" s="238">
        <v>1252232</v>
      </c>
      <c r="AE71" s="238">
        <v>558321</v>
      </c>
      <c r="AF71" s="238">
        <v>557999</v>
      </c>
      <c r="AG71" s="238">
        <v>559420</v>
      </c>
      <c r="AH71" s="238">
        <v>562926</v>
      </c>
      <c r="AI71" s="238">
        <v>566063</v>
      </c>
      <c r="AJ71" s="239">
        <v>568539</v>
      </c>
      <c r="AK71" s="239">
        <v>572207</v>
      </c>
      <c r="AL71" s="239">
        <v>2436140</v>
      </c>
      <c r="AM71" s="239">
        <v>4424046</v>
      </c>
      <c r="AN71" s="239">
        <v>4426538</v>
      </c>
      <c r="AO71" s="239">
        <v>4427526</v>
      </c>
      <c r="AP71" s="239">
        <v>4428580</v>
      </c>
      <c r="AQ71" s="239">
        <v>4428580</v>
      </c>
      <c r="AR71" s="239">
        <v>4430687</v>
      </c>
      <c r="AS71" s="240">
        <v>4431741</v>
      </c>
    </row>
    <row r="72" spans="1:45" x14ac:dyDescent="0.35">
      <c r="A72" s="209" t="s">
        <v>353</v>
      </c>
      <c r="B72" s="210"/>
      <c r="C72" s="237">
        <v>0</v>
      </c>
      <c r="D72" s="237">
        <v>0</v>
      </c>
      <c r="E72" s="237">
        <v>0</v>
      </c>
      <c r="F72" s="237">
        <v>0</v>
      </c>
      <c r="G72" s="237">
        <v>0</v>
      </c>
      <c r="H72" s="237">
        <v>0</v>
      </c>
      <c r="I72" s="237">
        <v>0</v>
      </c>
      <c r="J72" s="237">
        <v>0</v>
      </c>
      <c r="K72" s="237">
        <v>0</v>
      </c>
      <c r="L72" s="237">
        <v>0</v>
      </c>
      <c r="M72" s="237">
        <v>0</v>
      </c>
      <c r="N72" s="237">
        <v>0</v>
      </c>
      <c r="O72" s="237">
        <v>0</v>
      </c>
      <c r="P72" s="237">
        <v>0</v>
      </c>
      <c r="Q72" s="237">
        <v>0</v>
      </c>
      <c r="R72" s="237">
        <v>0</v>
      </c>
      <c r="S72" s="237">
        <v>0</v>
      </c>
      <c r="T72" s="237">
        <v>0</v>
      </c>
      <c r="U72" s="237">
        <v>0</v>
      </c>
      <c r="V72" s="237">
        <v>0</v>
      </c>
      <c r="W72" s="237">
        <v>0</v>
      </c>
      <c r="X72" s="237">
        <v>0</v>
      </c>
      <c r="Y72" s="237">
        <v>0</v>
      </c>
      <c r="Z72" s="237"/>
      <c r="AA72" s="237"/>
      <c r="AB72" s="237"/>
      <c r="AC72" s="238"/>
      <c r="AD72" s="238"/>
      <c r="AE72" s="238"/>
      <c r="AF72" s="238"/>
      <c r="AG72" s="238"/>
      <c r="AH72" s="238"/>
      <c r="AI72" s="238"/>
      <c r="AJ72" s="239"/>
      <c r="AK72" s="239"/>
      <c r="AL72" s="239"/>
      <c r="AN72" s="239"/>
      <c r="AO72" s="239"/>
      <c r="AP72" s="239"/>
      <c r="AQ72" s="239"/>
      <c r="AR72" s="239"/>
      <c r="AS72" s="240"/>
    </row>
    <row r="73" spans="1:45" x14ac:dyDescent="0.35">
      <c r="A73" s="209" t="s">
        <v>397</v>
      </c>
      <c r="B73" s="210"/>
      <c r="C73" s="237">
        <v>50</v>
      </c>
      <c r="D73" s="237">
        <v>50</v>
      </c>
      <c r="E73" s="237">
        <v>50</v>
      </c>
      <c r="F73" s="237">
        <v>50</v>
      </c>
      <c r="G73" s="237">
        <v>50</v>
      </c>
      <c r="H73" s="237">
        <v>50</v>
      </c>
      <c r="I73" s="237">
        <v>50</v>
      </c>
      <c r="J73" s="237">
        <v>50</v>
      </c>
      <c r="K73" s="237">
        <v>50</v>
      </c>
      <c r="L73" s="237">
        <v>50</v>
      </c>
      <c r="M73" s="237">
        <v>50</v>
      </c>
      <c r="N73" s="237">
        <v>50</v>
      </c>
      <c r="O73" s="237">
        <v>50</v>
      </c>
      <c r="P73" s="237">
        <v>50</v>
      </c>
      <c r="Q73" s="237">
        <v>50</v>
      </c>
      <c r="R73" s="237">
        <v>50</v>
      </c>
      <c r="S73" s="237">
        <v>50</v>
      </c>
      <c r="T73" s="237">
        <v>50</v>
      </c>
      <c r="U73" s="237">
        <v>50</v>
      </c>
      <c r="V73" s="237">
        <v>50</v>
      </c>
      <c r="W73" s="237">
        <v>50</v>
      </c>
      <c r="X73" s="237">
        <v>50</v>
      </c>
      <c r="Y73" s="237">
        <v>50</v>
      </c>
      <c r="Z73" s="237">
        <v>50</v>
      </c>
      <c r="AA73" s="237">
        <v>50</v>
      </c>
      <c r="AB73" s="237">
        <v>50</v>
      </c>
      <c r="AC73" s="238">
        <v>50</v>
      </c>
      <c r="AD73" s="238">
        <v>50</v>
      </c>
      <c r="AE73" s="238">
        <v>50</v>
      </c>
      <c r="AF73" s="238">
        <v>50</v>
      </c>
      <c r="AG73" s="238">
        <v>50</v>
      </c>
      <c r="AH73" s="238">
        <v>50</v>
      </c>
      <c r="AI73" s="238">
        <v>50</v>
      </c>
      <c r="AJ73" s="239">
        <v>50</v>
      </c>
      <c r="AK73" s="239">
        <v>50</v>
      </c>
      <c r="AL73" s="239">
        <v>140515</v>
      </c>
      <c r="AM73" s="239">
        <v>153859</v>
      </c>
      <c r="AN73" s="239">
        <v>167388</v>
      </c>
      <c r="AO73" s="239">
        <v>180695</v>
      </c>
      <c r="AP73" s="239">
        <v>199006</v>
      </c>
      <c r="AQ73" s="239">
        <v>199006</v>
      </c>
      <c r="AR73" s="239">
        <v>80760</v>
      </c>
      <c r="AS73" s="240">
        <v>62145</v>
      </c>
    </row>
    <row r="74" spans="1:45" x14ac:dyDescent="0.35">
      <c r="A74" s="209" t="s">
        <v>396</v>
      </c>
      <c r="B74" s="210"/>
      <c r="C74" s="237">
        <v>0</v>
      </c>
      <c r="D74" s="237">
        <v>0</v>
      </c>
      <c r="E74" s="237">
        <v>0</v>
      </c>
      <c r="F74" s="237">
        <v>0</v>
      </c>
      <c r="G74" s="237">
        <v>0</v>
      </c>
      <c r="H74" s="237">
        <v>0</v>
      </c>
      <c r="I74" s="237">
        <v>0</v>
      </c>
      <c r="J74" s="237">
        <v>0</v>
      </c>
      <c r="K74" s="237">
        <v>0</v>
      </c>
      <c r="L74" s="237">
        <v>0</v>
      </c>
      <c r="M74" s="237">
        <v>0</v>
      </c>
      <c r="N74" s="237">
        <v>0</v>
      </c>
      <c r="O74" s="237">
        <v>0</v>
      </c>
      <c r="P74" s="237">
        <v>0</v>
      </c>
      <c r="Q74" s="237">
        <v>0</v>
      </c>
      <c r="R74" s="237">
        <v>0</v>
      </c>
      <c r="S74" s="237">
        <v>0</v>
      </c>
      <c r="T74" s="237">
        <v>0</v>
      </c>
      <c r="U74" s="237">
        <v>0</v>
      </c>
      <c r="V74" s="237">
        <v>0</v>
      </c>
      <c r="W74" s="237">
        <v>0</v>
      </c>
      <c r="X74" s="237">
        <v>0</v>
      </c>
      <c r="Y74" s="237">
        <v>0</v>
      </c>
      <c r="Z74" s="237"/>
      <c r="AA74" s="237"/>
      <c r="AB74" s="237"/>
      <c r="AC74" s="238"/>
      <c r="AD74" s="238"/>
      <c r="AE74" s="238"/>
      <c r="AF74" s="238"/>
      <c r="AG74" s="238"/>
      <c r="AH74" s="238"/>
      <c r="AI74" s="238"/>
      <c r="AJ74" s="239"/>
      <c r="AK74" s="239"/>
      <c r="AL74" s="239"/>
      <c r="AN74" s="239"/>
      <c r="AO74" s="239"/>
      <c r="AP74" s="239"/>
      <c r="AQ74" s="239"/>
      <c r="AR74" s="239"/>
      <c r="AS74" s="240"/>
    </row>
    <row r="75" spans="1:45" x14ac:dyDescent="0.35">
      <c r="A75" s="209" t="s">
        <v>398</v>
      </c>
      <c r="B75" s="210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8"/>
      <c r="AD75" s="238"/>
      <c r="AE75" s="238"/>
      <c r="AF75" s="238"/>
      <c r="AG75" s="238"/>
      <c r="AH75" s="238"/>
      <c r="AI75" s="238"/>
      <c r="AJ75" s="239"/>
      <c r="AK75" s="239">
        <v>414666</v>
      </c>
      <c r="AL75" s="239">
        <v>17039</v>
      </c>
      <c r="AM75" s="239">
        <v>41656</v>
      </c>
      <c r="AN75" s="239">
        <v>172692</v>
      </c>
      <c r="AO75" s="239">
        <v>256129</v>
      </c>
      <c r="AP75" s="239">
        <v>78369</v>
      </c>
      <c r="AQ75" s="239">
        <v>78369</v>
      </c>
      <c r="AR75" s="239">
        <v>121489</v>
      </c>
      <c r="AS75" s="240">
        <v>174842</v>
      </c>
    </row>
    <row r="76" spans="1:45" x14ac:dyDescent="0.35">
      <c r="A76" s="209" t="s">
        <v>399</v>
      </c>
      <c r="B76" s="210"/>
      <c r="C76" s="237">
        <v>0</v>
      </c>
      <c r="D76" s="237">
        <v>0</v>
      </c>
      <c r="E76" s="237">
        <v>0</v>
      </c>
      <c r="F76" s="237">
        <v>0</v>
      </c>
      <c r="G76" s="237">
        <v>0</v>
      </c>
      <c r="H76" s="237">
        <v>0</v>
      </c>
      <c r="I76" s="237">
        <v>0</v>
      </c>
      <c r="J76" s="237">
        <v>0</v>
      </c>
      <c r="K76" s="237">
        <v>0</v>
      </c>
      <c r="L76" s="237">
        <v>0</v>
      </c>
      <c r="M76" s="237">
        <v>0</v>
      </c>
      <c r="N76" s="237">
        <v>0</v>
      </c>
      <c r="O76" s="237">
        <v>0</v>
      </c>
      <c r="P76" s="237">
        <v>0</v>
      </c>
      <c r="Q76" s="237">
        <v>0</v>
      </c>
      <c r="R76" s="237">
        <v>0</v>
      </c>
      <c r="S76" s="237">
        <v>0</v>
      </c>
      <c r="T76" s="237">
        <v>0</v>
      </c>
      <c r="U76" s="237">
        <v>0</v>
      </c>
      <c r="V76" s="237">
        <v>0</v>
      </c>
      <c r="W76" s="237">
        <v>0</v>
      </c>
      <c r="X76" s="237">
        <v>0</v>
      </c>
      <c r="Y76" s="237">
        <v>0</v>
      </c>
      <c r="Z76" s="237"/>
      <c r="AA76" s="237"/>
      <c r="AB76" s="237"/>
      <c r="AC76" s="238"/>
      <c r="AD76" s="238"/>
      <c r="AE76" s="238"/>
      <c r="AF76" s="238"/>
      <c r="AG76" s="238"/>
      <c r="AH76" s="238"/>
      <c r="AI76" s="238"/>
      <c r="AJ76" s="239"/>
      <c r="AK76" s="239"/>
      <c r="AL76" s="239"/>
      <c r="AN76" s="239"/>
      <c r="AO76" s="239"/>
      <c r="AP76" s="239"/>
      <c r="AQ76" s="239"/>
      <c r="AR76" s="239"/>
      <c r="AS76" s="240"/>
    </row>
    <row r="77" spans="1:45" x14ac:dyDescent="0.35">
      <c r="A77" s="209" t="s">
        <v>360</v>
      </c>
      <c r="B77" s="210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8"/>
      <c r="AD77" s="238"/>
      <c r="AE77" s="238"/>
      <c r="AF77" s="238"/>
      <c r="AG77" s="238"/>
      <c r="AH77" s="238"/>
      <c r="AI77" s="238"/>
      <c r="AJ77" s="239"/>
      <c r="AK77" s="239"/>
      <c r="AL77" s="239"/>
      <c r="AN77" s="239"/>
      <c r="AO77" s="239"/>
      <c r="AP77" s="239"/>
      <c r="AQ77" s="239"/>
      <c r="AR77" s="239"/>
      <c r="AS77" s="240"/>
    </row>
    <row r="78" spans="1:45" x14ac:dyDescent="0.35">
      <c r="A78" s="209" t="s">
        <v>363</v>
      </c>
      <c r="B78" s="210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8"/>
      <c r="AD78" s="238"/>
      <c r="AE78" s="238"/>
      <c r="AF78" s="238"/>
      <c r="AG78" s="238"/>
      <c r="AH78" s="238"/>
      <c r="AI78" s="238"/>
      <c r="AJ78" s="239"/>
      <c r="AK78" s="239"/>
      <c r="AL78" s="239"/>
      <c r="AN78" s="239"/>
      <c r="AO78" s="239"/>
      <c r="AP78" s="239"/>
      <c r="AQ78" s="239"/>
      <c r="AR78" s="239"/>
      <c r="AS78" s="240"/>
    </row>
    <row r="79" spans="1:45" x14ac:dyDescent="0.35">
      <c r="A79" s="209" t="s">
        <v>400</v>
      </c>
      <c r="B79" s="210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8"/>
      <c r="AD79" s="238"/>
      <c r="AE79" s="238"/>
      <c r="AF79" s="238"/>
      <c r="AG79" s="238"/>
      <c r="AH79" s="238"/>
      <c r="AI79" s="238"/>
      <c r="AJ79" s="239"/>
      <c r="AK79" s="239"/>
      <c r="AL79" s="239"/>
      <c r="AN79" s="239"/>
      <c r="AO79" s="239"/>
      <c r="AP79" s="239"/>
      <c r="AQ79" s="239"/>
      <c r="AR79" s="239"/>
      <c r="AS79" s="240"/>
    </row>
    <row r="80" spans="1:45" x14ac:dyDescent="0.35">
      <c r="A80" s="209" t="s">
        <v>401</v>
      </c>
      <c r="B80" s="210"/>
      <c r="C80" s="237">
        <v>0</v>
      </c>
      <c r="D80" s="237">
        <v>0</v>
      </c>
      <c r="E80" s="237">
        <v>0</v>
      </c>
      <c r="F80" s="237">
        <v>0</v>
      </c>
      <c r="G80" s="237">
        <v>0</v>
      </c>
      <c r="H80" s="237">
        <v>0</v>
      </c>
      <c r="I80" s="237">
        <v>0</v>
      </c>
      <c r="J80" s="237">
        <v>0</v>
      </c>
      <c r="K80" s="237">
        <v>0</v>
      </c>
      <c r="L80" s="237">
        <v>0</v>
      </c>
      <c r="M80" s="237">
        <v>0</v>
      </c>
      <c r="N80" s="237">
        <v>0</v>
      </c>
      <c r="O80" s="237">
        <v>0</v>
      </c>
      <c r="P80" s="237">
        <v>0</v>
      </c>
      <c r="Q80" s="237">
        <v>0</v>
      </c>
      <c r="R80" s="237">
        <v>0</v>
      </c>
      <c r="S80" s="237">
        <v>0</v>
      </c>
      <c r="T80" s="237">
        <v>0</v>
      </c>
      <c r="U80" s="237">
        <v>0</v>
      </c>
      <c r="V80" s="237">
        <v>0</v>
      </c>
      <c r="W80" s="237">
        <v>0</v>
      </c>
      <c r="X80" s="237">
        <v>0</v>
      </c>
      <c r="Y80" s="237">
        <v>0</v>
      </c>
      <c r="Z80" s="237"/>
      <c r="AA80" s="237"/>
      <c r="AB80" s="237"/>
      <c r="AC80" s="238"/>
      <c r="AD80" s="238"/>
      <c r="AE80" s="238"/>
      <c r="AF80" s="238"/>
      <c r="AG80" s="238"/>
      <c r="AH80" s="238"/>
      <c r="AI80" s="238"/>
      <c r="AJ80" s="239"/>
      <c r="AK80" s="239"/>
      <c r="AL80" s="239"/>
      <c r="AN80" s="239"/>
      <c r="AO80" s="239"/>
      <c r="AP80" s="239"/>
      <c r="AQ80" s="239"/>
      <c r="AR80" s="239"/>
      <c r="AS80" s="240"/>
    </row>
    <row r="81" spans="1:45" ht="15" thickBot="1" x14ac:dyDescent="0.4">
      <c r="A81" s="209" t="s">
        <v>366</v>
      </c>
      <c r="B81" s="210"/>
      <c r="C81" s="237">
        <v>0</v>
      </c>
      <c r="D81" s="237">
        <v>0</v>
      </c>
      <c r="E81" s="237">
        <v>0</v>
      </c>
      <c r="F81" s="237">
        <v>0</v>
      </c>
      <c r="G81" s="237">
        <v>0</v>
      </c>
      <c r="H81" s="237">
        <v>0</v>
      </c>
      <c r="I81" s="237">
        <v>0</v>
      </c>
      <c r="J81" s="237">
        <v>0</v>
      </c>
      <c r="K81" s="237">
        <v>0</v>
      </c>
      <c r="L81" s="237">
        <v>0</v>
      </c>
      <c r="M81" s="237">
        <v>0</v>
      </c>
      <c r="N81" s="237">
        <v>0</v>
      </c>
      <c r="O81" s="237">
        <v>0</v>
      </c>
      <c r="P81" s="237">
        <v>0</v>
      </c>
      <c r="Q81" s="237">
        <v>0</v>
      </c>
      <c r="R81" s="237">
        <v>0</v>
      </c>
      <c r="S81" s="237">
        <v>0</v>
      </c>
      <c r="T81" s="237">
        <v>1533</v>
      </c>
      <c r="U81" s="237">
        <v>1068</v>
      </c>
      <c r="V81" s="237">
        <v>16964</v>
      </c>
      <c r="W81" s="237">
        <v>16450</v>
      </c>
      <c r="X81" s="237">
        <v>16450</v>
      </c>
      <c r="Y81" s="237">
        <v>16450</v>
      </c>
      <c r="Z81" s="237">
        <v>16450</v>
      </c>
      <c r="AA81" s="237">
        <v>16450</v>
      </c>
      <c r="AB81" s="237">
        <v>16450</v>
      </c>
      <c r="AC81" s="238">
        <v>16450</v>
      </c>
      <c r="AD81" s="238">
        <f>16450+792</f>
        <v>17242</v>
      </c>
      <c r="AE81" s="238">
        <v>17264</v>
      </c>
      <c r="AF81" s="238">
        <v>17172</v>
      </c>
      <c r="AG81" s="238">
        <v>17138</v>
      </c>
      <c r="AH81" s="238">
        <v>35524</v>
      </c>
      <c r="AI81" s="238">
        <v>40657</v>
      </c>
      <c r="AJ81" s="241">
        <v>37265</v>
      </c>
      <c r="AK81" s="241">
        <v>37857</v>
      </c>
      <c r="AL81" s="241">
        <v>38367</v>
      </c>
      <c r="AM81" s="241">
        <v>39271</v>
      </c>
      <c r="AN81" s="241">
        <v>39670</v>
      </c>
      <c r="AO81" s="241">
        <v>34623</v>
      </c>
      <c r="AP81" s="241">
        <v>35410</v>
      </c>
      <c r="AQ81" s="241">
        <v>35411</v>
      </c>
      <c r="AR81" s="241">
        <v>38630</v>
      </c>
      <c r="AS81" s="242">
        <v>41095</v>
      </c>
    </row>
    <row r="82" spans="1:45" ht="15" thickBot="1" x14ac:dyDescent="0.4">
      <c r="A82" s="222" t="s">
        <v>370</v>
      </c>
      <c r="B82" s="206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4"/>
      <c r="AD82" s="244"/>
      <c r="AE82" s="244"/>
      <c r="AF82" s="244"/>
      <c r="AG82" s="244"/>
      <c r="AH82" s="244"/>
      <c r="AI82" s="244"/>
      <c r="AJ82" s="245"/>
      <c r="AK82" s="245"/>
      <c r="AL82" s="245"/>
      <c r="AM82" s="245"/>
      <c r="AN82" s="245"/>
      <c r="AO82" s="245"/>
      <c r="AP82" s="245"/>
      <c r="AQ82" s="245"/>
      <c r="AR82" s="245"/>
      <c r="AS82" s="243"/>
    </row>
    <row r="83" spans="1:45" ht="15" thickBot="1" x14ac:dyDescent="0.4">
      <c r="A83" s="213" t="s">
        <v>371</v>
      </c>
      <c r="B83" s="206"/>
      <c r="C83" s="214">
        <f t="shared" ref="C83:AB83" si="15">SUM(C84:C89)</f>
        <v>2383306</v>
      </c>
      <c r="D83" s="214">
        <f t="shared" si="15"/>
        <v>2197504</v>
      </c>
      <c r="E83" s="214">
        <f t="shared" si="15"/>
        <v>2270987</v>
      </c>
      <c r="F83" s="214">
        <f t="shared" si="15"/>
        <v>2356806</v>
      </c>
      <c r="G83" s="214">
        <f t="shared" si="15"/>
        <v>2372013</v>
      </c>
      <c r="H83" s="214">
        <f t="shared" si="15"/>
        <v>2185748</v>
      </c>
      <c r="I83" s="214">
        <f t="shared" si="15"/>
        <v>2474083</v>
      </c>
      <c r="J83" s="214">
        <f t="shared" si="15"/>
        <v>2848199</v>
      </c>
      <c r="K83" s="214">
        <f t="shared" si="15"/>
        <v>2944143</v>
      </c>
      <c r="L83" s="214">
        <f t="shared" si="15"/>
        <v>3451120</v>
      </c>
      <c r="M83" s="214">
        <f t="shared" si="15"/>
        <v>3527541</v>
      </c>
      <c r="N83" s="214">
        <f t="shared" si="15"/>
        <v>3475202</v>
      </c>
      <c r="O83" s="214">
        <f t="shared" si="15"/>
        <v>3617190</v>
      </c>
      <c r="P83" s="214">
        <f t="shared" si="15"/>
        <v>3800746</v>
      </c>
      <c r="Q83" s="214">
        <f t="shared" si="15"/>
        <v>3991561</v>
      </c>
      <c r="R83" s="214">
        <f t="shared" si="15"/>
        <v>4024527</v>
      </c>
      <c r="S83" s="214">
        <f t="shared" si="15"/>
        <v>4076093</v>
      </c>
      <c r="T83" s="214">
        <f t="shared" si="15"/>
        <v>4205885</v>
      </c>
      <c r="U83" s="214">
        <f t="shared" si="15"/>
        <v>4517529</v>
      </c>
      <c r="V83" s="214">
        <f t="shared" si="15"/>
        <v>4788711</v>
      </c>
      <c r="W83" s="214">
        <f t="shared" si="15"/>
        <v>4854019</v>
      </c>
      <c r="X83" s="214">
        <f t="shared" si="15"/>
        <v>4976322</v>
      </c>
      <c r="Y83" s="214">
        <f t="shared" si="15"/>
        <v>5224520</v>
      </c>
      <c r="Z83" s="214">
        <f t="shared" si="15"/>
        <v>5624086</v>
      </c>
      <c r="AA83" s="214">
        <f t="shared" si="15"/>
        <v>5856441</v>
      </c>
      <c r="AB83" s="214">
        <f t="shared" si="15"/>
        <v>6117736</v>
      </c>
      <c r="AC83" s="233">
        <v>6635795</v>
      </c>
      <c r="AD83" s="214">
        <f>SUM(AD84:AD89)</f>
        <v>8110877</v>
      </c>
      <c r="AE83" s="214">
        <f>SUM(AE84:AE89)</f>
        <v>8585305</v>
      </c>
      <c r="AF83" s="214">
        <v>8983155</v>
      </c>
      <c r="AG83" s="214">
        <f>SUM(AG84:AG89)</f>
        <v>9718557</v>
      </c>
      <c r="AH83" s="214">
        <f t="shared" ref="AH83:AR83" si="16">SUM(AH84:AH91)</f>
        <v>10344083</v>
      </c>
      <c r="AI83" s="214">
        <f t="shared" si="16"/>
        <v>10179556</v>
      </c>
      <c r="AJ83" s="214">
        <f t="shared" si="16"/>
        <v>10569520</v>
      </c>
      <c r="AK83" s="214">
        <f t="shared" si="16"/>
        <v>11941123</v>
      </c>
      <c r="AL83" s="214">
        <f t="shared" si="16"/>
        <v>13405225</v>
      </c>
      <c r="AM83" s="214">
        <f t="shared" si="16"/>
        <v>16081201</v>
      </c>
      <c r="AN83" s="214">
        <f t="shared" si="16"/>
        <v>15904584</v>
      </c>
      <c r="AO83" s="214">
        <f t="shared" si="16"/>
        <v>16283130</v>
      </c>
      <c r="AP83" s="214">
        <f t="shared" si="16"/>
        <v>16614353</v>
      </c>
      <c r="AQ83" s="214">
        <f t="shared" si="16"/>
        <v>16610946</v>
      </c>
      <c r="AR83" s="214">
        <f t="shared" si="16"/>
        <v>18590449</v>
      </c>
      <c r="AS83" s="214">
        <f>SUM(AS84:AS91)</f>
        <v>19573928</v>
      </c>
    </row>
    <row r="84" spans="1:45" x14ac:dyDescent="0.35">
      <c r="A84" s="209" t="s">
        <v>402</v>
      </c>
      <c r="B84" s="210"/>
      <c r="C84" s="225">
        <v>1977276</v>
      </c>
      <c r="D84" s="225">
        <v>1977276</v>
      </c>
      <c r="E84" s="225">
        <v>1977276</v>
      </c>
      <c r="F84" s="225">
        <v>1977276</v>
      </c>
      <c r="G84" s="225">
        <v>1977276</v>
      </c>
      <c r="H84" s="225">
        <v>1977276</v>
      </c>
      <c r="I84" s="225">
        <v>1977276</v>
      </c>
      <c r="J84" s="225">
        <v>1977276</v>
      </c>
      <c r="K84" s="225">
        <v>1977276</v>
      </c>
      <c r="L84" s="225">
        <v>1977276</v>
      </c>
      <c r="M84" s="225">
        <v>1979453</v>
      </c>
      <c r="N84" s="225">
        <v>1980214</v>
      </c>
      <c r="O84" s="225">
        <v>1980237</v>
      </c>
      <c r="P84" s="225">
        <v>1981985</v>
      </c>
      <c r="Q84" s="225">
        <v>1981985</v>
      </c>
      <c r="R84" s="225">
        <v>1981985</v>
      </c>
      <c r="S84" s="225">
        <v>1982335</v>
      </c>
      <c r="T84" s="225">
        <v>2227021</v>
      </c>
      <c r="U84" s="225">
        <v>2227021</v>
      </c>
      <c r="V84" s="225">
        <v>2227021</v>
      </c>
      <c r="W84" s="225">
        <v>2227021</v>
      </c>
      <c r="X84" s="225">
        <v>2375354</v>
      </c>
      <c r="Y84" s="225">
        <v>2375354</v>
      </c>
      <c r="Z84" s="225">
        <v>2375354</v>
      </c>
      <c r="AA84" s="225">
        <v>2394929</v>
      </c>
      <c r="AB84" s="225">
        <f>2735580-52143</f>
        <v>2683437</v>
      </c>
      <c r="AC84" s="226">
        <v>2739133</v>
      </c>
      <c r="AD84" s="226">
        <v>2741931</v>
      </c>
      <c r="AE84" s="226">
        <v>2741931</v>
      </c>
      <c r="AF84" s="226">
        <v>2742270</v>
      </c>
      <c r="AG84" s="226">
        <v>3489736</v>
      </c>
      <c r="AH84" s="226">
        <v>3489736</v>
      </c>
      <c r="AI84" s="226">
        <v>3489736</v>
      </c>
      <c r="AJ84" s="227">
        <v>4655287</v>
      </c>
      <c r="AK84" s="227">
        <v>4655287</v>
      </c>
      <c r="AL84" s="227">
        <v>4655287</v>
      </c>
      <c r="AM84" s="227">
        <v>7437570</v>
      </c>
      <c r="AN84" s="227">
        <v>8872296</v>
      </c>
      <c r="AO84" s="227">
        <v>8872296</v>
      </c>
      <c r="AP84" s="227">
        <v>8872296</v>
      </c>
      <c r="AQ84" s="227">
        <v>8872296</v>
      </c>
      <c r="AR84" s="227">
        <v>8890946</v>
      </c>
      <c r="AS84" s="228">
        <v>9276102</v>
      </c>
    </row>
    <row r="85" spans="1:45" x14ac:dyDescent="0.35">
      <c r="A85" s="209" t="s">
        <v>379</v>
      </c>
      <c r="B85" s="210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6"/>
      <c r="AD85" s="226"/>
      <c r="AE85" s="226"/>
      <c r="AF85" s="226"/>
      <c r="AG85" s="226"/>
      <c r="AH85" s="226"/>
      <c r="AI85" s="226"/>
      <c r="AJ85" s="227"/>
      <c r="AK85" s="227"/>
      <c r="AL85" s="227"/>
      <c r="AM85" s="227"/>
      <c r="AN85" s="227"/>
      <c r="AO85" s="227"/>
      <c r="AP85" s="227">
        <v>7147</v>
      </c>
      <c r="AQ85" s="227">
        <v>7147</v>
      </c>
      <c r="AR85" s="227">
        <v>367574</v>
      </c>
      <c r="AS85" s="228">
        <v>0</v>
      </c>
    </row>
    <row r="86" spans="1:45" x14ac:dyDescent="0.35">
      <c r="A86" s="209" t="s">
        <v>373</v>
      </c>
      <c r="B86" s="210"/>
      <c r="C86" s="225">
        <v>-27083</v>
      </c>
      <c r="D86" s="225">
        <v>-22262</v>
      </c>
      <c r="E86" s="225">
        <v>-22262</v>
      </c>
      <c r="F86" s="225">
        <v>-22262</v>
      </c>
      <c r="G86" s="225">
        <v>-22262</v>
      </c>
      <c r="H86" s="225">
        <v>-22262</v>
      </c>
      <c r="I86" s="225">
        <v>-22262</v>
      </c>
      <c r="J86" s="225">
        <v>-22262</v>
      </c>
      <c r="K86" s="225">
        <v>-22262</v>
      </c>
      <c r="L86" s="225">
        <v>-22262</v>
      </c>
      <c r="M86" s="225">
        <v>-22262</v>
      </c>
      <c r="N86" s="225">
        <v>-22262</v>
      </c>
      <c r="O86" s="225">
        <v>-22262</v>
      </c>
      <c r="P86" s="225">
        <v>-22262</v>
      </c>
      <c r="Q86" s="225">
        <v>-22262</v>
      </c>
      <c r="R86" s="225">
        <v>-22262</v>
      </c>
      <c r="S86" s="225">
        <v>-22262</v>
      </c>
      <c r="T86" s="225">
        <v>-22262</v>
      </c>
      <c r="U86" s="225">
        <v>-22262</v>
      </c>
      <c r="V86" s="225">
        <v>-22262</v>
      </c>
      <c r="W86" s="225">
        <v>-22262</v>
      </c>
      <c r="X86" s="225">
        <v>-22262</v>
      </c>
      <c r="Y86" s="225">
        <v>-22262</v>
      </c>
      <c r="Z86" s="225">
        <v>-22262</v>
      </c>
      <c r="AA86" s="225">
        <v>-22262</v>
      </c>
      <c r="AB86" s="225">
        <v>-22262</v>
      </c>
      <c r="AC86" s="226">
        <v>-22262</v>
      </c>
      <c r="AD86" s="226">
        <v>-154911</v>
      </c>
      <c r="AE86" s="226">
        <v>-145494</v>
      </c>
      <c r="AF86" s="226">
        <v>-154352</v>
      </c>
      <c r="AG86" s="226">
        <v>-160445</v>
      </c>
      <c r="AH86" s="226">
        <v>-252843</v>
      </c>
      <c r="AI86" s="226">
        <v>-295828</v>
      </c>
      <c r="AJ86" s="227">
        <v>-264023</v>
      </c>
      <c r="AK86" s="227">
        <v>-300485</v>
      </c>
      <c r="AL86" s="227">
        <v>-272001</v>
      </c>
      <c r="AM86" s="227">
        <v>-315485</v>
      </c>
      <c r="AN86" s="227">
        <v>-376656</v>
      </c>
      <c r="AO86" s="227">
        <v>-411971</v>
      </c>
      <c r="AP86" s="227">
        <v>-55699</v>
      </c>
      <c r="AQ86" s="227">
        <v>-55699</v>
      </c>
      <c r="AR86" s="227">
        <v>-215008</v>
      </c>
      <c r="AS86" s="228">
        <v>6265</v>
      </c>
    </row>
    <row r="87" spans="1:45" x14ac:dyDescent="0.35">
      <c r="A87" s="209" t="s">
        <v>376</v>
      </c>
      <c r="B87" s="210"/>
      <c r="C87" s="237">
        <v>457706</v>
      </c>
      <c r="D87" s="237">
        <v>311412</v>
      </c>
      <c r="E87" s="237">
        <v>444963</v>
      </c>
      <c r="F87" s="237">
        <v>498543</v>
      </c>
      <c r="G87" s="237">
        <v>498543</v>
      </c>
      <c r="H87" s="237">
        <v>496984</v>
      </c>
      <c r="I87" s="237">
        <v>502339</v>
      </c>
      <c r="J87" s="237">
        <v>987118</v>
      </c>
      <c r="K87" s="237">
        <v>903760</v>
      </c>
      <c r="L87" s="237">
        <v>910624</v>
      </c>
      <c r="M87" s="237">
        <v>912906</v>
      </c>
      <c r="N87" s="237">
        <v>1517250</v>
      </c>
      <c r="O87" s="237">
        <v>1520412</v>
      </c>
      <c r="P87" s="237">
        <v>1523435</v>
      </c>
      <c r="Q87" s="237">
        <v>1525528</v>
      </c>
      <c r="R87" s="237">
        <v>2064804</v>
      </c>
      <c r="S87" s="237">
        <v>2066537</v>
      </c>
      <c r="T87" s="237">
        <v>1824556</v>
      </c>
      <c r="U87" s="237">
        <v>1824518</v>
      </c>
      <c r="V87" s="237">
        <v>2583952</v>
      </c>
      <c r="W87" s="237">
        <v>2584679</v>
      </c>
      <c r="X87" s="237">
        <v>2437550</v>
      </c>
      <c r="Y87" s="237">
        <v>2437719</v>
      </c>
      <c r="Z87" s="237">
        <v>3270994</v>
      </c>
      <c r="AA87" s="237">
        <v>3270994</v>
      </c>
      <c r="AB87" s="237">
        <v>2901705</v>
      </c>
      <c r="AC87" s="238">
        <v>2849562</v>
      </c>
      <c r="AD87" s="238">
        <f>529934+4993923</f>
        <v>5523857</v>
      </c>
      <c r="AE87" s="238">
        <v>5536703</v>
      </c>
      <c r="AF87" s="238">
        <v>5549549</v>
      </c>
      <c r="AG87" s="238">
        <v>4815621</v>
      </c>
      <c r="AH87" s="238">
        <v>7138924</v>
      </c>
      <c r="AI87" s="238">
        <v>7264427</v>
      </c>
      <c r="AJ87" s="239">
        <v>5947305</v>
      </c>
      <c r="AK87" s="239">
        <v>5955694</v>
      </c>
      <c r="AL87" s="239">
        <v>5970137</v>
      </c>
      <c r="AM87" s="239">
        <v>9021765</v>
      </c>
      <c r="AN87" s="239">
        <v>7593743</v>
      </c>
      <c r="AO87" s="239">
        <v>7551496</v>
      </c>
      <c r="AP87" s="239">
        <v>8245816</v>
      </c>
      <c r="AQ87" s="239">
        <v>8242409</v>
      </c>
      <c r="AR87" s="239">
        <v>8241848</v>
      </c>
      <c r="AS87" s="240">
        <v>8241848</v>
      </c>
    </row>
    <row r="88" spans="1:45" x14ac:dyDescent="0.35">
      <c r="A88" s="209" t="s">
        <v>374</v>
      </c>
      <c r="B88" s="210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8"/>
      <c r="AD88" s="238"/>
      <c r="AE88" s="238"/>
      <c r="AF88" s="238"/>
      <c r="AG88" s="238"/>
      <c r="AH88" s="238"/>
      <c r="AI88" s="238"/>
      <c r="AJ88" s="239"/>
      <c r="AK88" s="239"/>
      <c r="AL88" s="239"/>
      <c r="AM88" s="239"/>
      <c r="AN88" s="239"/>
      <c r="AO88" s="239"/>
      <c r="AP88" s="239">
        <v>187518</v>
      </c>
      <c r="AQ88" s="239">
        <v>187518</v>
      </c>
      <c r="AR88" s="239">
        <v>1266429</v>
      </c>
      <c r="AS88" s="240">
        <v>1278937</v>
      </c>
    </row>
    <row r="89" spans="1:45" x14ac:dyDescent="0.35">
      <c r="A89" s="209" t="s">
        <v>403</v>
      </c>
      <c r="B89" s="210"/>
      <c r="C89" s="237">
        <v>-24593</v>
      </c>
      <c r="D89" s="237">
        <v>-68922</v>
      </c>
      <c r="E89" s="237">
        <v>-128990</v>
      </c>
      <c r="F89" s="237">
        <v>-96751</v>
      </c>
      <c r="G89" s="237">
        <v>-81544</v>
      </c>
      <c r="H89" s="237">
        <v>-266250</v>
      </c>
      <c r="I89" s="237">
        <v>16730</v>
      </c>
      <c r="J89" s="237">
        <v>-93933</v>
      </c>
      <c r="K89" s="237">
        <v>85369</v>
      </c>
      <c r="L89" s="237">
        <v>585482</v>
      </c>
      <c r="M89" s="237">
        <v>657444</v>
      </c>
      <c r="N89" s="237">
        <v>0</v>
      </c>
      <c r="O89" s="237">
        <v>138803</v>
      </c>
      <c r="P89" s="237">
        <v>317588</v>
      </c>
      <c r="Q89" s="237">
        <v>506310</v>
      </c>
      <c r="R89" s="237">
        <v>0</v>
      </c>
      <c r="S89" s="237">
        <v>49483</v>
      </c>
      <c r="T89" s="237">
        <v>176570</v>
      </c>
      <c r="U89" s="237">
        <v>488252</v>
      </c>
      <c r="V89" s="237">
        <v>0</v>
      </c>
      <c r="W89" s="237">
        <v>64581</v>
      </c>
      <c r="X89" s="237">
        <v>185680</v>
      </c>
      <c r="Y89" s="237">
        <v>433709</v>
      </c>
      <c r="Z89" s="237" t="s">
        <v>243</v>
      </c>
      <c r="AA89" s="237">
        <v>212780</v>
      </c>
      <c r="AB89" s="237">
        <f>554856</f>
        <v>554856</v>
      </c>
      <c r="AC89" s="238">
        <v>1103399</v>
      </c>
      <c r="AD89" s="238"/>
      <c r="AE89" s="238">
        <v>452165</v>
      </c>
      <c r="AF89" s="238">
        <v>845688</v>
      </c>
      <c r="AG89" s="238">
        <v>1573645</v>
      </c>
      <c r="AH89" s="238"/>
      <c r="AI89" s="238">
        <v>353226</v>
      </c>
      <c r="AJ89" s="239">
        <v>862956</v>
      </c>
      <c r="AK89" s="239">
        <v>2273352</v>
      </c>
      <c r="AL89" s="239">
        <v>3694527</v>
      </c>
      <c r="AM89" s="239">
        <v>580076</v>
      </c>
      <c r="AN89" s="239">
        <v>457926</v>
      </c>
      <c r="AO89" s="239"/>
      <c r="AP89" s="239"/>
      <c r="AQ89" s="239"/>
      <c r="AR89" s="239">
        <v>0</v>
      </c>
      <c r="AS89" s="240"/>
    </row>
    <row r="90" spans="1:45" x14ac:dyDescent="0.35">
      <c r="A90" s="209" t="s">
        <v>377</v>
      </c>
      <c r="B90" s="210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8"/>
      <c r="AD90" s="238"/>
      <c r="AE90" s="238"/>
      <c r="AF90" s="238"/>
      <c r="AG90" s="238"/>
      <c r="AH90" s="238"/>
      <c r="AI90" s="238"/>
      <c r="AJ90" s="239"/>
      <c r="AK90" s="239"/>
      <c r="AL90" s="239"/>
      <c r="AM90" s="239"/>
      <c r="AN90" s="239"/>
      <c r="AO90" s="239">
        <v>914034</v>
      </c>
      <c r="AP90" s="239"/>
      <c r="AQ90" s="239"/>
      <c r="AR90" s="239">
        <v>681385</v>
      </c>
      <c r="AS90" s="240">
        <v>1401408</v>
      </c>
    </row>
    <row r="91" spans="1:45" ht="15" thickBot="1" x14ac:dyDescent="0.4">
      <c r="A91" s="209" t="s">
        <v>378</v>
      </c>
      <c r="B91" s="210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8"/>
      <c r="AD91" s="238"/>
      <c r="AE91" s="238"/>
      <c r="AF91" s="238"/>
      <c r="AG91" s="238"/>
      <c r="AH91" s="238">
        <v>-31734</v>
      </c>
      <c r="AI91" s="238">
        <v>-632005</v>
      </c>
      <c r="AJ91" s="239">
        <v>-632005</v>
      </c>
      <c r="AK91" s="239">
        <v>-642725</v>
      </c>
      <c r="AL91" s="239">
        <v>-642725</v>
      </c>
      <c r="AM91" s="239">
        <v>-642725</v>
      </c>
      <c r="AN91" s="239">
        <v>-642725</v>
      </c>
      <c r="AO91" s="239">
        <v>-642725</v>
      </c>
      <c r="AP91" s="239">
        <v>-642725</v>
      </c>
      <c r="AQ91" s="239">
        <v>-642725</v>
      </c>
      <c r="AR91" s="239">
        <v>-642725</v>
      </c>
      <c r="AS91" s="240">
        <v>-630632</v>
      </c>
    </row>
    <row r="92" spans="1:45" ht="15" thickBot="1" x14ac:dyDescent="0.4">
      <c r="A92" s="213" t="s">
        <v>380</v>
      </c>
      <c r="B92" s="206"/>
      <c r="C92" s="214">
        <f>C83+C68+C52</f>
        <v>2452531</v>
      </c>
      <c r="D92" s="214">
        <f t="shared" ref="D92:AD92" si="17">D83+D68+D52</f>
        <v>2259027</v>
      </c>
      <c r="E92" s="214">
        <f t="shared" si="17"/>
        <v>2338772</v>
      </c>
      <c r="F92" s="214">
        <f t="shared" si="17"/>
        <v>2393514</v>
      </c>
      <c r="G92" s="214">
        <f t="shared" si="17"/>
        <v>2394570</v>
      </c>
      <c r="H92" s="214">
        <f t="shared" si="17"/>
        <v>2215498</v>
      </c>
      <c r="I92" s="214">
        <f t="shared" si="17"/>
        <v>2508973</v>
      </c>
      <c r="J92" s="214">
        <f t="shared" si="17"/>
        <v>3011933</v>
      </c>
      <c r="K92" s="214">
        <f t="shared" si="17"/>
        <v>3109208</v>
      </c>
      <c r="L92" s="214">
        <f t="shared" si="17"/>
        <v>3618874</v>
      </c>
      <c r="M92" s="214">
        <f t="shared" si="17"/>
        <v>3701000</v>
      </c>
      <c r="N92" s="214">
        <f t="shared" si="17"/>
        <v>3682094</v>
      </c>
      <c r="O92" s="214">
        <f t="shared" si="17"/>
        <v>3823113</v>
      </c>
      <c r="P92" s="214">
        <f t="shared" si="17"/>
        <v>4008210</v>
      </c>
      <c r="Q92" s="214">
        <f t="shared" si="17"/>
        <v>4198249</v>
      </c>
      <c r="R92" s="214">
        <f t="shared" si="17"/>
        <v>4203620</v>
      </c>
      <c r="S92" s="214">
        <f t="shared" si="17"/>
        <v>4262144</v>
      </c>
      <c r="T92" s="214">
        <f t="shared" si="17"/>
        <v>4387806</v>
      </c>
      <c r="U92" s="214">
        <f t="shared" si="17"/>
        <v>4711228</v>
      </c>
      <c r="V92" s="214">
        <f t="shared" si="17"/>
        <v>6188951</v>
      </c>
      <c r="W92" s="214">
        <f t="shared" si="17"/>
        <v>6273807</v>
      </c>
      <c r="X92" s="214">
        <f t="shared" si="17"/>
        <v>6384343</v>
      </c>
      <c r="Y92" s="214">
        <f t="shared" si="17"/>
        <v>7478019</v>
      </c>
      <c r="Z92" s="214">
        <f t="shared" si="17"/>
        <v>7962355</v>
      </c>
      <c r="AA92" s="214">
        <f t="shared" si="17"/>
        <v>8223305</v>
      </c>
      <c r="AB92" s="214">
        <f t="shared" si="17"/>
        <v>8477336</v>
      </c>
      <c r="AC92" s="214">
        <f t="shared" si="17"/>
        <v>8658749</v>
      </c>
      <c r="AD92" s="214">
        <f t="shared" si="17"/>
        <v>10245198</v>
      </c>
      <c r="AE92" s="214">
        <f>AE83+AE68+AE52</f>
        <v>10034281</v>
      </c>
      <c r="AF92" s="214">
        <v>10431402</v>
      </c>
      <c r="AG92" s="214">
        <f t="shared" ref="AG92:AR92" si="18">AG83+AG68+AG52</f>
        <v>10653439</v>
      </c>
      <c r="AH92" s="214">
        <f t="shared" si="18"/>
        <v>11548463</v>
      </c>
      <c r="AI92" s="214">
        <f t="shared" si="18"/>
        <v>11366760</v>
      </c>
      <c r="AJ92" s="214">
        <f t="shared" si="18"/>
        <v>12005714</v>
      </c>
      <c r="AK92" s="214">
        <f t="shared" si="18"/>
        <v>13712956</v>
      </c>
      <c r="AL92" s="214">
        <f t="shared" si="18"/>
        <v>16075284</v>
      </c>
      <c r="AM92" s="214">
        <f t="shared" si="18"/>
        <v>21519607</v>
      </c>
      <c r="AN92" s="214">
        <f t="shared" si="18"/>
        <v>21487005</v>
      </c>
      <c r="AO92" s="214">
        <f t="shared" si="18"/>
        <v>22046886</v>
      </c>
      <c r="AP92" s="214">
        <f t="shared" si="18"/>
        <v>22386347</v>
      </c>
      <c r="AQ92" s="214">
        <f t="shared" si="18"/>
        <v>22386347</v>
      </c>
      <c r="AR92" s="214">
        <f t="shared" si="18"/>
        <v>23403654</v>
      </c>
      <c r="AS92" s="214">
        <f>AS83+AS68+AS52</f>
        <v>24449220</v>
      </c>
    </row>
    <row r="93" spans="1:45" x14ac:dyDescent="0.35"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>
        <f>AG92-AG49</f>
        <v>0</v>
      </c>
      <c r="AH93" s="114">
        <f>AH92-AH49</f>
        <v>-118307</v>
      </c>
      <c r="AI93" s="114">
        <f>AI92-AI49</f>
        <v>0</v>
      </c>
      <c r="AJ93" s="114"/>
      <c r="AK93" s="114"/>
      <c r="AL93" s="246"/>
      <c r="AM93" s="246"/>
      <c r="AN93" s="246"/>
      <c r="AO93" s="246"/>
      <c r="AP93" s="246"/>
      <c r="AQ93" s="246">
        <f>AQ92-AQ49</f>
        <v>0</v>
      </c>
      <c r="AR93" s="246">
        <f>AR92-AR49</f>
        <v>0</v>
      </c>
      <c r="AS93" s="246">
        <f>AS92-AS49</f>
        <v>0</v>
      </c>
    </row>
    <row r="94" spans="1:45" x14ac:dyDescent="0.35"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45" x14ac:dyDescent="0.35">
      <c r="AA95" s="114"/>
      <c r="AB95" s="11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A9064-531C-40DB-BA08-772F6C0D8B1B}">
  <sheetPr>
    <tabColor theme="9" tint="0.79998168889431442"/>
  </sheetPr>
  <dimension ref="B6:AT46"/>
  <sheetViews>
    <sheetView zoomScale="70" zoomScaleNormal="70" workbookViewId="0">
      <pane xSplit="2" ySplit="6" topLeftCell="AA7" activePane="bottomRight" state="frozen"/>
      <selection activeCell="G18" sqref="G18"/>
      <selection pane="topRight" activeCell="G18" sqref="G18"/>
      <selection pane="bottomLeft" activeCell="G18" sqref="G18"/>
      <selection pane="bottomRight" activeCell="AE10" sqref="AE10"/>
    </sheetView>
  </sheetViews>
  <sheetFormatPr defaultColWidth="9.1796875" defaultRowHeight="14.5" outlineLevelCol="1" x14ac:dyDescent="0.35"/>
  <cols>
    <col min="1" max="1" width="9.1796875" style="37"/>
    <col min="2" max="2" width="31.81640625" style="37" customWidth="1"/>
    <col min="3" max="26" width="9.08984375" style="37" hidden="1" customWidth="1" outlineLevel="1"/>
    <col min="27" max="27" width="9.08984375" style="37" customWidth="1" collapsed="1"/>
    <col min="28" max="42" width="9.08984375" style="37" customWidth="1"/>
    <col min="43" max="45" width="9" style="37" customWidth="1"/>
    <col min="46" max="16384" width="9.1796875" style="37"/>
  </cols>
  <sheetData>
    <row r="6" spans="2:46" x14ac:dyDescent="0.35">
      <c r="B6" s="578" t="s">
        <v>462</v>
      </c>
      <c r="C6" s="164" t="s">
        <v>289</v>
      </c>
      <c r="D6" s="164" t="s">
        <v>290</v>
      </c>
      <c r="E6" s="164" t="s">
        <v>291</v>
      </c>
      <c r="F6" s="164" t="s">
        <v>292</v>
      </c>
      <c r="G6" s="164" t="s">
        <v>293</v>
      </c>
      <c r="H6" s="164" t="s">
        <v>294</v>
      </c>
      <c r="I6" s="164" t="s">
        <v>295</v>
      </c>
      <c r="J6" s="164" t="s">
        <v>296</v>
      </c>
      <c r="K6" s="164" t="s">
        <v>297</v>
      </c>
      <c r="L6" s="164" t="s">
        <v>298</v>
      </c>
      <c r="M6" s="164" t="s">
        <v>299</v>
      </c>
      <c r="N6" s="164" t="s">
        <v>300</v>
      </c>
      <c r="O6" s="164" t="s">
        <v>301</v>
      </c>
      <c r="P6" s="164" t="s">
        <v>302</v>
      </c>
      <c r="Q6" s="164" t="s">
        <v>303</v>
      </c>
      <c r="R6" s="164" t="s">
        <v>304</v>
      </c>
      <c r="S6" s="164" t="s">
        <v>57</v>
      </c>
      <c r="T6" s="164" t="s">
        <v>58</v>
      </c>
      <c r="U6" s="164" t="s">
        <v>59</v>
      </c>
      <c r="V6" s="164" t="s">
        <v>60</v>
      </c>
      <c r="W6" s="164" t="s">
        <v>61</v>
      </c>
      <c r="X6" s="164" t="s">
        <v>62</v>
      </c>
      <c r="Y6" s="164" t="s">
        <v>63</v>
      </c>
      <c r="Z6" s="164" t="s">
        <v>64</v>
      </c>
      <c r="AA6" s="164" t="s">
        <v>65</v>
      </c>
      <c r="AB6" s="164" t="s">
        <v>66</v>
      </c>
      <c r="AC6" s="164" t="s">
        <v>67</v>
      </c>
      <c r="AD6" s="164" t="s">
        <v>68</v>
      </c>
      <c r="AE6" s="164" t="s">
        <v>69</v>
      </c>
      <c r="AF6" s="164" t="s">
        <v>70</v>
      </c>
      <c r="AG6" s="164" t="s">
        <v>71</v>
      </c>
      <c r="AH6" s="164" t="s">
        <v>72</v>
      </c>
      <c r="AI6" s="164" t="s">
        <v>73</v>
      </c>
      <c r="AJ6" s="164" t="s">
        <v>74</v>
      </c>
      <c r="AK6" s="164" t="s">
        <v>75</v>
      </c>
      <c r="AL6" s="164" t="s">
        <v>76</v>
      </c>
      <c r="AM6" s="164" t="s">
        <v>77</v>
      </c>
      <c r="AN6" s="164" t="s">
        <v>78</v>
      </c>
      <c r="AO6" s="164" t="s">
        <v>79</v>
      </c>
      <c r="AP6" s="164" t="s">
        <v>80</v>
      </c>
      <c r="AQ6" s="164" t="s">
        <v>81</v>
      </c>
      <c r="AR6" s="164" t="s">
        <v>82</v>
      </c>
      <c r="AS6" s="164" t="s">
        <v>83</v>
      </c>
    </row>
    <row r="7" spans="2:46" x14ac:dyDescent="0.35">
      <c r="B7" s="37" t="s">
        <v>463</v>
      </c>
      <c r="C7" s="299">
        <v>21.5</v>
      </c>
      <c r="D7" s="299">
        <v>20.100000000000001</v>
      </c>
      <c r="E7" s="299">
        <v>19.2</v>
      </c>
      <c r="F7" s="299">
        <v>18.850000000000001</v>
      </c>
      <c r="G7" s="299">
        <v>16.100000000000001</v>
      </c>
      <c r="H7" s="299">
        <v>16.100000000000001</v>
      </c>
      <c r="I7" s="299">
        <v>16.5</v>
      </c>
      <c r="J7" s="299">
        <v>17</v>
      </c>
      <c r="K7" s="299">
        <v>17.100000000000001</v>
      </c>
      <c r="L7" s="299">
        <v>16.7</v>
      </c>
      <c r="M7" s="299">
        <v>16</v>
      </c>
      <c r="N7" s="299">
        <v>15.28</v>
      </c>
      <c r="O7" s="299">
        <v>14.486805930629799</v>
      </c>
      <c r="P7" s="299">
        <v>14.469143699285866</v>
      </c>
      <c r="Q7" s="299">
        <v>14.05212997553472</v>
      </c>
      <c r="R7" s="299">
        <v>14.2160810915931</v>
      </c>
      <c r="S7" s="299">
        <v>15.243970098536501</v>
      </c>
      <c r="T7" s="299">
        <v>14.71</v>
      </c>
      <c r="U7" s="299">
        <v>14.17</v>
      </c>
      <c r="V7" s="299">
        <v>13.27</v>
      </c>
      <c r="W7" s="299">
        <v>13.17</v>
      </c>
      <c r="X7" s="299">
        <v>14.1</v>
      </c>
      <c r="Y7" s="299">
        <v>14.27</v>
      </c>
      <c r="Z7" s="299">
        <v>13.99</v>
      </c>
      <c r="AA7" s="299">
        <v>13.73</v>
      </c>
      <c r="AB7" s="299">
        <v>13.55</v>
      </c>
      <c r="AC7" s="299">
        <v>13.42</v>
      </c>
      <c r="AD7" s="299">
        <v>13.69</v>
      </c>
      <c r="AE7" s="299">
        <v>13</v>
      </c>
      <c r="AF7" s="299">
        <v>13.9</v>
      </c>
      <c r="AG7" s="299">
        <v>13.870000000000001</v>
      </c>
      <c r="AH7" s="299">
        <v>13.370064601433477</v>
      </c>
      <c r="AI7" s="299">
        <v>18.38494487842754</v>
      </c>
      <c r="AJ7" s="299">
        <v>19.7</v>
      </c>
      <c r="AK7" s="299">
        <v>23.4</v>
      </c>
      <c r="AL7" s="299">
        <v>29.2</v>
      </c>
      <c r="AM7" s="299">
        <v>29.3</v>
      </c>
      <c r="AN7" s="299">
        <v>29.8</v>
      </c>
      <c r="AO7" s="299">
        <v>28.34</v>
      </c>
      <c r="AP7" s="299">
        <v>24.65</v>
      </c>
      <c r="AQ7" s="299">
        <v>20.38</v>
      </c>
      <c r="AR7" s="299">
        <v>17.34</v>
      </c>
      <c r="AS7" s="299">
        <v>15.45</v>
      </c>
      <c r="AT7" s="300"/>
    </row>
    <row r="8" spans="2:46" x14ac:dyDescent="0.35">
      <c r="B8" s="301" t="s">
        <v>464</v>
      </c>
      <c r="C8" s="302">
        <v>25.19</v>
      </c>
      <c r="D8" s="302">
        <v>25.19</v>
      </c>
      <c r="E8" s="302">
        <v>25.19</v>
      </c>
      <c r="F8" s="302">
        <v>25.19</v>
      </c>
      <c r="G8" s="302">
        <v>23.37</v>
      </c>
      <c r="H8" s="302">
        <v>23.37</v>
      </c>
      <c r="I8" s="302">
        <v>23.37</v>
      </c>
      <c r="J8" s="302">
        <v>23.37</v>
      </c>
      <c r="K8" s="302">
        <v>21.68</v>
      </c>
      <c r="L8" s="302">
        <v>21.68</v>
      </c>
      <c r="M8" s="302">
        <v>21.68</v>
      </c>
      <c r="N8" s="302">
        <v>21.68</v>
      </c>
      <c r="O8" s="302">
        <v>19.920000000000002</v>
      </c>
      <c r="P8" s="302">
        <v>19.920000000000002</v>
      </c>
      <c r="Q8" s="302">
        <v>19.920000000000002</v>
      </c>
      <c r="R8" s="302">
        <v>19.920000000000002</v>
      </c>
      <c r="S8" s="302">
        <v>18.579999999999998</v>
      </c>
      <c r="T8" s="302">
        <v>18.579999999999998</v>
      </c>
      <c r="U8" s="302">
        <v>18.579999999999998</v>
      </c>
      <c r="V8" s="302">
        <v>18.579999999999998</v>
      </c>
      <c r="W8" s="302">
        <v>18.04</v>
      </c>
      <c r="X8" s="302">
        <v>18.04</v>
      </c>
      <c r="Y8" s="302">
        <v>18.04</v>
      </c>
      <c r="Z8" s="302">
        <v>18.04</v>
      </c>
      <c r="AA8" s="302">
        <v>17.329999999999998</v>
      </c>
      <c r="AB8" s="302">
        <v>17.329999999999998</v>
      </c>
      <c r="AC8" s="302">
        <v>17.329999999999998</v>
      </c>
      <c r="AD8" s="302">
        <v>17.329999999999998</v>
      </c>
      <c r="AE8" s="302">
        <v>17.399999999999999</v>
      </c>
      <c r="AF8" s="302">
        <v>17.399999999999999</v>
      </c>
      <c r="AG8" s="302">
        <v>17.399999999999999</v>
      </c>
      <c r="AH8" s="302">
        <v>17.399999999999999</v>
      </c>
      <c r="AI8" s="302">
        <v>16.079999999999998</v>
      </c>
      <c r="AJ8" s="302">
        <v>16.079999999999998</v>
      </c>
      <c r="AK8" s="302">
        <v>16.079999999999998</v>
      </c>
      <c r="AL8" s="302">
        <v>16.075905041593739</v>
      </c>
      <c r="AM8" s="302">
        <v>15.43614064142894</v>
      </c>
      <c r="AN8" s="302">
        <v>15.43614064142894</v>
      </c>
      <c r="AO8" s="302">
        <v>15.44</v>
      </c>
      <c r="AP8" s="302">
        <v>15.44</v>
      </c>
      <c r="AQ8" s="302">
        <v>14.89</v>
      </c>
      <c r="AR8" s="302">
        <v>14.89</v>
      </c>
      <c r="AS8" s="302">
        <v>14.89</v>
      </c>
      <c r="AT8" s="300"/>
    </row>
    <row r="9" spans="2:46" x14ac:dyDescent="0.35">
      <c r="B9" s="37" t="s">
        <v>465</v>
      </c>
      <c r="C9" s="299">
        <v>11.2</v>
      </c>
      <c r="D9" s="299">
        <v>10.9</v>
      </c>
      <c r="E9" s="299">
        <v>10.6</v>
      </c>
      <c r="F9" s="299">
        <v>10.88</v>
      </c>
      <c r="G9" s="299">
        <v>10.5</v>
      </c>
      <c r="H9" s="299">
        <v>10.7</v>
      </c>
      <c r="I9" s="299">
        <v>10.9</v>
      </c>
      <c r="J9" s="299">
        <v>11.01</v>
      </c>
      <c r="K9" s="299">
        <v>10.4</v>
      </c>
      <c r="L9" s="299">
        <v>9.6</v>
      </c>
      <c r="M9" s="299">
        <v>9.1999999999999993</v>
      </c>
      <c r="N9" s="299">
        <v>8.9499999999999993</v>
      </c>
      <c r="O9" s="299">
        <v>8.2031768457874428</v>
      </c>
      <c r="P9" s="299">
        <v>7.8082298675503017</v>
      </c>
      <c r="Q9" s="299">
        <v>7.5914781062703183</v>
      </c>
      <c r="R9" s="299">
        <v>7.5098640072322915</v>
      </c>
      <c r="S9" s="299">
        <v>7.8081811812480382</v>
      </c>
      <c r="T9" s="299">
        <v>7.6</v>
      </c>
      <c r="U9" s="299">
        <v>7.2</v>
      </c>
      <c r="V9" s="299">
        <v>7.13</v>
      </c>
      <c r="W9" s="299">
        <v>7.24</v>
      </c>
      <c r="X9" s="299">
        <v>7.46</v>
      </c>
      <c r="Y9" s="299">
        <v>7.5</v>
      </c>
      <c r="Z9" s="299">
        <v>6.93</v>
      </c>
      <c r="AA9" s="299">
        <v>6.67</v>
      </c>
      <c r="AB9" s="299">
        <v>6.53</v>
      </c>
      <c r="AC9" s="299">
        <v>6.4</v>
      </c>
      <c r="AD9" s="299">
        <v>6.55</v>
      </c>
      <c r="AE9" s="299">
        <v>5.5</v>
      </c>
      <c r="AF9" s="299">
        <v>5.8</v>
      </c>
      <c r="AG9" s="299">
        <v>6.11</v>
      </c>
      <c r="AH9" s="299">
        <v>5.938055526074967</v>
      </c>
      <c r="AI9" s="299">
        <v>7.2629540626711755</v>
      </c>
      <c r="AJ9" s="299">
        <v>7.6987975923315393</v>
      </c>
      <c r="AK9" s="299">
        <v>8.73</v>
      </c>
      <c r="AL9" s="299">
        <v>9.67</v>
      </c>
      <c r="AM9" s="299">
        <v>9.59</v>
      </c>
      <c r="AN9" s="299">
        <v>9.5500000000000007</v>
      </c>
      <c r="AO9" s="299">
        <v>9.1300000000000008</v>
      </c>
      <c r="AP9" s="299">
        <v>8.57</v>
      </c>
      <c r="AQ9" s="299">
        <v>7.48</v>
      </c>
      <c r="AR9" s="299">
        <v>6.84</v>
      </c>
      <c r="AS9" s="299">
        <v>6.4</v>
      </c>
      <c r="AT9" s="300"/>
    </row>
    <row r="10" spans="2:46" x14ac:dyDescent="0.35">
      <c r="B10" s="301" t="s">
        <v>466</v>
      </c>
      <c r="C10" s="302">
        <v>18.420000000000002</v>
      </c>
      <c r="D10" s="302">
        <v>18.420000000000002</v>
      </c>
      <c r="E10" s="302">
        <v>18.420000000000002</v>
      </c>
      <c r="F10" s="302">
        <v>18.420000000000002</v>
      </c>
      <c r="G10" s="302">
        <v>16.71</v>
      </c>
      <c r="H10" s="302">
        <v>16.71</v>
      </c>
      <c r="I10" s="302">
        <v>16.71</v>
      </c>
      <c r="J10" s="302">
        <v>16.71</v>
      </c>
      <c r="K10" s="302">
        <v>15.03</v>
      </c>
      <c r="L10" s="302">
        <v>15.03</v>
      </c>
      <c r="M10" s="302">
        <v>15.03</v>
      </c>
      <c r="N10" s="302">
        <v>15.03</v>
      </c>
      <c r="O10" s="302">
        <v>13.35</v>
      </c>
      <c r="P10" s="302">
        <v>13.35</v>
      </c>
      <c r="Q10" s="302">
        <v>13.35</v>
      </c>
      <c r="R10" s="302">
        <v>13.35</v>
      </c>
      <c r="S10" s="302">
        <v>11.95</v>
      </c>
      <c r="T10" s="302">
        <v>11.95</v>
      </c>
      <c r="U10" s="302">
        <v>11.95</v>
      </c>
      <c r="V10" s="302">
        <v>11.95</v>
      </c>
      <c r="W10" s="302">
        <v>11.47</v>
      </c>
      <c r="X10" s="302">
        <v>11.47</v>
      </c>
      <c r="Y10" s="302">
        <v>11.47</v>
      </c>
      <c r="Z10" s="302">
        <v>11.47</v>
      </c>
      <c r="AA10" s="302">
        <v>10.8</v>
      </c>
      <c r="AB10" s="302">
        <v>10.8</v>
      </c>
      <c r="AC10" s="302">
        <v>10.8</v>
      </c>
      <c r="AD10" s="302">
        <v>10.8</v>
      </c>
      <c r="AE10" s="302">
        <v>10.8</v>
      </c>
      <c r="AF10" s="302">
        <v>10.8</v>
      </c>
      <c r="AG10" s="302">
        <v>10.8</v>
      </c>
      <c r="AH10" s="302">
        <v>10.8</v>
      </c>
      <c r="AI10" s="302">
        <v>9.6999999999999993</v>
      </c>
      <c r="AJ10" s="302">
        <v>9.6999999999999993</v>
      </c>
      <c r="AK10" s="302">
        <v>9.6999999999999993</v>
      </c>
      <c r="AL10" s="302">
        <v>9.6999999999999993</v>
      </c>
      <c r="AM10" s="302">
        <v>9.3260438396384533</v>
      </c>
      <c r="AN10" s="302">
        <v>9.3260438396384533</v>
      </c>
      <c r="AO10" s="302">
        <v>9.3260438396384533</v>
      </c>
      <c r="AP10" s="302">
        <v>9.3260438396384533</v>
      </c>
      <c r="AQ10" s="302">
        <v>8.68</v>
      </c>
      <c r="AR10" s="302">
        <v>8.68</v>
      </c>
      <c r="AS10" s="302">
        <v>8.68</v>
      </c>
      <c r="AT10" s="300"/>
    </row>
    <row r="12" spans="2:46" x14ac:dyDescent="0.35">
      <c r="B12" s="578" t="s">
        <v>467</v>
      </c>
      <c r="C12" s="164" t="s">
        <v>289</v>
      </c>
      <c r="D12" s="164" t="s">
        <v>290</v>
      </c>
      <c r="E12" s="164" t="s">
        <v>291</v>
      </c>
      <c r="F12" s="164" t="s">
        <v>292</v>
      </c>
      <c r="G12" s="164" t="s">
        <v>293</v>
      </c>
      <c r="H12" s="164" t="s">
        <v>294</v>
      </c>
      <c r="I12" s="164" t="s">
        <v>295</v>
      </c>
      <c r="J12" s="164" t="s">
        <v>296</v>
      </c>
      <c r="K12" s="164" t="s">
        <v>297</v>
      </c>
      <c r="L12" s="164" t="s">
        <v>298</v>
      </c>
      <c r="M12" s="164" t="s">
        <v>299</v>
      </c>
      <c r="N12" s="164" t="s">
        <v>300</v>
      </c>
      <c r="O12" s="164" t="s">
        <v>301</v>
      </c>
      <c r="P12" s="164" t="s">
        <v>302</v>
      </c>
      <c r="Q12" s="164" t="s">
        <v>303</v>
      </c>
      <c r="R12" s="164" t="s">
        <v>304</v>
      </c>
      <c r="S12" s="164" t="s">
        <v>57</v>
      </c>
      <c r="T12" s="164" t="s">
        <v>58</v>
      </c>
      <c r="U12" s="164" t="s">
        <v>59</v>
      </c>
      <c r="V12" s="164" t="s">
        <v>60</v>
      </c>
      <c r="W12" s="164" t="s">
        <v>61</v>
      </c>
      <c r="X12" s="164" t="s">
        <v>62</v>
      </c>
      <c r="Y12" s="164" t="s">
        <v>63</v>
      </c>
      <c r="Z12" s="164" t="s">
        <v>64</v>
      </c>
      <c r="AA12" s="164" t="str">
        <f t="shared" ref="AA12:AO12" si="0">AA6</f>
        <v>1T19</v>
      </c>
      <c r="AB12" s="164" t="str">
        <f t="shared" si="0"/>
        <v>2T19</v>
      </c>
      <c r="AC12" s="164" t="str">
        <f t="shared" si="0"/>
        <v>3T19</v>
      </c>
      <c r="AD12" s="164" t="str">
        <f t="shared" si="0"/>
        <v>4T19</v>
      </c>
      <c r="AE12" s="164" t="str">
        <f t="shared" si="0"/>
        <v>1T20</v>
      </c>
      <c r="AF12" s="164" t="str">
        <f t="shared" si="0"/>
        <v>2T20</v>
      </c>
      <c r="AG12" s="164" t="str">
        <f t="shared" si="0"/>
        <v>3T20</v>
      </c>
      <c r="AH12" s="164" t="str">
        <f t="shared" si="0"/>
        <v>4T20</v>
      </c>
      <c r="AI12" s="164" t="str">
        <f t="shared" si="0"/>
        <v>1T21</v>
      </c>
      <c r="AJ12" s="164" t="str">
        <f t="shared" si="0"/>
        <v>2T21</v>
      </c>
      <c r="AK12" s="164" t="str">
        <f t="shared" si="0"/>
        <v>3T21</v>
      </c>
      <c r="AL12" s="164" t="str">
        <f t="shared" si="0"/>
        <v>4T21</v>
      </c>
      <c r="AM12" s="164" t="str">
        <f t="shared" si="0"/>
        <v>1T22</v>
      </c>
      <c r="AN12" s="164" t="str">
        <f t="shared" si="0"/>
        <v>2T22</v>
      </c>
      <c r="AO12" s="164" t="str">
        <f t="shared" si="0"/>
        <v>3T22</v>
      </c>
      <c r="AP12" s="164" t="str">
        <f>AP6</f>
        <v>4T22</v>
      </c>
      <c r="AQ12" s="164" t="str">
        <f>AQ6</f>
        <v>1T23</v>
      </c>
      <c r="AR12" s="164" t="str">
        <f>AR6</f>
        <v>2T23</v>
      </c>
      <c r="AS12" s="164" t="str">
        <f>AS6</f>
        <v>3T23</v>
      </c>
    </row>
    <row r="13" spans="2:46" x14ac:dyDescent="0.35">
      <c r="B13" s="37" t="s">
        <v>463</v>
      </c>
      <c r="C13" s="299">
        <v>94.1</v>
      </c>
      <c r="D13" s="299">
        <v>86.5</v>
      </c>
      <c r="E13" s="299">
        <v>82.7</v>
      </c>
      <c r="F13" s="299">
        <v>73.5</v>
      </c>
      <c r="G13" s="299">
        <v>64.81</v>
      </c>
      <c r="H13" s="299">
        <v>56.73</v>
      </c>
      <c r="I13" s="299">
        <v>50.24</v>
      </c>
      <c r="J13" s="299">
        <v>49</v>
      </c>
      <c r="K13" s="299">
        <v>47</v>
      </c>
      <c r="L13" s="299">
        <v>44.8</v>
      </c>
      <c r="M13" s="299">
        <v>41.9</v>
      </c>
      <c r="N13" s="299">
        <v>37.93</v>
      </c>
      <c r="O13" s="299">
        <v>33.871086327764566</v>
      </c>
      <c r="P13" s="299">
        <v>31.584083501325953</v>
      </c>
      <c r="Q13" s="299">
        <v>31.141642842774431</v>
      </c>
      <c r="R13" s="299">
        <v>29.508494414344732</v>
      </c>
      <c r="S13" s="299">
        <v>29.158883648446533</v>
      </c>
      <c r="T13" s="299">
        <v>28.40809637484951</v>
      </c>
      <c r="U13" s="299">
        <v>27.891261758690423</v>
      </c>
      <c r="V13" s="299">
        <v>27.434743050570464</v>
      </c>
      <c r="W13" s="299">
        <v>26.650000000000002</v>
      </c>
      <c r="X13" s="299">
        <v>25.301715586065779</v>
      </c>
      <c r="Y13" s="299">
        <v>24.2</v>
      </c>
      <c r="Z13" s="299">
        <v>24.36</v>
      </c>
      <c r="AA13" s="299">
        <v>23.08</v>
      </c>
      <c r="AB13" s="299">
        <v>23.18</v>
      </c>
      <c r="AC13" s="299">
        <v>23.27</v>
      </c>
      <c r="AD13" s="299">
        <v>21.83</v>
      </c>
      <c r="AE13" s="299">
        <v>21.887396045877374</v>
      </c>
      <c r="AF13" s="299">
        <v>20.604533168134523</v>
      </c>
      <c r="AG13" s="299">
        <v>21.32</v>
      </c>
      <c r="AH13" s="299">
        <v>20.149999999999999</v>
      </c>
      <c r="AI13" s="299">
        <v>19.54</v>
      </c>
      <c r="AJ13" s="299">
        <v>20.5</v>
      </c>
      <c r="AK13" s="299">
        <v>20.7</v>
      </c>
      <c r="AL13" s="299">
        <v>22.2</v>
      </c>
      <c r="AM13" s="299">
        <v>21.770000000000003</v>
      </c>
      <c r="AN13" s="299">
        <v>21.4</v>
      </c>
      <c r="AO13" s="299">
        <v>19.89</v>
      </c>
      <c r="AP13" s="299">
        <v>18.745699999999999</v>
      </c>
      <c r="AQ13" s="299">
        <v>18.45</v>
      </c>
      <c r="AR13" s="299">
        <v>17.41</v>
      </c>
      <c r="AS13" s="299">
        <v>17</v>
      </c>
      <c r="AT13" s="300"/>
    </row>
    <row r="14" spans="2:46" x14ac:dyDescent="0.35">
      <c r="B14" s="301" t="s">
        <v>464</v>
      </c>
      <c r="C14" s="302" t="s">
        <v>468</v>
      </c>
      <c r="D14" s="302" t="s">
        <v>468</v>
      </c>
      <c r="E14" s="302" t="s">
        <v>468</v>
      </c>
      <c r="F14" s="302" t="s">
        <v>468</v>
      </c>
      <c r="G14" s="302">
        <v>33.950000000000003</v>
      </c>
      <c r="H14" s="302">
        <v>33.950000000000003</v>
      </c>
      <c r="I14" s="302">
        <v>33.950000000000003</v>
      </c>
      <c r="J14" s="302">
        <v>33.950000000000003</v>
      </c>
      <c r="K14" s="302" t="s">
        <v>469</v>
      </c>
      <c r="L14" s="302" t="s">
        <v>469</v>
      </c>
      <c r="M14" s="302" t="s">
        <v>469</v>
      </c>
      <c r="N14" s="302" t="s">
        <v>469</v>
      </c>
      <c r="O14" s="302">
        <v>30.59</v>
      </c>
      <c r="P14" s="302">
        <v>30.59</v>
      </c>
      <c r="Q14" s="302">
        <v>30.59</v>
      </c>
      <c r="R14" s="302">
        <v>30.59</v>
      </c>
      <c r="S14" s="302">
        <v>29.93</v>
      </c>
      <c r="T14" s="302">
        <v>29.93</v>
      </c>
      <c r="U14" s="302">
        <v>29.93</v>
      </c>
      <c r="V14" s="302">
        <v>29.93</v>
      </c>
      <c r="W14" s="302">
        <v>29.170558090214612</v>
      </c>
      <c r="X14" s="302">
        <v>29.170558090214612</v>
      </c>
      <c r="Y14" s="302">
        <v>29.170558090214612</v>
      </c>
      <c r="Z14" s="302">
        <v>29.170558090214612</v>
      </c>
      <c r="AA14" s="302">
        <v>28.5</v>
      </c>
      <c r="AB14" s="302">
        <v>28.5</v>
      </c>
      <c r="AC14" s="302">
        <v>28.5</v>
      </c>
      <c r="AD14" s="302">
        <v>28.5</v>
      </c>
      <c r="AE14" s="302">
        <v>27.56</v>
      </c>
      <c r="AF14" s="302">
        <v>27.56</v>
      </c>
      <c r="AG14" s="302">
        <v>27.56</v>
      </c>
      <c r="AH14" s="302">
        <v>27.56</v>
      </c>
      <c r="AI14" s="302">
        <v>26.22</v>
      </c>
      <c r="AJ14" s="302">
        <v>26.22</v>
      </c>
      <c r="AK14" s="302">
        <v>26.22</v>
      </c>
      <c r="AL14" s="302">
        <v>26.219206528258329</v>
      </c>
      <c r="AM14" s="302">
        <v>24.532530658390282</v>
      </c>
      <c r="AN14" s="302">
        <v>24.5</v>
      </c>
      <c r="AO14" s="302">
        <v>24.532530658390282</v>
      </c>
      <c r="AP14" s="302">
        <v>24.6</v>
      </c>
      <c r="AQ14" s="302">
        <v>23.06</v>
      </c>
      <c r="AR14" s="302">
        <v>23.06</v>
      </c>
      <c r="AS14" s="302">
        <v>23.06</v>
      </c>
      <c r="AT14" s="300"/>
    </row>
    <row r="15" spans="2:46" x14ac:dyDescent="0.35">
      <c r="B15" s="37" t="s">
        <v>465</v>
      </c>
      <c r="C15" s="299">
        <v>47.7</v>
      </c>
      <c r="D15" s="299">
        <v>45.5</v>
      </c>
      <c r="E15" s="299">
        <v>41.7</v>
      </c>
      <c r="F15" s="299">
        <v>38</v>
      </c>
      <c r="G15" s="299">
        <v>34.89</v>
      </c>
      <c r="H15" s="299">
        <v>31.54</v>
      </c>
      <c r="I15" s="299">
        <v>30.34</v>
      </c>
      <c r="J15" s="299">
        <v>30</v>
      </c>
      <c r="K15" s="299">
        <v>28.9</v>
      </c>
      <c r="L15" s="299">
        <v>26.6</v>
      </c>
      <c r="M15" s="299">
        <v>24.7</v>
      </c>
      <c r="N15" s="299">
        <v>22.38</v>
      </c>
      <c r="O15" s="299">
        <v>21.349288136543588</v>
      </c>
      <c r="P15" s="299">
        <v>21.302182081725569</v>
      </c>
      <c r="Q15" s="299">
        <v>21.690064067335022</v>
      </c>
      <c r="R15" s="299">
        <v>20.390464998793743</v>
      </c>
      <c r="S15" s="299">
        <v>19.837356025301052</v>
      </c>
      <c r="T15" s="299">
        <v>19.445496496259057</v>
      </c>
      <c r="U15" s="299">
        <v>18.130640873336027</v>
      </c>
      <c r="V15" s="299">
        <v>17.82718100415785</v>
      </c>
      <c r="W15" s="299">
        <v>17.23</v>
      </c>
      <c r="X15" s="299">
        <v>16.125236447109256</v>
      </c>
      <c r="Y15" s="299">
        <v>15.6</v>
      </c>
      <c r="Z15" s="299">
        <v>15.55</v>
      </c>
      <c r="AA15" s="299">
        <v>14.46</v>
      </c>
      <c r="AB15" s="299">
        <v>14.09</v>
      </c>
      <c r="AC15" s="299">
        <v>13.46</v>
      </c>
      <c r="AD15" s="299">
        <v>12.22</v>
      </c>
      <c r="AE15" s="299">
        <v>11.695485335824616</v>
      </c>
      <c r="AF15" s="299">
        <v>11.032772914637931</v>
      </c>
      <c r="AG15" s="299">
        <v>11.270000000000001</v>
      </c>
      <c r="AH15" s="299">
        <v>10.819999999999999</v>
      </c>
      <c r="AI15" s="299">
        <v>10.770000000000001</v>
      </c>
      <c r="AJ15" s="299">
        <v>11.2</v>
      </c>
      <c r="AK15" s="299">
        <v>11.3</v>
      </c>
      <c r="AL15" s="299">
        <v>11.88</v>
      </c>
      <c r="AM15" s="299">
        <v>11.54</v>
      </c>
      <c r="AN15" s="299">
        <v>10.76</v>
      </c>
      <c r="AO15" s="299">
        <v>9.99</v>
      </c>
      <c r="AP15" s="299">
        <v>9.2799999999999994</v>
      </c>
      <c r="AQ15" s="299">
        <v>9.11</v>
      </c>
      <c r="AR15" s="299">
        <v>8.7100000000000009</v>
      </c>
      <c r="AS15" s="299">
        <v>8.4700000000000006</v>
      </c>
      <c r="AT15" s="300"/>
    </row>
    <row r="16" spans="2:46" x14ac:dyDescent="0.35">
      <c r="B16" s="301" t="s">
        <v>466</v>
      </c>
      <c r="C16" s="302" t="s">
        <v>470</v>
      </c>
      <c r="D16" s="302" t="s">
        <v>470</v>
      </c>
      <c r="E16" s="302" t="s">
        <v>470</v>
      </c>
      <c r="F16" s="302" t="s">
        <v>470</v>
      </c>
      <c r="G16" s="302" t="s">
        <v>471</v>
      </c>
      <c r="H16" s="302" t="s">
        <v>471</v>
      </c>
      <c r="I16" s="302" t="s">
        <v>471</v>
      </c>
      <c r="J16" s="302" t="s">
        <v>471</v>
      </c>
      <c r="K16" s="302" t="s">
        <v>472</v>
      </c>
      <c r="L16" s="302" t="s">
        <v>472</v>
      </c>
      <c r="M16" s="302" t="s">
        <v>472</v>
      </c>
      <c r="N16" s="302" t="s">
        <v>472</v>
      </c>
      <c r="O16" s="302">
        <v>28.96</v>
      </c>
      <c r="P16" s="302">
        <v>28.96</v>
      </c>
      <c r="Q16" s="302">
        <v>28.96</v>
      </c>
      <c r="R16" s="302">
        <v>28.96</v>
      </c>
      <c r="S16" s="302">
        <v>27.22</v>
      </c>
      <c r="T16" s="302">
        <v>27.22</v>
      </c>
      <c r="U16" s="302">
        <v>27.22</v>
      </c>
      <c r="V16" s="302">
        <v>27.22</v>
      </c>
      <c r="W16" s="302">
        <v>25.063654432926185</v>
      </c>
      <c r="X16" s="302">
        <v>25.063654432926185</v>
      </c>
      <c r="Y16" s="302">
        <v>25.063654432926185</v>
      </c>
      <c r="Z16" s="302">
        <v>25.063654432926185</v>
      </c>
      <c r="AA16" s="302">
        <v>23.35</v>
      </c>
      <c r="AB16" s="302">
        <v>23.35</v>
      </c>
      <c r="AC16" s="302">
        <v>23.35</v>
      </c>
      <c r="AD16" s="302">
        <v>23.35</v>
      </c>
      <c r="AE16" s="302">
        <v>22.16</v>
      </c>
      <c r="AF16" s="302">
        <v>22.16</v>
      </c>
      <c r="AG16" s="302">
        <v>22.16</v>
      </c>
      <c r="AH16" s="302">
        <v>22.16</v>
      </c>
      <c r="AI16" s="302">
        <v>20.73</v>
      </c>
      <c r="AJ16" s="302">
        <v>20.73</v>
      </c>
      <c r="AK16" s="302">
        <v>20.73</v>
      </c>
      <c r="AL16" s="302">
        <v>20.73</v>
      </c>
      <c r="AM16" s="302">
        <v>19.110607478990993</v>
      </c>
      <c r="AN16" s="302">
        <v>19.100000000000001</v>
      </c>
      <c r="AO16" s="302">
        <v>19.110607478990993</v>
      </c>
      <c r="AP16" s="302">
        <v>19.110607478990993</v>
      </c>
      <c r="AQ16" s="302">
        <v>17.670000000000002</v>
      </c>
      <c r="AR16" s="302">
        <v>17.670000000000002</v>
      </c>
      <c r="AS16" s="302">
        <v>17.670000000000002</v>
      </c>
      <c r="AT16" s="300"/>
    </row>
    <row r="18" spans="2:46" x14ac:dyDescent="0.35">
      <c r="B18" s="578" t="s">
        <v>473</v>
      </c>
      <c r="C18" s="164" t="s">
        <v>289</v>
      </c>
      <c r="D18" s="164" t="s">
        <v>290</v>
      </c>
      <c r="E18" s="164" t="s">
        <v>291</v>
      </c>
      <c r="F18" s="164" t="s">
        <v>292</v>
      </c>
      <c r="G18" s="164" t="s">
        <v>293</v>
      </c>
      <c r="H18" s="164" t="s">
        <v>294</v>
      </c>
      <c r="I18" s="164" t="s">
        <v>295</v>
      </c>
      <c r="J18" s="164" t="s">
        <v>296</v>
      </c>
      <c r="K18" s="164" t="s">
        <v>297</v>
      </c>
      <c r="L18" s="164" t="s">
        <v>298</v>
      </c>
      <c r="M18" s="164" t="s">
        <v>299</v>
      </c>
      <c r="N18" s="164" t="s">
        <v>300</v>
      </c>
      <c r="O18" s="164" t="s">
        <v>301</v>
      </c>
      <c r="P18" s="164" t="s">
        <v>302</v>
      </c>
      <c r="Q18" s="164" t="s">
        <v>303</v>
      </c>
      <c r="R18" s="164" t="s">
        <v>304</v>
      </c>
      <c r="S18" s="164" t="s">
        <v>57</v>
      </c>
      <c r="T18" s="164" t="s">
        <v>58</v>
      </c>
      <c r="U18" s="164" t="s">
        <v>59</v>
      </c>
      <c r="V18" s="164" t="s">
        <v>60</v>
      </c>
      <c r="W18" s="164" t="s">
        <v>61</v>
      </c>
      <c r="X18" s="164" t="s">
        <v>62</v>
      </c>
      <c r="Y18" s="164" t="s">
        <v>63</v>
      </c>
      <c r="Z18" s="164" t="s">
        <v>64</v>
      </c>
      <c r="AA18" s="164" t="str">
        <f t="shared" ref="AA18:AO18" si="1">AA12</f>
        <v>1T19</v>
      </c>
      <c r="AB18" s="164" t="str">
        <f t="shared" si="1"/>
        <v>2T19</v>
      </c>
      <c r="AC18" s="164" t="str">
        <f t="shared" si="1"/>
        <v>3T19</v>
      </c>
      <c r="AD18" s="164" t="str">
        <f t="shared" si="1"/>
        <v>4T19</v>
      </c>
      <c r="AE18" s="164" t="str">
        <f t="shared" si="1"/>
        <v>1T20</v>
      </c>
      <c r="AF18" s="164" t="str">
        <f t="shared" si="1"/>
        <v>2T20</v>
      </c>
      <c r="AG18" s="164" t="str">
        <f t="shared" si="1"/>
        <v>3T20</v>
      </c>
      <c r="AH18" s="164" t="str">
        <f t="shared" si="1"/>
        <v>4T20</v>
      </c>
      <c r="AI18" s="164" t="str">
        <f t="shared" si="1"/>
        <v>1T21</v>
      </c>
      <c r="AJ18" s="164" t="str">
        <f t="shared" si="1"/>
        <v>2T21</v>
      </c>
      <c r="AK18" s="164" t="str">
        <f t="shared" si="1"/>
        <v>3T21</v>
      </c>
      <c r="AL18" s="164" t="str">
        <f t="shared" si="1"/>
        <v>4T21</v>
      </c>
      <c r="AM18" s="164" t="str">
        <f t="shared" si="1"/>
        <v>1T22</v>
      </c>
      <c r="AN18" s="164" t="str">
        <f t="shared" si="1"/>
        <v>2T22</v>
      </c>
      <c r="AO18" s="164" t="str">
        <f t="shared" si="1"/>
        <v>3T22</v>
      </c>
      <c r="AP18" s="164" t="str">
        <f>AP12</f>
        <v>4T22</v>
      </c>
      <c r="AQ18" s="164" t="str">
        <f>AQ12</f>
        <v>1T23</v>
      </c>
      <c r="AR18" s="164" t="str">
        <f>AR12</f>
        <v>2T23</v>
      </c>
      <c r="AS18" s="164" t="str">
        <f>AS12</f>
        <v>3T23</v>
      </c>
    </row>
    <row r="19" spans="2:46" x14ac:dyDescent="0.35">
      <c r="B19" s="37" t="s">
        <v>463</v>
      </c>
      <c r="C19" s="299">
        <v>28.237978284633634</v>
      </c>
      <c r="D19" s="299">
        <v>28.447366739078007</v>
      </c>
      <c r="E19" s="299">
        <v>30.172589576164654</v>
      </c>
      <c r="F19" s="299">
        <v>29.769421224226484</v>
      </c>
      <c r="G19" s="299">
        <v>34.402926198816886</v>
      </c>
      <c r="H19" s="299">
        <v>33.576350004493527</v>
      </c>
      <c r="I19" s="299">
        <v>33.842655202120113</v>
      </c>
      <c r="J19" s="299">
        <v>32.939732207933616</v>
      </c>
      <c r="K19" s="299">
        <v>31.071843211823094</v>
      </c>
      <c r="L19" s="299">
        <v>30.302345919538951</v>
      </c>
      <c r="M19" s="299">
        <v>26.624486682976762</v>
      </c>
      <c r="N19" s="299">
        <v>26.22369345721383</v>
      </c>
      <c r="O19" s="299">
        <v>25.30294826106622</v>
      </c>
      <c r="P19" s="299">
        <v>24.297860739516487</v>
      </c>
      <c r="Q19" s="299">
        <v>23.869516459325713</v>
      </c>
      <c r="R19" s="299">
        <v>23.388433334451562</v>
      </c>
      <c r="S19" s="299">
        <v>22.014487976002972</v>
      </c>
      <c r="T19" s="299">
        <v>22.170957386106895</v>
      </c>
      <c r="U19" s="299">
        <v>22.281582182852961</v>
      </c>
      <c r="V19" s="299">
        <v>21.885000000000002</v>
      </c>
      <c r="W19" s="299">
        <v>22.623652640746013</v>
      </c>
      <c r="X19" s="299">
        <v>22.41356041243214</v>
      </c>
      <c r="Y19" s="299">
        <v>22.970268419383231</v>
      </c>
      <c r="Z19" s="299">
        <v>23.56</v>
      </c>
      <c r="AA19" s="299">
        <v>27.89</v>
      </c>
      <c r="AB19" s="299">
        <v>31.03</v>
      </c>
      <c r="AC19" s="299">
        <v>32.28</v>
      </c>
      <c r="AD19" s="299">
        <v>34.9</v>
      </c>
      <c r="AE19" s="299">
        <v>34.6</v>
      </c>
      <c r="AF19" s="299">
        <v>33.4</v>
      </c>
      <c r="AG19" s="299">
        <v>30.419999999999995</v>
      </c>
      <c r="AH19" s="299">
        <v>27.569999999999997</v>
      </c>
      <c r="AI19" s="299">
        <v>27.490000000000002</v>
      </c>
      <c r="AJ19" s="299">
        <v>20</v>
      </c>
      <c r="AK19" s="299">
        <v>27.6</v>
      </c>
      <c r="AL19" s="299">
        <v>29.4</v>
      </c>
      <c r="AM19" s="299">
        <v>26.883188810978716</v>
      </c>
      <c r="AN19" s="299">
        <v>27.1</v>
      </c>
      <c r="AO19" s="299">
        <v>26.2</v>
      </c>
      <c r="AP19" s="299">
        <v>24.49</v>
      </c>
      <c r="AQ19" s="299">
        <v>23.32</v>
      </c>
      <c r="AR19" s="299">
        <v>23.06</v>
      </c>
      <c r="AS19" s="299">
        <v>23.59</v>
      </c>
      <c r="AT19" s="300"/>
    </row>
    <row r="20" spans="2:46" x14ac:dyDescent="0.35">
      <c r="B20" s="301" t="s">
        <v>464</v>
      </c>
      <c r="C20" s="302">
        <v>24.62</v>
      </c>
      <c r="D20" s="302">
        <v>24.62</v>
      </c>
      <c r="E20" s="302">
        <v>24.62</v>
      </c>
      <c r="F20" s="302">
        <v>24.62</v>
      </c>
      <c r="G20" s="302">
        <v>23.71</v>
      </c>
      <c r="H20" s="302">
        <v>23.71</v>
      </c>
      <c r="I20" s="302">
        <v>23.71</v>
      </c>
      <c r="J20" s="302">
        <v>23.71</v>
      </c>
      <c r="K20" s="302">
        <v>22.23</v>
      </c>
      <c r="L20" s="302">
        <v>22.23</v>
      </c>
      <c r="M20" s="302">
        <v>22.23</v>
      </c>
      <c r="N20" s="302">
        <v>22.23</v>
      </c>
      <c r="O20" s="302">
        <v>20.55</v>
      </c>
      <c r="P20" s="302">
        <v>20.55</v>
      </c>
      <c r="Q20" s="302">
        <v>20.55</v>
      </c>
      <c r="R20" s="302">
        <v>20.55</v>
      </c>
      <c r="S20" s="302">
        <v>19.170000000000002</v>
      </c>
      <c r="T20" s="302">
        <v>19.170000000000002</v>
      </c>
      <c r="U20" s="302">
        <v>19.170000000000002</v>
      </c>
      <c r="V20" s="302">
        <v>19.170000000000002</v>
      </c>
      <c r="W20" s="302">
        <v>20.67</v>
      </c>
      <c r="X20" s="302">
        <v>20.67</v>
      </c>
      <c r="Y20" s="302">
        <v>20.67</v>
      </c>
      <c r="Z20" s="302">
        <v>20.67</v>
      </c>
      <c r="AA20" s="302">
        <v>20.67</v>
      </c>
      <c r="AB20" s="302">
        <v>20.67</v>
      </c>
      <c r="AC20" s="302">
        <v>20.67</v>
      </c>
      <c r="AD20" s="302">
        <v>20.67</v>
      </c>
      <c r="AE20" s="302">
        <v>20.8</v>
      </c>
      <c r="AF20" s="302">
        <v>20.8</v>
      </c>
      <c r="AG20" s="302">
        <v>20.8</v>
      </c>
      <c r="AH20" s="302">
        <v>20.8</v>
      </c>
      <c r="AI20" s="302">
        <v>20.82</v>
      </c>
      <c r="AJ20" s="302">
        <v>20.8</v>
      </c>
      <c r="AK20" s="302">
        <v>20.8</v>
      </c>
      <c r="AL20" s="302">
        <v>20.823908929041046</v>
      </c>
      <c r="AM20" s="302">
        <v>20.84</v>
      </c>
      <c r="AN20" s="302">
        <v>20.84</v>
      </c>
      <c r="AO20" s="302">
        <v>20.84</v>
      </c>
      <c r="AP20" s="302">
        <v>20.84</v>
      </c>
      <c r="AQ20" s="302">
        <v>20.87</v>
      </c>
      <c r="AR20" s="302">
        <v>20.87</v>
      </c>
      <c r="AS20" s="302">
        <v>20.87</v>
      </c>
      <c r="AT20" s="300"/>
    </row>
    <row r="21" spans="2:46" x14ac:dyDescent="0.35">
      <c r="B21" s="37" t="s">
        <v>465</v>
      </c>
      <c r="C21" s="299">
        <v>24.611190840550115</v>
      </c>
      <c r="D21" s="299">
        <v>24.204537290587297</v>
      </c>
      <c r="E21" s="299">
        <v>24.663704609545164</v>
      </c>
      <c r="F21" s="299">
        <v>23.336174529942824</v>
      </c>
      <c r="G21" s="299">
        <v>22.91737944108759</v>
      </c>
      <c r="H21" s="299">
        <v>22.312153749393296</v>
      </c>
      <c r="I21" s="299">
        <v>21.097804582135787</v>
      </c>
      <c r="J21" s="299">
        <v>20.571607910546824</v>
      </c>
      <c r="K21" s="299">
        <v>20.780015626182749</v>
      </c>
      <c r="L21" s="299">
        <v>20.36339737147933</v>
      </c>
      <c r="M21" s="299">
        <v>19.680847136189335</v>
      </c>
      <c r="N21" s="299">
        <v>19.902543904520535</v>
      </c>
      <c r="O21" s="299">
        <v>18.888842430941757</v>
      </c>
      <c r="P21" s="299">
        <v>17.980702082752071</v>
      </c>
      <c r="Q21" s="299">
        <v>17.209293004805925</v>
      </c>
      <c r="R21" s="299">
        <v>16.406619251133392</v>
      </c>
      <c r="S21" s="299">
        <v>16.2454708747991</v>
      </c>
      <c r="T21" s="299">
        <v>15.537006723312741</v>
      </c>
      <c r="U21" s="299">
        <v>15.175217758305092</v>
      </c>
      <c r="V21" s="299">
        <v>14.696566817084292</v>
      </c>
      <c r="W21" s="299">
        <v>14.114908323607214</v>
      </c>
      <c r="X21" s="299">
        <v>14.185241032065287</v>
      </c>
      <c r="Y21" s="299">
        <v>14.262357137533742</v>
      </c>
      <c r="Z21" s="299">
        <v>14.1</v>
      </c>
      <c r="AA21" s="299">
        <v>13.3</v>
      </c>
      <c r="AB21" s="299">
        <v>13.55</v>
      </c>
      <c r="AC21" s="299">
        <v>13.57</v>
      </c>
      <c r="AD21" s="299">
        <v>13.1</v>
      </c>
      <c r="AE21" s="299">
        <v>13.7</v>
      </c>
      <c r="AF21" s="299">
        <v>13.6</v>
      </c>
      <c r="AG21" s="299">
        <v>13.3</v>
      </c>
      <c r="AH21" s="299">
        <v>12.780000000000001</v>
      </c>
      <c r="AI21" s="299">
        <v>13.389999999999999</v>
      </c>
      <c r="AJ21" s="299">
        <v>12.8</v>
      </c>
      <c r="AK21" s="299">
        <v>12.8</v>
      </c>
      <c r="AL21" s="299">
        <v>13.7</v>
      </c>
      <c r="AM21" s="299">
        <v>12.64</v>
      </c>
      <c r="AN21" s="299">
        <v>12.84</v>
      </c>
      <c r="AO21" s="299">
        <v>12.46</v>
      </c>
      <c r="AP21" s="299">
        <v>10.982100000000001</v>
      </c>
      <c r="AQ21" s="299">
        <v>9.8800000000000008</v>
      </c>
      <c r="AR21" s="299">
        <v>9.4700000000000006</v>
      </c>
      <c r="AS21" s="299">
        <v>9.27</v>
      </c>
      <c r="AT21" s="300"/>
    </row>
    <row r="22" spans="2:46" x14ac:dyDescent="0.35">
      <c r="B22" s="301" t="s">
        <v>466</v>
      </c>
      <c r="C22" s="302">
        <v>18.47</v>
      </c>
      <c r="D22" s="302">
        <v>18.47</v>
      </c>
      <c r="E22" s="302">
        <v>18.47</v>
      </c>
      <c r="F22" s="302">
        <v>18.47</v>
      </c>
      <c r="G22" s="302">
        <v>17.54</v>
      </c>
      <c r="H22" s="302">
        <v>17.54</v>
      </c>
      <c r="I22" s="302">
        <v>17.54</v>
      </c>
      <c r="J22" s="302">
        <v>17.54</v>
      </c>
      <c r="K22" s="302">
        <v>15.79</v>
      </c>
      <c r="L22" s="302">
        <v>15.79</v>
      </c>
      <c r="M22" s="302">
        <v>15.79</v>
      </c>
      <c r="N22" s="302">
        <v>15.79</v>
      </c>
      <c r="O22" s="302">
        <v>14.05</v>
      </c>
      <c r="P22" s="302">
        <v>14.05</v>
      </c>
      <c r="Q22" s="302">
        <v>14.05</v>
      </c>
      <c r="R22" s="302">
        <v>14.05</v>
      </c>
      <c r="S22" s="302">
        <v>12.43</v>
      </c>
      <c r="T22" s="302">
        <v>12.43</v>
      </c>
      <c r="U22" s="302">
        <v>12.43</v>
      </c>
      <c r="V22" s="302">
        <v>12.43</v>
      </c>
      <c r="W22" s="302">
        <v>13.99</v>
      </c>
      <c r="X22" s="302">
        <v>13.99</v>
      </c>
      <c r="Y22" s="302">
        <v>13.99</v>
      </c>
      <c r="Z22" s="302">
        <v>13.99</v>
      </c>
      <c r="AA22" s="302">
        <v>13.99</v>
      </c>
      <c r="AB22" s="302">
        <v>13.99</v>
      </c>
      <c r="AC22" s="302">
        <v>13.99</v>
      </c>
      <c r="AD22" s="302">
        <v>13.99</v>
      </c>
      <c r="AE22" s="302">
        <v>14.1</v>
      </c>
      <c r="AF22" s="302">
        <v>14.1</v>
      </c>
      <c r="AG22" s="302">
        <v>14.1</v>
      </c>
      <c r="AH22" s="302">
        <v>14.1</v>
      </c>
      <c r="AI22" s="302">
        <v>14.09</v>
      </c>
      <c r="AJ22" s="302">
        <v>14.1</v>
      </c>
      <c r="AK22" s="302">
        <v>14.1</v>
      </c>
      <c r="AL22" s="302">
        <v>14.1</v>
      </c>
      <c r="AM22" s="302">
        <v>14.12</v>
      </c>
      <c r="AN22" s="302">
        <v>14.12</v>
      </c>
      <c r="AO22" s="302">
        <v>14.12</v>
      </c>
      <c r="AP22" s="302">
        <v>14.12</v>
      </c>
      <c r="AQ22" s="302">
        <v>14.16</v>
      </c>
      <c r="AR22" s="302">
        <v>14.16</v>
      </c>
      <c r="AS22" s="302">
        <v>14.16</v>
      </c>
      <c r="AT22" s="300"/>
    </row>
    <row r="24" spans="2:46" x14ac:dyDescent="0.35">
      <c r="B24" s="578" t="s">
        <v>474</v>
      </c>
      <c r="C24" s="164" t="s">
        <v>289</v>
      </c>
      <c r="D24" s="164" t="s">
        <v>290</v>
      </c>
      <c r="E24" s="164" t="s">
        <v>291</v>
      </c>
      <c r="F24" s="164" t="s">
        <v>292</v>
      </c>
      <c r="G24" s="164" t="s">
        <v>293</v>
      </c>
      <c r="H24" s="164" t="s">
        <v>294</v>
      </c>
      <c r="I24" s="164" t="s">
        <v>295</v>
      </c>
      <c r="J24" s="164" t="s">
        <v>296</v>
      </c>
      <c r="K24" s="164" t="s">
        <v>297</v>
      </c>
      <c r="L24" s="164" t="s">
        <v>298</v>
      </c>
      <c r="M24" s="164" t="s">
        <v>299</v>
      </c>
      <c r="N24" s="164" t="s">
        <v>300</v>
      </c>
      <c r="O24" s="164" t="s">
        <v>301</v>
      </c>
      <c r="P24" s="164" t="s">
        <v>302</v>
      </c>
      <c r="Q24" s="164" t="s">
        <v>303</v>
      </c>
      <c r="R24" s="164" t="s">
        <v>304</v>
      </c>
      <c r="S24" s="164" t="s">
        <v>57</v>
      </c>
      <c r="T24" s="164" t="s">
        <v>58</v>
      </c>
      <c r="U24" s="164" t="s">
        <v>59</v>
      </c>
      <c r="V24" s="164" t="s">
        <v>60</v>
      </c>
      <c r="W24" s="164" t="s">
        <v>61</v>
      </c>
      <c r="X24" s="164" t="s">
        <v>62</v>
      </c>
      <c r="Y24" s="164" t="s">
        <v>63</v>
      </c>
      <c r="Z24" s="164" t="s">
        <v>64</v>
      </c>
      <c r="AA24" s="164" t="str">
        <f t="shared" ref="AA24:AO24" si="2">AA18</f>
        <v>1T19</v>
      </c>
      <c r="AB24" s="164" t="str">
        <f t="shared" si="2"/>
        <v>2T19</v>
      </c>
      <c r="AC24" s="164" t="str">
        <f t="shared" si="2"/>
        <v>3T19</v>
      </c>
      <c r="AD24" s="164" t="str">
        <f t="shared" si="2"/>
        <v>4T19</v>
      </c>
      <c r="AE24" s="164" t="str">
        <f t="shared" si="2"/>
        <v>1T20</v>
      </c>
      <c r="AF24" s="164" t="str">
        <f t="shared" si="2"/>
        <v>2T20</v>
      </c>
      <c r="AG24" s="164" t="str">
        <f t="shared" si="2"/>
        <v>3T20</v>
      </c>
      <c r="AH24" s="164" t="str">
        <f t="shared" si="2"/>
        <v>4T20</v>
      </c>
      <c r="AI24" s="164" t="str">
        <f t="shared" si="2"/>
        <v>1T21</v>
      </c>
      <c r="AJ24" s="164" t="str">
        <f t="shared" si="2"/>
        <v>2T21</v>
      </c>
      <c r="AK24" s="164" t="str">
        <f t="shared" si="2"/>
        <v>3T21</v>
      </c>
      <c r="AL24" s="164" t="str">
        <f t="shared" si="2"/>
        <v>4T21</v>
      </c>
      <c r="AM24" s="164" t="str">
        <f t="shared" si="2"/>
        <v>1T22</v>
      </c>
      <c r="AN24" s="164" t="str">
        <f t="shared" si="2"/>
        <v>2T22</v>
      </c>
      <c r="AO24" s="164" t="str">
        <f t="shared" si="2"/>
        <v>3T22</v>
      </c>
      <c r="AP24" s="164" t="str">
        <f>AP18</f>
        <v>4T22</v>
      </c>
      <c r="AQ24" s="164" t="str">
        <f>AQ18</f>
        <v>1T23</v>
      </c>
      <c r="AR24" s="164" t="str">
        <f>AR18</f>
        <v>2T23</v>
      </c>
      <c r="AS24" s="164" t="str">
        <f>AS18</f>
        <v>3T23</v>
      </c>
    </row>
    <row r="25" spans="2:46" x14ac:dyDescent="0.35">
      <c r="B25" s="37" t="s">
        <v>463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>
        <v>23</v>
      </c>
      <c r="X25" s="299">
        <v>23.29</v>
      </c>
      <c r="Y25" s="299">
        <v>21.96</v>
      </c>
      <c r="Z25" s="299">
        <v>66.12</v>
      </c>
      <c r="AA25" s="299">
        <v>63.21</v>
      </c>
      <c r="AB25" s="299">
        <v>55.38</v>
      </c>
      <c r="AC25" s="299">
        <v>52.7</v>
      </c>
      <c r="AD25" s="299">
        <v>38.68</v>
      </c>
      <c r="AE25" s="299">
        <v>26.7</v>
      </c>
      <c r="AF25" s="299">
        <v>23.9</v>
      </c>
      <c r="AG25" s="299">
        <v>21.750000000000004</v>
      </c>
      <c r="AH25" s="299">
        <v>19.28</v>
      </c>
      <c r="AI25" s="299">
        <v>17.410000000000004</v>
      </c>
      <c r="AJ25" s="299">
        <v>18.600000000000001</v>
      </c>
      <c r="AK25" s="299">
        <v>20</v>
      </c>
      <c r="AL25" s="299">
        <v>23.8</v>
      </c>
      <c r="AM25" s="299">
        <v>24.973839805711993</v>
      </c>
      <c r="AN25" s="299">
        <v>23.6</v>
      </c>
      <c r="AO25" s="299">
        <v>22.2</v>
      </c>
      <c r="AP25" s="299">
        <v>18.751200000000001</v>
      </c>
      <c r="AQ25" s="299">
        <v>17.489999999999998</v>
      </c>
      <c r="AR25" s="299">
        <v>16.239999999999998</v>
      </c>
      <c r="AS25" s="299">
        <v>16.149999999999999</v>
      </c>
      <c r="AT25" s="300"/>
    </row>
    <row r="26" spans="2:46" x14ac:dyDescent="0.35">
      <c r="B26" s="301" t="s">
        <v>464</v>
      </c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>
        <v>15.53</v>
      </c>
      <c r="AC26" s="302">
        <v>15.53</v>
      </c>
      <c r="AD26" s="302">
        <v>15.53</v>
      </c>
      <c r="AE26" s="302">
        <v>15.5</v>
      </c>
      <c r="AF26" s="302">
        <v>15.5</v>
      </c>
      <c r="AG26" s="302">
        <v>15.5</v>
      </c>
      <c r="AH26" s="302">
        <v>15.5</v>
      </c>
      <c r="AI26" s="302">
        <v>15.51</v>
      </c>
      <c r="AJ26" s="302">
        <v>15.5</v>
      </c>
      <c r="AK26" s="302">
        <v>15.5</v>
      </c>
      <c r="AL26" s="302">
        <v>15.50860564450827</v>
      </c>
      <c r="AM26" s="302">
        <v>15.53</v>
      </c>
      <c r="AN26" s="302">
        <v>15.5</v>
      </c>
      <c r="AO26" s="302">
        <v>15.53</v>
      </c>
      <c r="AP26" s="302">
        <v>15.53</v>
      </c>
      <c r="AQ26" s="302">
        <v>15.52</v>
      </c>
      <c r="AR26" s="302">
        <v>15.52</v>
      </c>
      <c r="AS26" s="302">
        <v>15.52</v>
      </c>
      <c r="AT26" s="300"/>
    </row>
    <row r="27" spans="2:46" x14ac:dyDescent="0.35">
      <c r="B27" s="37" t="s">
        <v>465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>
        <v>16.29</v>
      </c>
      <c r="X27" s="299">
        <v>15.97</v>
      </c>
      <c r="Y27" s="299">
        <v>15.09</v>
      </c>
      <c r="Z27" s="299">
        <v>19.100000000000001</v>
      </c>
      <c r="AA27" s="299">
        <v>19.3</v>
      </c>
      <c r="AB27" s="299">
        <v>18.989999999999998</v>
      </c>
      <c r="AC27" s="299">
        <v>18.14</v>
      </c>
      <c r="AD27" s="299">
        <v>16.309999999999999</v>
      </c>
      <c r="AE27" s="299">
        <v>12.4</v>
      </c>
      <c r="AF27" s="299">
        <v>11.5</v>
      </c>
      <c r="AG27" s="299">
        <v>11.16</v>
      </c>
      <c r="AH27" s="299">
        <v>9.5500000000000007</v>
      </c>
      <c r="AI27" s="299">
        <v>9.36</v>
      </c>
      <c r="AJ27" s="299">
        <v>9.1499999999999986</v>
      </c>
      <c r="AK27" s="299">
        <v>9.5</v>
      </c>
      <c r="AL27" s="299">
        <v>10.16</v>
      </c>
      <c r="AM27" s="299">
        <v>10.3</v>
      </c>
      <c r="AN27" s="299">
        <v>9.6300000000000008</v>
      </c>
      <c r="AO27" s="299">
        <v>8.64</v>
      </c>
      <c r="AP27" s="299">
        <v>7.8</v>
      </c>
      <c r="AQ27" s="299">
        <v>7.24</v>
      </c>
      <c r="AR27" s="299">
        <v>6.94</v>
      </c>
      <c r="AS27" s="299">
        <v>7.03</v>
      </c>
      <c r="AT27" s="300"/>
    </row>
    <row r="28" spans="2:46" x14ac:dyDescent="0.35">
      <c r="B28" s="301" t="s">
        <v>466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>
        <v>13.04</v>
      </c>
      <c r="AC28" s="302">
        <v>13.04</v>
      </c>
      <c r="AD28" s="302">
        <v>13.04</v>
      </c>
      <c r="AE28" s="302">
        <v>12.9</v>
      </c>
      <c r="AF28" s="302">
        <v>12.9</v>
      </c>
      <c r="AG28" s="302">
        <v>12.9</v>
      </c>
      <c r="AH28" s="302">
        <v>12.9</v>
      </c>
      <c r="AI28" s="302">
        <v>12.96</v>
      </c>
      <c r="AJ28" s="302">
        <v>12.9</v>
      </c>
      <c r="AK28" s="302">
        <v>12.9</v>
      </c>
      <c r="AL28" s="302">
        <v>12.9</v>
      </c>
      <c r="AM28" s="302">
        <v>12.97</v>
      </c>
      <c r="AN28" s="302">
        <v>13</v>
      </c>
      <c r="AO28" s="302">
        <v>12.97</v>
      </c>
      <c r="AP28" s="302">
        <v>12.97</v>
      </c>
      <c r="AQ28" s="302">
        <v>12.96</v>
      </c>
      <c r="AR28" s="302">
        <v>12.96</v>
      </c>
      <c r="AS28" s="302">
        <v>12.96</v>
      </c>
      <c r="AT28" s="300"/>
    </row>
    <row r="30" spans="2:46" x14ac:dyDescent="0.35">
      <c r="B30" s="578" t="s">
        <v>475</v>
      </c>
      <c r="C30" s="164" t="s">
        <v>289</v>
      </c>
      <c r="D30" s="164" t="s">
        <v>290</v>
      </c>
      <c r="E30" s="164" t="s">
        <v>291</v>
      </c>
      <c r="F30" s="164" t="s">
        <v>292</v>
      </c>
      <c r="G30" s="164" t="s">
        <v>293</v>
      </c>
      <c r="H30" s="164" t="s">
        <v>294</v>
      </c>
      <c r="I30" s="164" t="s">
        <v>295</v>
      </c>
      <c r="J30" s="164" t="s">
        <v>296</v>
      </c>
      <c r="K30" s="164" t="s">
        <v>297</v>
      </c>
      <c r="L30" s="164" t="s">
        <v>298</v>
      </c>
      <c r="M30" s="164" t="s">
        <v>299</v>
      </c>
      <c r="N30" s="164" t="s">
        <v>300</v>
      </c>
      <c r="O30" s="164" t="s">
        <v>301</v>
      </c>
      <c r="P30" s="164" t="s">
        <v>302</v>
      </c>
      <c r="Q30" s="164" t="s">
        <v>303</v>
      </c>
      <c r="R30" s="164" t="s">
        <v>304</v>
      </c>
      <c r="S30" s="164" t="s">
        <v>57</v>
      </c>
      <c r="T30" s="164" t="s">
        <v>58</v>
      </c>
      <c r="U30" s="164" t="s">
        <v>59</v>
      </c>
      <c r="V30" s="164" t="s">
        <v>60</v>
      </c>
      <c r="W30" s="164" t="s">
        <v>61</v>
      </c>
      <c r="X30" s="164" t="s">
        <v>62</v>
      </c>
      <c r="Y30" s="164" t="s">
        <v>63</v>
      </c>
      <c r="Z30" s="164" t="s">
        <v>64</v>
      </c>
      <c r="AA30" s="164" t="str">
        <f t="shared" ref="AA30:AO30" si="3">AA24</f>
        <v>1T19</v>
      </c>
      <c r="AB30" s="164" t="str">
        <f t="shared" si="3"/>
        <v>2T19</v>
      </c>
      <c r="AC30" s="164" t="str">
        <f t="shared" si="3"/>
        <v>3T19</v>
      </c>
      <c r="AD30" s="164" t="str">
        <f t="shared" si="3"/>
        <v>4T19</v>
      </c>
      <c r="AE30" s="164" t="str">
        <f t="shared" si="3"/>
        <v>1T20</v>
      </c>
      <c r="AF30" s="164" t="str">
        <f t="shared" si="3"/>
        <v>2T20</v>
      </c>
      <c r="AG30" s="164" t="str">
        <f t="shared" si="3"/>
        <v>3T20</v>
      </c>
      <c r="AH30" s="164" t="str">
        <f t="shared" si="3"/>
        <v>4T20</v>
      </c>
      <c r="AI30" s="164" t="str">
        <f t="shared" si="3"/>
        <v>1T21</v>
      </c>
      <c r="AJ30" s="164" t="str">
        <f t="shared" si="3"/>
        <v>2T21</v>
      </c>
      <c r="AK30" s="164" t="str">
        <f t="shared" si="3"/>
        <v>3T21</v>
      </c>
      <c r="AL30" s="164" t="str">
        <f t="shared" si="3"/>
        <v>4T21</v>
      </c>
      <c r="AM30" s="164" t="str">
        <f t="shared" si="3"/>
        <v>1T22</v>
      </c>
      <c r="AN30" s="164" t="str">
        <f t="shared" si="3"/>
        <v>2T22</v>
      </c>
      <c r="AO30" s="164" t="str">
        <f t="shared" si="3"/>
        <v>3T22</v>
      </c>
      <c r="AP30" s="164" t="str">
        <f>AP24</f>
        <v>4T22</v>
      </c>
      <c r="AQ30" s="164" t="str">
        <f>AQ24</f>
        <v>1T23</v>
      </c>
      <c r="AR30" s="164" t="str">
        <f>AR24</f>
        <v>2T23</v>
      </c>
      <c r="AS30" s="164" t="str">
        <f>AS24</f>
        <v>3T23</v>
      </c>
    </row>
    <row r="31" spans="2:46" x14ac:dyDescent="0.35">
      <c r="B31" s="37" t="s">
        <v>463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>
        <v>27.51</v>
      </c>
      <c r="AI31" s="299">
        <v>20.57</v>
      </c>
      <c r="AJ31" s="299">
        <v>20.440000000000001</v>
      </c>
      <c r="AK31" s="299">
        <v>10</v>
      </c>
      <c r="AL31" s="299">
        <v>18.05</v>
      </c>
      <c r="AM31" s="299">
        <v>17.470000000000002</v>
      </c>
      <c r="AN31" s="299">
        <v>17.5</v>
      </c>
      <c r="AO31" s="299">
        <v>17.809999999999999</v>
      </c>
      <c r="AP31" s="299">
        <v>17.800799999999999</v>
      </c>
      <c r="AQ31" s="299">
        <v>17.190000000000001</v>
      </c>
      <c r="AR31" s="299">
        <v>16.64</v>
      </c>
      <c r="AS31" s="299">
        <v>16.82</v>
      </c>
      <c r="AT31" s="300"/>
    </row>
    <row r="32" spans="2:46" x14ac:dyDescent="0.35">
      <c r="B32" s="301" t="s">
        <v>464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>
        <v>9.9</v>
      </c>
      <c r="AI32" s="302">
        <v>9.9</v>
      </c>
      <c r="AJ32" s="302">
        <v>9.9</v>
      </c>
      <c r="AK32" s="302">
        <v>9.9</v>
      </c>
      <c r="AL32" s="302">
        <v>9.2906908888637449</v>
      </c>
      <c r="AM32" s="302">
        <v>9.2906908888637449</v>
      </c>
      <c r="AN32" s="302">
        <v>9.3000000000000007</v>
      </c>
      <c r="AO32" s="302">
        <v>9.2906908888637449</v>
      </c>
      <c r="AP32" s="302">
        <v>9.2906908888637449</v>
      </c>
      <c r="AQ32" s="302">
        <v>8.73</v>
      </c>
      <c r="AR32" s="302">
        <v>8.73</v>
      </c>
      <c r="AS32" s="302">
        <v>8.73</v>
      </c>
      <c r="AT32" s="300"/>
    </row>
    <row r="33" spans="2:46" x14ac:dyDescent="0.35">
      <c r="B33" s="37" t="s">
        <v>465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>
        <v>12.77</v>
      </c>
      <c r="AI33" s="299">
        <v>10.4</v>
      </c>
      <c r="AJ33" s="299">
        <v>10.28</v>
      </c>
      <c r="AK33" s="299">
        <v>9.9</v>
      </c>
      <c r="AL33" s="299">
        <v>9.7100000000000009</v>
      </c>
      <c r="AM33" s="299">
        <v>8.9400000000000013</v>
      </c>
      <c r="AN33" s="299">
        <v>8.69</v>
      </c>
      <c r="AO33" s="299">
        <v>8.4600000000000009</v>
      </c>
      <c r="AP33" s="299">
        <v>8.4700000000000006</v>
      </c>
      <c r="AQ33" s="299">
        <v>8.66</v>
      </c>
      <c r="AR33" s="299">
        <v>8.64</v>
      </c>
      <c r="AS33" s="299">
        <v>8.11</v>
      </c>
      <c r="AT33" s="300"/>
    </row>
    <row r="34" spans="2:46" x14ac:dyDescent="0.35">
      <c r="B34" s="301" t="s">
        <v>466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>
        <v>7.69</v>
      </c>
      <c r="AI34" s="302">
        <v>7.69</v>
      </c>
      <c r="AJ34" s="302">
        <v>7.69</v>
      </c>
      <c r="AK34" s="302">
        <v>7.69</v>
      </c>
      <c r="AL34" s="302">
        <v>6.9824899242935583</v>
      </c>
      <c r="AM34" s="302">
        <v>6.9824899242935583</v>
      </c>
      <c r="AN34" s="302">
        <v>7</v>
      </c>
      <c r="AO34" s="302">
        <v>6.9824899242935583</v>
      </c>
      <c r="AP34" s="302">
        <v>6.9824899242935583</v>
      </c>
      <c r="AQ34" s="302">
        <v>6.36</v>
      </c>
      <c r="AR34" s="302">
        <v>6.36</v>
      </c>
      <c r="AS34" s="302">
        <v>6.36</v>
      </c>
      <c r="AT34" s="300"/>
    </row>
    <row r="36" spans="2:46" x14ac:dyDescent="0.35">
      <c r="B36" s="578" t="s">
        <v>476</v>
      </c>
      <c r="C36" s="164" t="s">
        <v>289</v>
      </c>
      <c r="D36" s="164" t="s">
        <v>290</v>
      </c>
      <c r="E36" s="164" t="s">
        <v>291</v>
      </c>
      <c r="F36" s="164" t="s">
        <v>292</v>
      </c>
      <c r="G36" s="164" t="s">
        <v>293</v>
      </c>
      <c r="H36" s="164" t="s">
        <v>294</v>
      </c>
      <c r="I36" s="164" t="s">
        <v>295</v>
      </c>
      <c r="J36" s="164" t="s">
        <v>296</v>
      </c>
      <c r="K36" s="164" t="s">
        <v>297</v>
      </c>
      <c r="L36" s="164" t="s">
        <v>298</v>
      </c>
      <c r="M36" s="164" t="s">
        <v>299</v>
      </c>
      <c r="N36" s="164" t="s">
        <v>300</v>
      </c>
      <c r="O36" s="164" t="s">
        <v>301</v>
      </c>
      <c r="P36" s="164" t="s">
        <v>302</v>
      </c>
      <c r="Q36" s="164" t="s">
        <v>303</v>
      </c>
      <c r="R36" s="164" t="s">
        <v>304</v>
      </c>
      <c r="S36" s="164" t="s">
        <v>57</v>
      </c>
      <c r="T36" s="164" t="s">
        <v>58</v>
      </c>
      <c r="U36" s="164" t="s">
        <v>59</v>
      </c>
      <c r="V36" s="164" t="s">
        <v>60</v>
      </c>
      <c r="W36" s="164" t="s">
        <v>61</v>
      </c>
      <c r="X36" s="164" t="s">
        <v>62</v>
      </c>
      <c r="Y36" s="164" t="s">
        <v>63</v>
      </c>
      <c r="Z36" s="164" t="s">
        <v>64</v>
      </c>
      <c r="AA36" s="164" t="str">
        <f t="shared" ref="AA36:AO36" si="4">AA30</f>
        <v>1T19</v>
      </c>
      <c r="AB36" s="164" t="str">
        <f t="shared" si="4"/>
        <v>2T19</v>
      </c>
      <c r="AC36" s="164" t="str">
        <f t="shared" si="4"/>
        <v>3T19</v>
      </c>
      <c r="AD36" s="164" t="str">
        <f t="shared" si="4"/>
        <v>4T19</v>
      </c>
      <c r="AE36" s="164" t="str">
        <f t="shared" si="4"/>
        <v>1T20</v>
      </c>
      <c r="AF36" s="164" t="str">
        <f t="shared" si="4"/>
        <v>2T20</v>
      </c>
      <c r="AG36" s="164" t="str">
        <f t="shared" si="4"/>
        <v>3T20</v>
      </c>
      <c r="AH36" s="164" t="str">
        <f t="shared" si="4"/>
        <v>4T20</v>
      </c>
      <c r="AI36" s="164" t="str">
        <f t="shared" si="4"/>
        <v>1T21</v>
      </c>
      <c r="AJ36" s="164" t="str">
        <f t="shared" si="4"/>
        <v>2T21</v>
      </c>
      <c r="AK36" s="164" t="str">
        <f t="shared" si="4"/>
        <v>3T21</v>
      </c>
      <c r="AL36" s="164" t="str">
        <f t="shared" si="4"/>
        <v>4T21</v>
      </c>
      <c r="AM36" s="164" t="str">
        <f t="shared" si="4"/>
        <v>1T22</v>
      </c>
      <c r="AN36" s="164" t="str">
        <f t="shared" si="4"/>
        <v>2T22</v>
      </c>
      <c r="AO36" s="164" t="str">
        <f t="shared" si="4"/>
        <v>3T22</v>
      </c>
      <c r="AP36" s="164" t="str">
        <f>AP30</f>
        <v>4T22</v>
      </c>
      <c r="AQ36" s="164" t="str">
        <f>AQ30</f>
        <v>1T23</v>
      </c>
      <c r="AR36" s="164" t="str">
        <f>AR30</f>
        <v>2T23</v>
      </c>
      <c r="AS36" s="164" t="str">
        <f>AS30</f>
        <v>3T23</v>
      </c>
    </row>
    <row r="37" spans="2:46" x14ac:dyDescent="0.35">
      <c r="B37" s="37" t="s">
        <v>463</v>
      </c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>
        <v>43.98</v>
      </c>
      <c r="AI37" s="299">
        <v>43.13</v>
      </c>
      <c r="AJ37" s="299">
        <v>36.5</v>
      </c>
      <c r="AK37" s="299">
        <v>32.96</v>
      </c>
      <c r="AL37" s="299">
        <v>36.6</v>
      </c>
      <c r="AM37" s="299">
        <v>39.299999999999997</v>
      </c>
      <c r="AN37" s="299">
        <v>45.3</v>
      </c>
      <c r="AO37" s="299">
        <v>46.52</v>
      </c>
      <c r="AP37" s="299">
        <v>44.1</v>
      </c>
      <c r="AQ37" s="299">
        <v>40.67</v>
      </c>
      <c r="AR37" s="299">
        <v>36.31</v>
      </c>
      <c r="AS37" s="299">
        <v>35.162328868277626</v>
      </c>
      <c r="AT37" s="300"/>
    </row>
    <row r="38" spans="2:46" x14ac:dyDescent="0.35">
      <c r="B38" s="301" t="s">
        <v>464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>
        <v>45.55</v>
      </c>
      <c r="AI38" s="302">
        <v>45.55</v>
      </c>
      <c r="AJ38" s="302">
        <v>45.55</v>
      </c>
      <c r="AK38" s="302">
        <v>45.55</v>
      </c>
      <c r="AL38" s="302">
        <v>45.55</v>
      </c>
      <c r="AM38" s="302">
        <v>45.03</v>
      </c>
      <c r="AN38" s="302">
        <v>45.03</v>
      </c>
      <c r="AO38" s="302">
        <v>45.03</v>
      </c>
      <c r="AP38" s="302">
        <v>45.03</v>
      </c>
      <c r="AQ38" s="302">
        <v>45.05</v>
      </c>
      <c r="AR38" s="302">
        <v>45.05</v>
      </c>
      <c r="AS38" s="302">
        <v>45.05</v>
      </c>
      <c r="AT38" s="300"/>
    </row>
    <row r="39" spans="2:46" x14ac:dyDescent="0.35">
      <c r="B39" s="37" t="s">
        <v>465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>
        <v>16.97</v>
      </c>
      <c r="AI39" s="299">
        <v>18.36</v>
      </c>
      <c r="AJ39" s="299">
        <v>18.100000000000001</v>
      </c>
      <c r="AK39" s="299">
        <v>17.47</v>
      </c>
      <c r="AL39" s="299">
        <v>19.059999999999999</v>
      </c>
      <c r="AM39" s="299">
        <v>19.899999999999999</v>
      </c>
      <c r="AN39" s="299">
        <v>21.24</v>
      </c>
      <c r="AO39" s="299">
        <v>21.31</v>
      </c>
      <c r="AP39" s="299">
        <v>19.71</v>
      </c>
      <c r="AQ39" s="299">
        <v>18.52</v>
      </c>
      <c r="AR39" s="299">
        <v>16.84</v>
      </c>
      <c r="AS39" s="299">
        <v>15.864205374407168</v>
      </c>
      <c r="AT39" s="300"/>
    </row>
    <row r="40" spans="2:46" x14ac:dyDescent="0.35">
      <c r="B40" s="301" t="s">
        <v>466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>
        <v>30.37</v>
      </c>
      <c r="AI40" s="302">
        <v>30.37</v>
      </c>
      <c r="AJ40" s="302">
        <v>30.37</v>
      </c>
      <c r="AK40" s="302">
        <v>30.37</v>
      </c>
      <c r="AL40" s="302">
        <v>30.37</v>
      </c>
      <c r="AM40" s="302">
        <v>30.15</v>
      </c>
      <c r="AN40" s="302">
        <v>30.15</v>
      </c>
      <c r="AO40" s="302">
        <v>30.15</v>
      </c>
      <c r="AP40" s="302">
        <v>30.15</v>
      </c>
      <c r="AQ40" s="302">
        <v>30.19</v>
      </c>
      <c r="AR40" s="302">
        <v>30.19</v>
      </c>
      <c r="AS40" s="302">
        <v>30.19</v>
      </c>
      <c r="AT40" s="300"/>
    </row>
    <row r="42" spans="2:46" x14ac:dyDescent="0.35">
      <c r="B42" s="578" t="s">
        <v>477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64" t="str">
        <f t="shared" ref="AA42:AO42" si="5">AA36</f>
        <v>1T19</v>
      </c>
      <c r="AB42" s="164" t="str">
        <f t="shared" si="5"/>
        <v>2T19</v>
      </c>
      <c r="AC42" s="164" t="str">
        <f t="shared" si="5"/>
        <v>3T19</v>
      </c>
      <c r="AD42" s="164" t="str">
        <f t="shared" si="5"/>
        <v>4T19</v>
      </c>
      <c r="AE42" s="164" t="str">
        <f t="shared" si="5"/>
        <v>1T20</v>
      </c>
      <c r="AF42" s="164" t="str">
        <f t="shared" si="5"/>
        <v>2T20</v>
      </c>
      <c r="AG42" s="164" t="str">
        <f t="shared" si="5"/>
        <v>3T20</v>
      </c>
      <c r="AH42" s="164" t="str">
        <f t="shared" si="5"/>
        <v>4T20</v>
      </c>
      <c r="AI42" s="164" t="str">
        <f t="shared" si="5"/>
        <v>1T21</v>
      </c>
      <c r="AJ42" s="164" t="str">
        <f t="shared" si="5"/>
        <v>2T21</v>
      </c>
      <c r="AK42" s="164" t="str">
        <f t="shared" si="5"/>
        <v>3T21</v>
      </c>
      <c r="AL42" s="164" t="str">
        <f t="shared" si="5"/>
        <v>4T21</v>
      </c>
      <c r="AM42" s="164" t="str">
        <f t="shared" si="5"/>
        <v>1T22</v>
      </c>
      <c r="AN42" s="164" t="str">
        <f t="shared" si="5"/>
        <v>2T22</v>
      </c>
      <c r="AO42" s="164" t="str">
        <f t="shared" si="5"/>
        <v>3T22</v>
      </c>
      <c r="AP42" s="164" t="str">
        <f>AP36</f>
        <v>4T22</v>
      </c>
      <c r="AQ42" s="164" t="str">
        <f>AQ36</f>
        <v>1T23</v>
      </c>
      <c r="AR42" s="164" t="str">
        <f>AR36</f>
        <v>2T23</v>
      </c>
      <c r="AS42" s="164" t="str">
        <f>AS36</f>
        <v>3T23</v>
      </c>
    </row>
    <row r="43" spans="2:46" x14ac:dyDescent="0.35">
      <c r="B43" s="37" t="s">
        <v>463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>
        <v>18.59</v>
      </c>
      <c r="AN43" s="299">
        <v>20.97</v>
      </c>
      <c r="AO43" s="299">
        <v>20.79</v>
      </c>
      <c r="AP43" s="299">
        <v>22.56</v>
      </c>
      <c r="AQ43" s="299">
        <v>20.52</v>
      </c>
      <c r="AR43" s="299">
        <v>19.87</v>
      </c>
      <c r="AS43" s="299">
        <v>20.399999999999999</v>
      </c>
      <c r="AT43" s="300"/>
    </row>
    <row r="44" spans="2:46" x14ac:dyDescent="0.35">
      <c r="B44" s="301" t="s">
        <v>464</v>
      </c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>
        <v>12.11</v>
      </c>
      <c r="AN44" s="302">
        <v>12.11</v>
      </c>
      <c r="AO44" s="302">
        <v>12.11</v>
      </c>
      <c r="AP44" s="302">
        <v>12.11</v>
      </c>
      <c r="AQ44" s="302">
        <v>11.45</v>
      </c>
      <c r="AR44" s="302">
        <v>11.45</v>
      </c>
      <c r="AS44" s="302">
        <v>11.45</v>
      </c>
      <c r="AT44" s="300"/>
    </row>
    <row r="45" spans="2:46" x14ac:dyDescent="0.35">
      <c r="B45" s="37" t="s">
        <v>465</v>
      </c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>
        <v>8.33</v>
      </c>
      <c r="AN45" s="299">
        <v>9.02</v>
      </c>
      <c r="AO45" s="299">
        <v>9.3800000000000008</v>
      </c>
      <c r="AP45" s="299">
        <v>10.35</v>
      </c>
      <c r="AQ45" s="299">
        <v>10.48</v>
      </c>
      <c r="AR45" s="299">
        <v>10.23</v>
      </c>
      <c r="AS45" s="299">
        <v>10.56</v>
      </c>
      <c r="AT45" s="300"/>
    </row>
    <row r="46" spans="2:46" x14ac:dyDescent="0.35">
      <c r="B46" s="301" t="s">
        <v>466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>
        <v>8.56</v>
      </c>
      <c r="AN46" s="302">
        <v>8.56</v>
      </c>
      <c r="AO46" s="302">
        <v>8.56</v>
      </c>
      <c r="AP46" s="302">
        <v>8.56</v>
      </c>
      <c r="AQ46" s="302">
        <v>7.79</v>
      </c>
      <c r="AR46" s="302">
        <v>7.79</v>
      </c>
      <c r="AS46" s="302">
        <v>7.79</v>
      </c>
      <c r="AT46" s="30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E04C-8771-478F-A895-9043DF99B4DC}">
  <sheetPr>
    <tabColor rgb="FF002060"/>
  </sheetPr>
  <dimension ref="B4:L8"/>
  <sheetViews>
    <sheetView showGridLines="0" zoomScale="85" zoomScaleNormal="85" workbookViewId="0">
      <selection activeCell="J17" sqref="J17"/>
    </sheetView>
  </sheetViews>
  <sheetFormatPr defaultRowHeight="14.5" x14ac:dyDescent="0.35"/>
  <cols>
    <col min="2" max="2" width="1.36328125" customWidth="1"/>
    <col min="8" max="8" width="2" customWidth="1"/>
    <col min="13" max="13" width="2" customWidth="1"/>
    <col min="18" max="18" width="2" customWidth="1"/>
    <col min="23" max="23" width="2" customWidth="1"/>
  </cols>
  <sheetData>
    <row r="4" spans="2:12" s="1" customFormat="1" ht="32.5" customHeight="1" x14ac:dyDescent="0.35">
      <c r="B4" s="2" t="s">
        <v>1105</v>
      </c>
    </row>
    <row r="8" spans="2:12" ht="30" customHeight="1" x14ac:dyDescent="0.35">
      <c r="D8" s="35" t="s">
        <v>1106</v>
      </c>
      <c r="E8" s="36"/>
      <c r="F8" s="36"/>
      <c r="G8" s="36"/>
      <c r="I8" s="35" t="s">
        <v>1107</v>
      </c>
      <c r="J8" s="36"/>
      <c r="K8" s="36"/>
      <c r="L8" s="36"/>
    </row>
  </sheetData>
  <pageMargins left="0.511811024" right="0.511811024" top="0.78740157499999996" bottom="0.78740157499999996" header="0.31496062000000002" footer="0.3149606200000000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FC6F6-A185-4CB3-B571-F22A7C66050E}">
  <sheetPr>
    <tabColor theme="9" tint="0.79998168889431442"/>
  </sheetPr>
  <dimension ref="B1:T108"/>
  <sheetViews>
    <sheetView showGridLines="0" zoomScale="85" zoomScaleNormal="85" workbookViewId="0">
      <pane xSplit="3" ySplit="6" topLeftCell="D7" activePane="bottomRight" state="frozen"/>
      <selection activeCell="D26" sqref="D26"/>
      <selection pane="topRight" activeCell="D26" sqref="D26"/>
      <selection pane="bottomLeft" activeCell="D26" sqref="D26"/>
      <selection pane="bottomRight"/>
    </sheetView>
  </sheetViews>
  <sheetFormatPr defaultColWidth="9.1796875" defaultRowHeight="14.5" x14ac:dyDescent="0.35"/>
  <cols>
    <col min="1" max="1" width="9.1796875" style="37"/>
    <col min="2" max="2" width="6.54296875" style="37" customWidth="1"/>
    <col min="3" max="3" width="4.54296875" style="62" customWidth="1"/>
    <col min="4" max="4" width="26.08984375" style="62" bestFit="1" customWidth="1"/>
    <col min="5" max="5" width="14" style="62" bestFit="1" customWidth="1"/>
    <col min="6" max="12" width="10.54296875" style="62" customWidth="1"/>
    <col min="13" max="13" width="12.453125" style="62" customWidth="1"/>
    <col min="14" max="20" width="11.7265625" style="37" bestFit="1" customWidth="1"/>
    <col min="21" max="16384" width="9.1796875" style="37"/>
  </cols>
  <sheetData>
    <row r="1" spans="3:13" x14ac:dyDescent="0.35">
      <c r="D1" s="63"/>
    </row>
    <row r="2" spans="3:13" x14ac:dyDescent="0.35">
      <c r="D2" s="63"/>
    </row>
    <row r="3" spans="3:13" x14ac:dyDescent="0.35">
      <c r="D3" s="63"/>
    </row>
    <row r="4" spans="3:13" x14ac:dyDescent="0.35">
      <c r="D4" s="63"/>
    </row>
    <row r="6" spans="3:13" ht="32" customHeight="1" thickBot="1" x14ac:dyDescent="0.4">
      <c r="D6" s="616" t="s">
        <v>102</v>
      </c>
      <c r="E6" s="617" t="s">
        <v>103</v>
      </c>
      <c r="F6" s="616">
        <v>2023</v>
      </c>
      <c r="G6" s="616">
        <v>2024</v>
      </c>
      <c r="H6" s="616">
        <v>2025</v>
      </c>
      <c r="I6" s="616">
        <v>2026</v>
      </c>
      <c r="J6" s="616" t="s">
        <v>104</v>
      </c>
      <c r="K6" s="616" t="s">
        <v>105</v>
      </c>
      <c r="L6" s="616" t="s">
        <v>106</v>
      </c>
      <c r="M6" s="616" t="s">
        <v>87</v>
      </c>
    </row>
    <row r="7" spans="3:13" ht="23" customHeight="1" thickBot="1" x14ac:dyDescent="0.4">
      <c r="C7" s="64"/>
      <c r="D7" s="65" t="s">
        <v>107</v>
      </c>
      <c r="E7" s="66"/>
      <c r="F7" s="67"/>
      <c r="G7" s="67"/>
      <c r="H7" s="67"/>
      <c r="I7" s="67"/>
      <c r="J7" s="67"/>
      <c r="K7" s="67"/>
      <c r="L7" s="67"/>
      <c r="M7" s="68"/>
    </row>
    <row r="8" spans="3:13" ht="15" customHeight="1" x14ac:dyDescent="0.35">
      <c r="C8" s="651" t="s">
        <v>2</v>
      </c>
      <c r="D8" s="69" t="s">
        <v>108</v>
      </c>
      <c r="E8" s="70">
        <v>1.1180000000000001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2">
        <f t="shared" ref="M8:M13" si="0">SUM(F8:L8)</f>
        <v>0</v>
      </c>
    </row>
    <row r="9" spans="3:13" x14ac:dyDescent="0.35">
      <c r="C9" s="651"/>
      <c r="D9" s="69" t="s">
        <v>109</v>
      </c>
      <c r="E9" s="73" t="s">
        <v>1112</v>
      </c>
      <c r="F9" s="71">
        <v>94.791256969999864</v>
      </c>
      <c r="G9" s="71">
        <v>0</v>
      </c>
      <c r="H9" s="71">
        <v>1009.5</v>
      </c>
      <c r="I9" s="71">
        <v>450</v>
      </c>
      <c r="J9" s="71">
        <v>900</v>
      </c>
      <c r="K9" s="71">
        <v>0</v>
      </c>
      <c r="L9" s="71">
        <v>0</v>
      </c>
      <c r="M9" s="72">
        <f t="shared" si="0"/>
        <v>2454.2912569700002</v>
      </c>
    </row>
    <row r="10" spans="3:13" x14ac:dyDescent="0.35">
      <c r="C10" s="651"/>
      <c r="D10" s="69" t="s">
        <v>110</v>
      </c>
      <c r="E10" s="74" t="s">
        <v>1113</v>
      </c>
      <c r="F10" s="71">
        <v>208.91280103684196</v>
      </c>
      <c r="G10" s="71">
        <v>348.60995630572017</v>
      </c>
      <c r="H10" s="71">
        <v>309.25174470572017</v>
      </c>
      <c r="I10" s="71">
        <v>309.25174470572017</v>
      </c>
      <c r="J10" s="71">
        <v>1010.812395277627</v>
      </c>
      <c r="K10" s="71">
        <v>516.18760708000013</v>
      </c>
      <c r="L10" s="71">
        <v>0</v>
      </c>
      <c r="M10" s="72">
        <f t="shared" si="0"/>
        <v>2703.0262491116291</v>
      </c>
    </row>
    <row r="11" spans="3:13" x14ac:dyDescent="0.35">
      <c r="C11" s="651"/>
      <c r="D11" s="69" t="s">
        <v>111</v>
      </c>
      <c r="E11" s="75" t="s">
        <v>1114</v>
      </c>
      <c r="F11" s="71">
        <v>1.3681848493772066</v>
      </c>
      <c r="G11" s="71">
        <v>0</v>
      </c>
      <c r="H11" s="71">
        <v>0</v>
      </c>
      <c r="I11" s="71">
        <v>0</v>
      </c>
      <c r="J11" s="71">
        <v>268.70866605649996</v>
      </c>
      <c r="K11" s="71">
        <v>0</v>
      </c>
      <c r="L11" s="71">
        <v>0</v>
      </c>
      <c r="M11" s="72">
        <f t="shared" si="0"/>
        <v>270.07685090587717</v>
      </c>
    </row>
    <row r="12" spans="3:13" x14ac:dyDescent="0.35">
      <c r="C12" s="651"/>
      <c r="D12" s="69" t="s">
        <v>112</v>
      </c>
      <c r="E12" s="76" t="s">
        <v>1115</v>
      </c>
      <c r="F12" s="71">
        <v>9.96208509002998</v>
      </c>
      <c r="G12" s="71">
        <v>36.10573474000001</v>
      </c>
      <c r="H12" s="71">
        <v>33.912321000000006</v>
      </c>
      <c r="I12" s="71">
        <v>33.912321000000006</v>
      </c>
      <c r="J12" s="71">
        <v>27.821647089999999</v>
      </c>
      <c r="K12" s="71">
        <v>0</v>
      </c>
      <c r="L12" s="71">
        <v>0</v>
      </c>
      <c r="M12" s="72">
        <f t="shared" si="0"/>
        <v>141.71410892003001</v>
      </c>
    </row>
    <row r="13" spans="3:13" x14ac:dyDescent="0.35">
      <c r="C13" s="651"/>
      <c r="D13" s="69" t="s">
        <v>113</v>
      </c>
      <c r="E13" s="74" t="s">
        <v>243</v>
      </c>
      <c r="F13" s="71">
        <v>-0.46163995000000002</v>
      </c>
      <c r="G13" s="71">
        <v>-7.4307281800000009</v>
      </c>
      <c r="H13" s="71">
        <v>-6.2310447499999997</v>
      </c>
      <c r="I13" s="71">
        <v>-5.9661518499999993</v>
      </c>
      <c r="J13" s="71">
        <v>-32.645211749999994</v>
      </c>
      <c r="K13" s="71">
        <v>-2.0378777700000006</v>
      </c>
      <c r="L13" s="71">
        <v>0</v>
      </c>
      <c r="M13" s="72">
        <f t="shared" si="0"/>
        <v>-54.772654249999995</v>
      </c>
    </row>
    <row r="14" spans="3:13" ht="15" customHeight="1" x14ac:dyDescent="0.35">
      <c r="C14" s="77"/>
      <c r="D14" s="610" t="s">
        <v>114</v>
      </c>
      <c r="E14" s="613"/>
      <c r="F14" s="612">
        <f t="shared" ref="F14:L14" si="1">SUM(F8:F13)</f>
        <v>314.57268799624899</v>
      </c>
      <c r="G14" s="612">
        <f t="shared" si="1"/>
        <v>377.28496286572016</v>
      </c>
      <c r="H14" s="612">
        <f t="shared" si="1"/>
        <v>1346.4330209557204</v>
      </c>
      <c r="I14" s="612">
        <f t="shared" si="1"/>
        <v>787.19791385572023</v>
      </c>
      <c r="J14" s="612">
        <f t="shared" si="1"/>
        <v>2174.6974966741273</v>
      </c>
      <c r="K14" s="612">
        <f t="shared" si="1"/>
        <v>514.14972931000011</v>
      </c>
      <c r="L14" s="612">
        <f t="shared" si="1"/>
        <v>0</v>
      </c>
      <c r="M14" s="612">
        <f>SUM(M8:M13)</f>
        <v>5514.3358116575364</v>
      </c>
    </row>
    <row r="15" spans="3:13" ht="15" customHeight="1" thickBot="1" x14ac:dyDescent="0.4">
      <c r="C15" s="77"/>
      <c r="D15" s="78"/>
      <c r="E15" s="78"/>
      <c r="F15" s="79"/>
      <c r="G15" s="79"/>
      <c r="H15" s="79"/>
      <c r="I15" s="79"/>
      <c r="J15" s="79"/>
      <c r="K15" s="79"/>
      <c r="L15" s="79"/>
    </row>
    <row r="16" spans="3:13" ht="15" thickBot="1" x14ac:dyDescent="0.4">
      <c r="C16" s="651" t="s">
        <v>1</v>
      </c>
      <c r="D16" s="65" t="s">
        <v>107</v>
      </c>
      <c r="E16" s="66"/>
      <c r="F16" s="67"/>
      <c r="G16" s="67"/>
      <c r="H16" s="67"/>
      <c r="I16" s="67"/>
      <c r="J16" s="67"/>
      <c r="K16" s="67"/>
      <c r="L16" s="67"/>
      <c r="M16" s="68"/>
    </row>
    <row r="17" spans="3:13" ht="15" customHeight="1" x14ac:dyDescent="0.35">
      <c r="C17" s="651"/>
      <c r="D17" s="69" t="s">
        <v>115</v>
      </c>
      <c r="E17" s="75" t="s">
        <v>1116</v>
      </c>
      <c r="F17" s="71">
        <v>16.581453340000007</v>
      </c>
      <c r="G17" s="71">
        <v>184.36861766689265</v>
      </c>
      <c r="H17" s="71">
        <v>181.85207843707448</v>
      </c>
      <c r="I17" s="71">
        <v>100</v>
      </c>
      <c r="J17" s="71">
        <v>200</v>
      </c>
      <c r="K17" s="71">
        <v>0</v>
      </c>
      <c r="L17" s="71">
        <v>0</v>
      </c>
      <c r="M17" s="72">
        <f>SUM(F17:L17)</f>
        <v>682.8021494439671</v>
      </c>
    </row>
    <row r="18" spans="3:13" x14ac:dyDescent="0.35">
      <c r="C18" s="651"/>
      <c r="D18" s="69" t="s">
        <v>110</v>
      </c>
      <c r="E18" s="80" t="s">
        <v>1117</v>
      </c>
      <c r="F18" s="71">
        <v>203.01382385382115</v>
      </c>
      <c r="G18" s="71">
        <v>162.06769535999999</v>
      </c>
      <c r="H18" s="71">
        <v>162.06769535999999</v>
      </c>
      <c r="I18" s="71">
        <v>162.06769535999999</v>
      </c>
      <c r="J18" s="71">
        <v>889.17597218000003</v>
      </c>
      <c r="K18" s="71">
        <v>415.44720181000002</v>
      </c>
      <c r="L18" s="71">
        <v>0</v>
      </c>
      <c r="M18" s="72">
        <f>SUM(F18:L18)</f>
        <v>1993.8400839238211</v>
      </c>
    </row>
    <row r="19" spans="3:13" x14ac:dyDescent="0.35">
      <c r="C19" s="651"/>
      <c r="D19" s="69" t="s">
        <v>112</v>
      </c>
      <c r="E19" s="81">
        <v>0.06</v>
      </c>
      <c r="F19" s="71">
        <v>0.73363730819999995</v>
      </c>
      <c r="G19" s="71">
        <v>2.8112600599999999</v>
      </c>
      <c r="H19" s="71">
        <v>2.2742792099999996</v>
      </c>
      <c r="I19" s="71">
        <v>0</v>
      </c>
      <c r="J19" s="71">
        <v>0</v>
      </c>
      <c r="K19" s="71">
        <v>0</v>
      </c>
      <c r="L19" s="71">
        <v>0</v>
      </c>
      <c r="M19" s="72">
        <f>SUM(F19:L19)</f>
        <v>5.8191765781999996</v>
      </c>
    </row>
    <row r="20" spans="3:13" x14ac:dyDescent="0.35">
      <c r="C20" s="651"/>
      <c r="D20" s="69" t="s">
        <v>113</v>
      </c>
      <c r="E20" s="82" t="s">
        <v>243</v>
      </c>
      <c r="F20" s="71">
        <v>-0.45917296000000007</v>
      </c>
      <c r="G20" s="71">
        <v>-1.1002777500000001</v>
      </c>
      <c r="H20" s="71">
        <v>-0.93663132000000004</v>
      </c>
      <c r="I20" s="71">
        <v>-0.93663132000000004</v>
      </c>
      <c r="J20" s="71">
        <v>-5.9381347300000007</v>
      </c>
      <c r="K20" s="71">
        <v>-4.0275402500000004</v>
      </c>
      <c r="L20" s="71">
        <v>0</v>
      </c>
      <c r="M20" s="72">
        <f>SUM(F20:L20)</f>
        <v>-13.398388330000003</v>
      </c>
    </row>
    <row r="21" spans="3:13" ht="12.75" customHeight="1" x14ac:dyDescent="0.35">
      <c r="C21" s="83"/>
      <c r="D21" s="610" t="s">
        <v>116</v>
      </c>
      <c r="E21" s="613"/>
      <c r="F21" s="612">
        <f t="shared" ref="F21:L21" si="2">SUM(F17:F20)</f>
        <v>219.86974154202116</v>
      </c>
      <c r="G21" s="612">
        <f t="shared" si="2"/>
        <v>348.14729533689268</v>
      </c>
      <c r="H21" s="612">
        <f t="shared" si="2"/>
        <v>345.25742168707444</v>
      </c>
      <c r="I21" s="612">
        <f t="shared" si="2"/>
        <v>261.13106404000001</v>
      </c>
      <c r="J21" s="612">
        <f t="shared" si="2"/>
        <v>1083.2378374499999</v>
      </c>
      <c r="K21" s="612">
        <f t="shared" si="2"/>
        <v>411.41966156000001</v>
      </c>
      <c r="L21" s="612">
        <f t="shared" si="2"/>
        <v>0</v>
      </c>
      <c r="M21" s="612">
        <f>SUM(M17:M20)</f>
        <v>2669.063021615988</v>
      </c>
    </row>
    <row r="22" spans="3:13" ht="15" customHeight="1" thickBot="1" x14ac:dyDescent="0.4">
      <c r="C22" s="84"/>
      <c r="D22" s="85"/>
      <c r="E22" s="86"/>
      <c r="F22" s="87"/>
      <c r="G22" s="87"/>
      <c r="H22" s="87"/>
      <c r="I22" s="87"/>
      <c r="J22" s="87"/>
      <c r="K22" s="87"/>
      <c r="L22" s="87"/>
    </row>
    <row r="23" spans="3:13" ht="15" thickBot="1" x14ac:dyDescent="0.4">
      <c r="C23" s="651" t="s">
        <v>3</v>
      </c>
      <c r="D23" s="65" t="s">
        <v>107</v>
      </c>
      <c r="E23" s="66"/>
      <c r="F23" s="67"/>
      <c r="G23" s="67"/>
      <c r="H23" s="67"/>
      <c r="I23" s="67"/>
      <c r="J23" s="67"/>
      <c r="K23" s="67"/>
      <c r="L23" s="67"/>
      <c r="M23" s="68"/>
    </row>
    <row r="24" spans="3:13" ht="15" customHeight="1" x14ac:dyDescent="0.35">
      <c r="C24" s="651"/>
      <c r="D24" s="69" t="s">
        <v>109</v>
      </c>
      <c r="E24" s="75" t="s">
        <v>1118</v>
      </c>
      <c r="F24" s="71">
        <v>262.82899874149768</v>
      </c>
      <c r="G24" s="71">
        <v>201.90181569711169</v>
      </c>
      <c r="H24" s="71">
        <v>135.20089288</v>
      </c>
      <c r="I24" s="71">
        <v>827.46359046999999</v>
      </c>
      <c r="J24" s="71">
        <v>0</v>
      </c>
      <c r="K24" s="71">
        <v>0</v>
      </c>
      <c r="L24" s="71">
        <v>0</v>
      </c>
      <c r="M24" s="72">
        <f>SUM(F24:L24)</f>
        <v>1427.3952977886092</v>
      </c>
    </row>
    <row r="25" spans="3:13" x14ac:dyDescent="0.35">
      <c r="C25" s="651"/>
      <c r="D25" s="69" t="s">
        <v>110</v>
      </c>
      <c r="E25" s="80" t="s">
        <v>1119</v>
      </c>
      <c r="F25" s="71">
        <v>7.6469547123009152</v>
      </c>
      <c r="G25" s="71">
        <v>71.689341133611379</v>
      </c>
      <c r="H25" s="71">
        <v>70.359383999999991</v>
      </c>
      <c r="I25" s="71">
        <v>70.359383999999991</v>
      </c>
      <c r="J25" s="71">
        <v>562.87507199999993</v>
      </c>
      <c r="K25" s="71">
        <v>365.01483154999994</v>
      </c>
      <c r="L25" s="71">
        <v>0</v>
      </c>
      <c r="M25" s="72">
        <f>SUM(F25:L25)</f>
        <v>1147.944967395912</v>
      </c>
    </row>
    <row r="26" spans="3:13" x14ac:dyDescent="0.35">
      <c r="C26" s="651"/>
      <c r="D26" s="69" t="s">
        <v>112</v>
      </c>
      <c r="E26" s="74" t="s">
        <v>1120</v>
      </c>
      <c r="F26" s="71">
        <v>0</v>
      </c>
      <c r="G26" s="71">
        <v>44.465958979079211</v>
      </c>
      <c r="H26" s="71">
        <v>44.060988556316843</v>
      </c>
      <c r="I26" s="71">
        <v>44.06098855631685</v>
      </c>
      <c r="J26" s="71">
        <v>348.8161594041751</v>
      </c>
      <c r="K26" s="71">
        <v>444.28163460952823</v>
      </c>
      <c r="L26" s="71">
        <v>168.90045593254791</v>
      </c>
      <c r="M26" s="72">
        <f>SUM(F26:L26)</f>
        <v>1094.5861860379641</v>
      </c>
    </row>
    <row r="27" spans="3:13" x14ac:dyDescent="0.35">
      <c r="C27" s="651"/>
      <c r="D27" s="69" t="s">
        <v>113</v>
      </c>
      <c r="E27" s="81" t="s">
        <v>243</v>
      </c>
      <c r="F27" s="71">
        <v>-5.1002999999999997E-4</v>
      </c>
      <c r="G27" s="71">
        <v>-5.8437732761477745</v>
      </c>
      <c r="H27" s="71">
        <v>-23.368972744591098</v>
      </c>
      <c r="I27" s="71">
        <v>-23.368972744591098</v>
      </c>
      <c r="J27" s="71">
        <v>-186.95178195672878</v>
      </c>
      <c r="K27" s="71">
        <v>-233.68037635591102</v>
      </c>
      <c r="L27" s="71">
        <v>-89.573240727599199</v>
      </c>
      <c r="M27" s="72">
        <f>SUM(F27:L27)</f>
        <v>-562.78762783556897</v>
      </c>
    </row>
    <row r="28" spans="3:13" ht="15" customHeight="1" x14ac:dyDescent="0.35">
      <c r="C28" s="84"/>
      <c r="D28" s="610" t="s">
        <v>117</v>
      </c>
      <c r="E28" s="613"/>
      <c r="F28" s="612">
        <f t="shared" ref="F28:L28" si="3">SUM(F24:F27)</f>
        <v>270.47544342379859</v>
      </c>
      <c r="G28" s="612">
        <f t="shared" si="3"/>
        <v>312.21334253365455</v>
      </c>
      <c r="H28" s="612">
        <f t="shared" si="3"/>
        <v>226.25229269172573</v>
      </c>
      <c r="I28" s="612">
        <f t="shared" si="3"/>
        <v>918.51499028172566</v>
      </c>
      <c r="J28" s="612">
        <f t="shared" si="3"/>
        <v>724.7394494474463</v>
      </c>
      <c r="K28" s="612">
        <f t="shared" si="3"/>
        <v>575.61608980361711</v>
      </c>
      <c r="L28" s="612">
        <f t="shared" si="3"/>
        <v>79.327215204948715</v>
      </c>
      <c r="M28" s="612">
        <f>SUM(M24:M27)</f>
        <v>3107.1388233869166</v>
      </c>
    </row>
    <row r="29" spans="3:13" ht="15" customHeight="1" thickBot="1" x14ac:dyDescent="0.4">
      <c r="C29" s="84"/>
      <c r="D29" s="85"/>
      <c r="E29" s="86"/>
      <c r="F29" s="87"/>
      <c r="G29" s="87"/>
      <c r="H29" s="87"/>
      <c r="I29" s="87"/>
      <c r="J29" s="87"/>
      <c r="K29" s="87"/>
      <c r="L29" s="87"/>
    </row>
    <row r="30" spans="3:13" ht="15" thickBot="1" x14ac:dyDescent="0.4">
      <c r="C30" s="648" t="s">
        <v>4</v>
      </c>
      <c r="D30" s="65" t="s">
        <v>107</v>
      </c>
      <c r="E30" s="66"/>
      <c r="F30" s="67"/>
      <c r="G30" s="67"/>
      <c r="H30" s="67"/>
      <c r="I30" s="67"/>
      <c r="J30" s="67"/>
      <c r="K30" s="67"/>
      <c r="L30" s="67"/>
      <c r="M30" s="68"/>
    </row>
    <row r="31" spans="3:13" ht="15" customHeight="1" x14ac:dyDescent="0.35">
      <c r="C31" s="648"/>
      <c r="D31" s="69" t="s">
        <v>108</v>
      </c>
      <c r="E31" s="88" t="s">
        <v>1121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2">
        <f>SUM(F31:L31)</f>
        <v>0</v>
      </c>
    </row>
    <row r="32" spans="3:13" x14ac:dyDescent="0.35">
      <c r="C32" s="648"/>
      <c r="D32" s="69" t="s">
        <v>109</v>
      </c>
      <c r="E32" s="88" t="s">
        <v>1122</v>
      </c>
      <c r="F32" s="71">
        <v>19.589361943880675</v>
      </c>
      <c r="G32" s="71">
        <v>0.90441418425510856</v>
      </c>
      <c r="H32" s="71">
        <v>203.59919028344399</v>
      </c>
      <c r="I32" s="71">
        <v>314.07450329</v>
      </c>
      <c r="J32" s="71">
        <v>304.75534079800002</v>
      </c>
      <c r="K32" s="71">
        <v>0</v>
      </c>
      <c r="L32" s="71">
        <v>0</v>
      </c>
      <c r="M32" s="72">
        <f>SUM(F32:L32)</f>
        <v>842.92281049957978</v>
      </c>
    </row>
    <row r="33" spans="3:13" x14ac:dyDescent="0.35">
      <c r="C33" s="648"/>
      <c r="D33" s="69" t="s">
        <v>110</v>
      </c>
      <c r="E33" s="89" t="s">
        <v>1123</v>
      </c>
      <c r="F33" s="71">
        <v>5.2467516182354306</v>
      </c>
      <c r="G33" s="71">
        <v>48.210620499948469</v>
      </c>
      <c r="H33" s="71">
        <v>48.210620559793952</v>
      </c>
      <c r="I33" s="71">
        <v>48.210620559793952</v>
      </c>
      <c r="J33" s="71">
        <v>385.68496447835162</v>
      </c>
      <c r="K33" s="71">
        <v>252.25184260457149</v>
      </c>
      <c r="L33" s="71">
        <v>0</v>
      </c>
      <c r="M33" s="72">
        <f>SUM(F33:L33)</f>
        <v>787.8154203206949</v>
      </c>
    </row>
    <row r="34" spans="3:13" x14ac:dyDescent="0.35">
      <c r="C34" s="648"/>
      <c r="D34" s="69" t="s">
        <v>118</v>
      </c>
      <c r="E34" s="89" t="s">
        <v>1124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2">
        <f>SUM(F34:L34)</f>
        <v>0</v>
      </c>
    </row>
    <row r="35" spans="3:13" x14ac:dyDescent="0.35">
      <c r="C35" s="648"/>
      <c r="D35" s="69" t="s">
        <v>113</v>
      </c>
      <c r="E35" s="90" t="s">
        <v>243</v>
      </c>
      <c r="F35" s="71">
        <v>-8.1789120000000007E-2</v>
      </c>
      <c r="G35" s="71">
        <v>-0.32715648000000003</v>
      </c>
      <c r="H35" s="71">
        <v>-0.32715648000000003</v>
      </c>
      <c r="I35" s="71">
        <v>-0.32715648000000003</v>
      </c>
      <c r="J35" s="71">
        <v>-2.5634481</v>
      </c>
      <c r="K35" s="71">
        <v>-2.3496280000000001E-2</v>
      </c>
      <c r="L35" s="71">
        <v>0</v>
      </c>
      <c r="M35" s="72">
        <f>SUM(F35:L35)</f>
        <v>-3.6502029399999998</v>
      </c>
    </row>
    <row r="36" spans="3:13" ht="15" customHeight="1" x14ac:dyDescent="0.35">
      <c r="C36" s="91"/>
      <c r="D36" s="610" t="s">
        <v>119</v>
      </c>
      <c r="E36" s="613"/>
      <c r="F36" s="612">
        <f t="shared" ref="F36:L36" si="4">SUM(F31:F35)</f>
        <v>24.754324442116104</v>
      </c>
      <c r="G36" s="612">
        <f t="shared" si="4"/>
        <v>48.787878204203579</v>
      </c>
      <c r="H36" s="612">
        <f t="shared" si="4"/>
        <v>251.48265436323791</v>
      </c>
      <c r="I36" s="612">
        <f t="shared" si="4"/>
        <v>361.95796736979395</v>
      </c>
      <c r="J36" s="612">
        <f t="shared" si="4"/>
        <v>687.87685717635168</v>
      </c>
      <c r="K36" s="612">
        <f t="shared" si="4"/>
        <v>252.2283463245715</v>
      </c>
      <c r="L36" s="612">
        <f t="shared" si="4"/>
        <v>0</v>
      </c>
      <c r="M36" s="612">
        <f>SUM(M31:M35)</f>
        <v>1627.0880278802745</v>
      </c>
    </row>
    <row r="37" spans="3:13" ht="15" customHeight="1" thickBot="1" x14ac:dyDescent="0.4">
      <c r="C37" s="92"/>
      <c r="D37" s="93"/>
      <c r="E37" s="86"/>
      <c r="F37" s="86"/>
      <c r="G37" s="87"/>
      <c r="H37" s="87"/>
      <c r="I37" s="87"/>
      <c r="J37" s="87"/>
      <c r="K37" s="87"/>
      <c r="L37" s="87"/>
      <c r="M37" s="87"/>
    </row>
    <row r="38" spans="3:13" ht="15" thickBot="1" x14ac:dyDescent="0.4">
      <c r="C38" s="648" t="s">
        <v>120</v>
      </c>
      <c r="D38" s="65" t="s">
        <v>107</v>
      </c>
      <c r="E38" s="66"/>
      <c r="F38" s="67"/>
      <c r="G38" s="67"/>
      <c r="H38" s="67"/>
      <c r="I38" s="67"/>
      <c r="J38" s="67"/>
      <c r="K38" s="67"/>
      <c r="L38" s="67"/>
      <c r="M38" s="68"/>
    </row>
    <row r="39" spans="3:13" ht="15" customHeight="1" x14ac:dyDescent="0.35">
      <c r="C39" s="648"/>
      <c r="D39" s="69" t="s">
        <v>109</v>
      </c>
      <c r="E39" s="88" t="s">
        <v>1125</v>
      </c>
      <c r="F39" s="71">
        <v>32.03687252052994</v>
      </c>
      <c r="G39" s="71">
        <v>1224.9169135643851</v>
      </c>
      <c r="H39" s="71">
        <v>300</v>
      </c>
      <c r="I39" s="71">
        <v>360.49736165838613</v>
      </c>
      <c r="J39" s="71">
        <v>1443.3828928531302</v>
      </c>
      <c r="K39" s="71">
        <v>0</v>
      </c>
      <c r="L39" s="71">
        <v>0</v>
      </c>
      <c r="M39" s="72">
        <f>SUM(F39:L39)</f>
        <v>3360.8340405964314</v>
      </c>
    </row>
    <row r="40" spans="3:13" x14ac:dyDescent="0.35">
      <c r="C40" s="648"/>
      <c r="D40" s="69" t="s">
        <v>110</v>
      </c>
      <c r="E40" s="89" t="s">
        <v>1126</v>
      </c>
      <c r="F40" s="71">
        <v>0.16957015462555225</v>
      </c>
      <c r="G40" s="71">
        <v>19.340106723669532</v>
      </c>
      <c r="H40" s="71">
        <v>15.388148518547947</v>
      </c>
      <c r="I40" s="71">
        <v>15.388148518547947</v>
      </c>
      <c r="J40" s="71">
        <v>647.35152646722304</v>
      </c>
      <c r="K40" s="71">
        <v>30.776297037095894</v>
      </c>
      <c r="L40" s="71">
        <v>0</v>
      </c>
      <c r="M40" s="72">
        <f>SUM(F40:L40)</f>
        <v>728.41379741970991</v>
      </c>
    </row>
    <row r="41" spans="3:13" x14ac:dyDescent="0.35">
      <c r="C41" s="648"/>
      <c r="D41" s="69" t="s">
        <v>113</v>
      </c>
      <c r="E41" s="90" t="s">
        <v>243</v>
      </c>
      <c r="F41" s="71">
        <v>-0.5183839862049554</v>
      </c>
      <c r="G41" s="71">
        <v>-1.9344723013912506</v>
      </c>
      <c r="H41" s="71">
        <v>-1.6563450145341074</v>
      </c>
      <c r="I41" s="71">
        <v>-1.6563450145341074</v>
      </c>
      <c r="J41" s="71">
        <v>-6.3047301358645376</v>
      </c>
      <c r="K41" s="71">
        <v>-0.70792878641509438</v>
      </c>
      <c r="L41" s="71">
        <v>0</v>
      </c>
      <c r="M41" s="72">
        <f>SUM(F41:L41)</f>
        <v>-12.778205238944052</v>
      </c>
    </row>
    <row r="42" spans="3:13" ht="15" customHeight="1" x14ac:dyDescent="0.35">
      <c r="C42" s="91"/>
      <c r="D42" s="610" t="s">
        <v>121</v>
      </c>
      <c r="E42" s="613"/>
      <c r="F42" s="612">
        <f t="shared" ref="F42:L42" si="5">SUM(F39:F41)</f>
        <v>31.688058688950537</v>
      </c>
      <c r="G42" s="612">
        <f t="shared" si="5"/>
        <v>1242.3225479866635</v>
      </c>
      <c r="H42" s="612">
        <f t="shared" si="5"/>
        <v>313.73180350401384</v>
      </c>
      <c r="I42" s="612">
        <f t="shared" si="5"/>
        <v>374.22916516239997</v>
      </c>
      <c r="J42" s="612">
        <f t="shared" si="5"/>
        <v>2084.4296891844888</v>
      </c>
      <c r="K42" s="612">
        <f t="shared" si="5"/>
        <v>30.068368250680798</v>
      </c>
      <c r="L42" s="612">
        <f t="shared" si="5"/>
        <v>0</v>
      </c>
      <c r="M42" s="612">
        <f>SUM(M39:M41)</f>
        <v>4076.4696327771971</v>
      </c>
    </row>
    <row r="43" spans="3:13" ht="15" customHeight="1" thickBot="1" x14ac:dyDescent="0.4">
      <c r="C43" s="92"/>
      <c r="D43" s="93"/>
      <c r="E43" s="86"/>
      <c r="F43" s="86"/>
      <c r="G43" s="87"/>
      <c r="H43" s="87"/>
      <c r="I43" s="87"/>
      <c r="J43" s="87"/>
      <c r="K43" s="87"/>
      <c r="L43" s="87"/>
      <c r="M43" s="87"/>
    </row>
    <row r="44" spans="3:13" ht="15" thickBot="1" x14ac:dyDescent="0.4">
      <c r="C44" s="649" t="s">
        <v>122</v>
      </c>
      <c r="D44" s="65" t="s">
        <v>107</v>
      </c>
      <c r="E44" s="66"/>
      <c r="F44" s="67"/>
      <c r="G44" s="67"/>
      <c r="H44" s="67"/>
      <c r="I44" s="67"/>
      <c r="J44" s="67"/>
      <c r="K44" s="67"/>
      <c r="L44" s="67"/>
      <c r="M44" s="68"/>
    </row>
    <row r="45" spans="3:13" ht="15" customHeight="1" x14ac:dyDescent="0.35">
      <c r="C45" s="649"/>
      <c r="D45" s="69" t="s">
        <v>109</v>
      </c>
      <c r="E45" s="94" t="s">
        <v>1127</v>
      </c>
      <c r="F45" s="71">
        <v>0</v>
      </c>
      <c r="G45" s="71">
        <v>20.839541906635709</v>
      </c>
      <c r="H45" s="71">
        <v>348.35145522623401</v>
      </c>
      <c r="I45" s="71">
        <v>414.77647738958399</v>
      </c>
      <c r="J45" s="71">
        <v>617.24733000000003</v>
      </c>
      <c r="K45" s="71">
        <v>0</v>
      </c>
      <c r="L45" s="71">
        <v>0</v>
      </c>
      <c r="M45" s="72">
        <f>SUM(F45:L45)</f>
        <v>1401.2148045224537</v>
      </c>
    </row>
    <row r="46" spans="3:13" x14ac:dyDescent="0.35">
      <c r="C46" s="649"/>
      <c r="D46" s="69" t="s">
        <v>110</v>
      </c>
      <c r="E46" s="95" t="s">
        <v>1128</v>
      </c>
      <c r="F46" s="71">
        <v>0</v>
      </c>
      <c r="G46" s="71">
        <v>1.8676431499999999</v>
      </c>
      <c r="H46" s="71">
        <v>0</v>
      </c>
      <c r="I46" s="71">
        <v>0</v>
      </c>
      <c r="J46" s="71">
        <v>0</v>
      </c>
      <c r="K46" s="71">
        <v>0</v>
      </c>
      <c r="L46" s="71">
        <v>195.74034383</v>
      </c>
      <c r="M46" s="72">
        <f>SUM(F46:L46)</f>
        <v>197.60798697999999</v>
      </c>
    </row>
    <row r="47" spans="3:13" ht="15" thickBot="1" x14ac:dyDescent="0.4">
      <c r="C47" s="649"/>
      <c r="D47" s="610" t="s">
        <v>123</v>
      </c>
      <c r="E47" s="613"/>
      <c r="F47" s="612">
        <f t="shared" ref="F47:L47" si="6">SUM(F45:F46)</f>
        <v>0</v>
      </c>
      <c r="G47" s="612">
        <f t="shared" si="6"/>
        <v>22.707185056635709</v>
      </c>
      <c r="H47" s="612">
        <f t="shared" si="6"/>
        <v>348.35145522623401</v>
      </c>
      <c r="I47" s="612">
        <f t="shared" si="6"/>
        <v>414.77647738958399</v>
      </c>
      <c r="J47" s="612">
        <f t="shared" si="6"/>
        <v>617.24733000000003</v>
      </c>
      <c r="K47" s="612">
        <f t="shared" si="6"/>
        <v>0</v>
      </c>
      <c r="L47" s="612">
        <f t="shared" si="6"/>
        <v>195.74034383</v>
      </c>
      <c r="M47" s="612">
        <f>SUM(M45:M46)</f>
        <v>1598.8227915024538</v>
      </c>
    </row>
    <row r="48" spans="3:13" ht="15" customHeight="1" thickBot="1" x14ac:dyDescent="0.4">
      <c r="C48" s="96"/>
      <c r="D48" s="65"/>
      <c r="E48" s="66"/>
      <c r="F48" s="67"/>
      <c r="G48" s="67"/>
      <c r="H48" s="67"/>
      <c r="I48" s="67"/>
      <c r="J48" s="67"/>
      <c r="K48" s="67"/>
      <c r="L48" s="67"/>
      <c r="M48" s="68"/>
    </row>
    <row r="49" spans="3:13" ht="20.5" customHeight="1" thickBot="1" x14ac:dyDescent="0.4">
      <c r="C49" s="96"/>
      <c r="D49" s="93"/>
      <c r="E49" s="86"/>
      <c r="F49" s="86"/>
      <c r="G49" s="87"/>
      <c r="H49" s="87"/>
      <c r="I49" s="87"/>
      <c r="J49" s="87"/>
      <c r="K49" s="87"/>
      <c r="L49" s="87"/>
      <c r="M49" s="87"/>
    </row>
    <row r="50" spans="3:13" ht="15" customHeight="1" thickBot="1" x14ac:dyDescent="0.4">
      <c r="C50" s="649" t="s">
        <v>101</v>
      </c>
      <c r="D50" s="65" t="s">
        <v>107</v>
      </c>
      <c r="E50" s="66"/>
      <c r="F50" s="67"/>
      <c r="G50" s="67"/>
      <c r="H50" s="67"/>
      <c r="I50" s="67"/>
      <c r="J50" s="67"/>
      <c r="K50" s="67"/>
      <c r="L50" s="67"/>
      <c r="M50" s="68"/>
    </row>
    <row r="51" spans="3:13" x14ac:dyDescent="0.35">
      <c r="C51" s="649"/>
      <c r="D51" s="69" t="s">
        <v>109</v>
      </c>
      <c r="E51" s="82" t="s">
        <v>1129</v>
      </c>
      <c r="F51" s="71">
        <v>0</v>
      </c>
      <c r="G51" s="71">
        <v>1277.3301358099995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2">
        <f>SUM(F51:L51)</f>
        <v>1277.3301358099995</v>
      </c>
    </row>
    <row r="52" spans="3:13" x14ac:dyDescent="0.35">
      <c r="C52" s="649"/>
      <c r="D52" s="69" t="s">
        <v>124</v>
      </c>
      <c r="E52" s="82" t="s">
        <v>1130</v>
      </c>
      <c r="F52" s="71">
        <v>0.27888265000000001</v>
      </c>
      <c r="G52" s="71">
        <v>0</v>
      </c>
      <c r="H52" s="71">
        <v>0</v>
      </c>
      <c r="I52" s="71">
        <v>0</v>
      </c>
      <c r="J52" s="71">
        <v>46.212559436000006</v>
      </c>
      <c r="K52" s="71">
        <v>67.628135760000006</v>
      </c>
      <c r="L52" s="71">
        <v>21.415576324000003</v>
      </c>
      <c r="M52" s="72">
        <f>SUM(F52:L52)</f>
        <v>135.53515417000003</v>
      </c>
    </row>
    <row r="53" spans="3:13" x14ac:dyDescent="0.35">
      <c r="C53" s="649"/>
      <c r="D53" s="69" t="s">
        <v>113</v>
      </c>
      <c r="E53" s="95" t="s">
        <v>1131</v>
      </c>
      <c r="F53" s="71">
        <v>-0.27741191999999998</v>
      </c>
      <c r="G53" s="71">
        <v>-0.56262500000000004</v>
      </c>
      <c r="H53" s="71">
        <v>-1.5602400000000004E-2</v>
      </c>
      <c r="I53" s="71">
        <v>-1.5602400000000004E-2</v>
      </c>
      <c r="J53" s="71">
        <v>-1.5602400000000004E-2</v>
      </c>
      <c r="K53" s="71">
        <v>-1.5602400000000004E-2</v>
      </c>
      <c r="L53" s="71">
        <v>-1.5602400000000004E-2</v>
      </c>
      <c r="M53" s="72">
        <f>SUM(F53:L53)</f>
        <v>-0.91804892000000005</v>
      </c>
    </row>
    <row r="54" spans="3:13" ht="15" customHeight="1" x14ac:dyDescent="0.35">
      <c r="C54" s="96"/>
      <c r="D54" s="610" t="s">
        <v>123</v>
      </c>
      <c r="E54" s="613"/>
      <c r="F54" s="612">
        <f>SUM(F51:F53)</f>
        <v>1.4707300000000312E-3</v>
      </c>
      <c r="G54" s="612">
        <f t="shared" ref="G54:M54" si="7">SUM(G51:G53)</f>
        <v>1276.7675108099995</v>
      </c>
      <c r="H54" s="612">
        <f t="shared" si="7"/>
        <v>-1.5602400000000004E-2</v>
      </c>
      <c r="I54" s="612">
        <f t="shared" si="7"/>
        <v>-1.5602400000000004E-2</v>
      </c>
      <c r="J54" s="612">
        <f t="shared" si="7"/>
        <v>46.196957036000008</v>
      </c>
      <c r="K54" s="612">
        <f t="shared" si="7"/>
        <v>67.61253336</v>
      </c>
      <c r="L54" s="612">
        <f t="shared" si="7"/>
        <v>21.399973924000005</v>
      </c>
      <c r="M54" s="612">
        <f t="shared" si="7"/>
        <v>1411.9472410599994</v>
      </c>
    </row>
    <row r="55" spans="3:13" ht="20.5" customHeight="1" thickBot="1" x14ac:dyDescent="0.4">
      <c r="C55" s="96"/>
      <c r="D55" s="93"/>
      <c r="E55" s="86"/>
      <c r="F55" s="86"/>
      <c r="G55" s="87"/>
      <c r="H55" s="87"/>
      <c r="I55" s="87"/>
      <c r="J55" s="87"/>
      <c r="K55" s="87"/>
      <c r="L55" s="87"/>
      <c r="M55" s="87"/>
    </row>
    <row r="56" spans="3:13" ht="15" customHeight="1" thickBot="1" x14ac:dyDescent="0.4">
      <c r="C56" s="648" t="s">
        <v>125</v>
      </c>
      <c r="D56" s="65" t="s">
        <v>107</v>
      </c>
      <c r="E56" s="66"/>
      <c r="F56" s="67"/>
      <c r="G56" s="67"/>
      <c r="H56" s="67"/>
      <c r="I56" s="67"/>
      <c r="J56" s="67"/>
      <c r="K56" s="67"/>
      <c r="L56" s="67"/>
      <c r="M56" s="68"/>
    </row>
    <row r="57" spans="3:13" x14ac:dyDescent="0.35">
      <c r="C57" s="648"/>
      <c r="D57" s="97" t="s">
        <v>110</v>
      </c>
      <c r="E57" s="94" t="s">
        <v>1132</v>
      </c>
      <c r="F57" s="71">
        <v>169.94341971211054</v>
      </c>
      <c r="G57" s="71">
        <v>285.59594748826646</v>
      </c>
      <c r="H57" s="71">
        <v>301.19724798695722</v>
      </c>
      <c r="I57" s="71">
        <v>308.46554932028687</v>
      </c>
      <c r="J57" s="71">
        <v>2755.6034557994658</v>
      </c>
      <c r="K57" s="71">
        <v>1892.9051789414284</v>
      </c>
      <c r="L57" s="71">
        <v>0</v>
      </c>
      <c r="M57" s="72">
        <f>SUM(F57:L57)</f>
        <v>5713.7107992485153</v>
      </c>
    </row>
    <row r="58" spans="3:13" x14ac:dyDescent="0.35">
      <c r="C58" s="648"/>
      <c r="D58" s="97" t="s">
        <v>109</v>
      </c>
      <c r="E58" s="94">
        <v>1.4500000000000001E-2</v>
      </c>
      <c r="F58" s="71">
        <v>4.24872332703411</v>
      </c>
      <c r="G58" s="71">
        <v>208.60023970004895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2">
        <f>SUM(F58:L58)</f>
        <v>212.84896302708304</v>
      </c>
    </row>
    <row r="59" spans="3:13" x14ac:dyDescent="0.35">
      <c r="C59" s="648"/>
      <c r="D59" s="97" t="s">
        <v>113</v>
      </c>
      <c r="E59" s="94" t="s">
        <v>1131</v>
      </c>
      <c r="F59" s="71">
        <v>-1.3655852300000002</v>
      </c>
      <c r="G59" s="71">
        <v>-5.3355443301369867</v>
      </c>
      <c r="H59" s="71">
        <v>-4.5410262205479448</v>
      </c>
      <c r="I59" s="71">
        <v>-4.5418751805479456</v>
      </c>
      <c r="J59" s="71">
        <v>-35.192969194383565</v>
      </c>
      <c r="K59" s="71">
        <v>-10.320990354383561</v>
      </c>
      <c r="L59" s="71">
        <v>0</v>
      </c>
      <c r="M59" s="72">
        <f>SUM(F59:L59)</f>
        <v>-61.297990510000005</v>
      </c>
    </row>
    <row r="60" spans="3:13" ht="20.5" customHeight="1" x14ac:dyDescent="0.35">
      <c r="C60" s="92"/>
      <c r="D60" s="610" t="s">
        <v>126</v>
      </c>
      <c r="E60" s="613"/>
      <c r="F60" s="612">
        <f t="shared" ref="F60:M60" si="8">SUM(F57:F59)</f>
        <v>172.82655780914465</v>
      </c>
      <c r="G60" s="612">
        <f t="shared" si="8"/>
        <v>488.86064285817844</v>
      </c>
      <c r="H60" s="612">
        <f t="shared" si="8"/>
        <v>296.65622176640926</v>
      </c>
      <c r="I60" s="612">
        <f t="shared" si="8"/>
        <v>303.92367413973892</v>
      </c>
      <c r="J60" s="612">
        <f t="shared" si="8"/>
        <v>2720.410486605082</v>
      </c>
      <c r="K60" s="612">
        <f t="shared" si="8"/>
        <v>1882.5841885870448</v>
      </c>
      <c r="L60" s="612">
        <f t="shared" si="8"/>
        <v>0</v>
      </c>
      <c r="M60" s="612">
        <f t="shared" si="8"/>
        <v>5865.2617717655985</v>
      </c>
    </row>
    <row r="61" spans="3:13" ht="15" customHeight="1" thickBot="1" x14ac:dyDescent="0.4">
      <c r="C61" s="92"/>
      <c r="D61" s="85"/>
      <c r="E61" s="86"/>
      <c r="F61" s="87"/>
      <c r="G61" s="87"/>
      <c r="H61" s="87"/>
      <c r="I61" s="87"/>
      <c r="J61" s="87"/>
      <c r="K61" s="87"/>
      <c r="L61" s="87"/>
    </row>
    <row r="62" spans="3:13" ht="15" thickBot="1" x14ac:dyDescent="0.4">
      <c r="C62" s="651" t="s">
        <v>92</v>
      </c>
      <c r="D62" s="65" t="s">
        <v>107</v>
      </c>
      <c r="E62" s="66"/>
      <c r="F62" s="67"/>
      <c r="G62" s="67"/>
      <c r="H62" s="67"/>
      <c r="I62" s="67"/>
      <c r="J62" s="67"/>
      <c r="K62" s="67"/>
      <c r="L62" s="67"/>
      <c r="M62" s="68"/>
    </row>
    <row r="63" spans="3:13" x14ac:dyDescent="0.35">
      <c r="C63" s="651"/>
      <c r="D63" s="69" t="s">
        <v>108</v>
      </c>
      <c r="E63" s="82" t="s">
        <v>1133</v>
      </c>
      <c r="F63" s="71">
        <v>0</v>
      </c>
      <c r="G63" s="71">
        <v>250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2">
        <f>SUM(F63:L63)</f>
        <v>250</v>
      </c>
    </row>
    <row r="64" spans="3:13" x14ac:dyDescent="0.35">
      <c r="C64" s="651"/>
      <c r="D64" s="69" t="s">
        <v>109</v>
      </c>
      <c r="E64" s="82" t="s">
        <v>1134</v>
      </c>
      <c r="F64" s="71">
        <v>0</v>
      </c>
      <c r="G64" s="71">
        <v>1.8626451492309569E-15</v>
      </c>
      <c r="H64" s="71">
        <v>0</v>
      </c>
      <c r="I64" s="71">
        <v>150</v>
      </c>
      <c r="J64" s="71">
        <v>0</v>
      </c>
      <c r="K64" s="71">
        <v>0</v>
      </c>
      <c r="L64" s="71">
        <v>0</v>
      </c>
      <c r="M64" s="72">
        <f>SUM(F64:L64)</f>
        <v>150</v>
      </c>
    </row>
    <row r="65" spans="2:20" x14ac:dyDescent="0.35">
      <c r="C65" s="651"/>
      <c r="D65" s="69" t="s">
        <v>124</v>
      </c>
      <c r="E65" s="82" t="s">
        <v>1135</v>
      </c>
      <c r="F65" s="71">
        <v>50.54835532000002</v>
      </c>
      <c r="G65" s="71">
        <v>43.780468999999997</v>
      </c>
      <c r="H65" s="71">
        <v>43.780469009999997</v>
      </c>
      <c r="I65" s="71">
        <v>0</v>
      </c>
      <c r="J65" s="71">
        <v>0</v>
      </c>
      <c r="K65" s="71">
        <v>0</v>
      </c>
      <c r="L65" s="71">
        <v>0</v>
      </c>
      <c r="M65" s="72">
        <f>SUM(F65:L65)</f>
        <v>138.10929333000001</v>
      </c>
    </row>
    <row r="66" spans="2:20" x14ac:dyDescent="0.35">
      <c r="C66" s="651"/>
      <c r="D66" s="69" t="s">
        <v>113</v>
      </c>
      <c r="E66" s="82" t="s">
        <v>243</v>
      </c>
      <c r="F66" s="71">
        <v>-0.18749801999999999</v>
      </c>
      <c r="G66" s="71">
        <v>-0.74591603999999989</v>
      </c>
      <c r="H66" s="71">
        <v>-0.64144203999999994</v>
      </c>
      <c r="I66" s="71">
        <v>-6.4281859999999996E-2</v>
      </c>
      <c r="J66" s="71">
        <v>0</v>
      </c>
      <c r="K66" s="71">
        <v>0</v>
      </c>
      <c r="L66" s="71">
        <v>0</v>
      </c>
      <c r="M66" s="72">
        <f>SUM(F66:L66)</f>
        <v>-1.6391379599999998</v>
      </c>
    </row>
    <row r="67" spans="2:20" ht="20.5" customHeight="1" x14ac:dyDescent="0.35">
      <c r="C67" s="84"/>
      <c r="D67" s="610" t="s">
        <v>127</v>
      </c>
      <c r="E67" s="613"/>
      <c r="F67" s="614">
        <f t="shared" ref="F67:L67" si="9">SUM(F63:F66)</f>
        <v>50.360857300000021</v>
      </c>
      <c r="G67" s="614">
        <f t="shared" si="9"/>
        <v>293.03455295999998</v>
      </c>
      <c r="H67" s="614">
        <f t="shared" si="9"/>
        <v>43.139026969999996</v>
      </c>
      <c r="I67" s="614">
        <f t="shared" si="9"/>
        <v>149.93571814000001</v>
      </c>
      <c r="J67" s="614">
        <f t="shared" si="9"/>
        <v>0</v>
      </c>
      <c r="K67" s="614">
        <f t="shared" si="9"/>
        <v>0</v>
      </c>
      <c r="L67" s="614">
        <f t="shared" si="9"/>
        <v>0</v>
      </c>
      <c r="M67" s="615">
        <f>SUM(M63:M66)</f>
        <v>536.47015537000004</v>
      </c>
    </row>
    <row r="68" spans="2:20" ht="15" customHeight="1" thickBot="1" x14ac:dyDescent="0.4">
      <c r="C68" s="84"/>
    </row>
    <row r="69" spans="2:20" ht="15" thickBot="1" x14ac:dyDescent="0.4">
      <c r="C69" s="649" t="s">
        <v>128</v>
      </c>
      <c r="D69" s="65" t="s">
        <v>107</v>
      </c>
      <c r="E69" s="66"/>
      <c r="F69" s="67"/>
      <c r="G69" s="67"/>
      <c r="H69" s="67"/>
      <c r="I69" s="67"/>
      <c r="J69" s="67"/>
      <c r="K69" s="67"/>
      <c r="L69" s="67"/>
      <c r="M69" s="68"/>
    </row>
    <row r="70" spans="2:20" x14ac:dyDescent="0.35">
      <c r="C70" s="649"/>
      <c r="D70" s="97" t="s">
        <v>109</v>
      </c>
      <c r="E70" s="98" t="s">
        <v>1136</v>
      </c>
      <c r="F70" s="71">
        <v>101.87869720098584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2">
        <f>SUM(F70:L70)</f>
        <v>101.87869720098584</v>
      </c>
    </row>
    <row r="71" spans="2:20" x14ac:dyDescent="0.35">
      <c r="C71" s="649"/>
      <c r="D71" s="97" t="s">
        <v>110</v>
      </c>
      <c r="E71" s="99" t="s">
        <v>1130</v>
      </c>
      <c r="F71" s="71">
        <v>1.3903504889600115E-2</v>
      </c>
      <c r="G71" s="71">
        <v>2.822195999999998E-2</v>
      </c>
      <c r="H71" s="71">
        <v>2.822195999999998E-2</v>
      </c>
      <c r="I71" s="71">
        <v>2.822195999999998E-2</v>
      </c>
      <c r="J71" s="71">
        <v>0.21401652999999987</v>
      </c>
      <c r="K71" s="71">
        <v>0</v>
      </c>
      <c r="L71" s="71">
        <v>0</v>
      </c>
      <c r="M71" s="72">
        <f>SUM(F71:L71)</f>
        <v>0.31258591488959991</v>
      </c>
    </row>
    <row r="72" spans="2:20" ht="20.5" customHeight="1" x14ac:dyDescent="0.35">
      <c r="C72" s="96"/>
      <c r="D72" s="610" t="s">
        <v>129</v>
      </c>
      <c r="E72" s="613"/>
      <c r="F72" s="612">
        <f>SUM(F70:F71)</f>
        <v>101.89260070587544</v>
      </c>
      <c r="G72" s="612">
        <f t="shared" ref="G72:L72" si="10">SUM(G70:G71)</f>
        <v>2.822195999999998E-2</v>
      </c>
      <c r="H72" s="612">
        <f t="shared" si="10"/>
        <v>2.822195999999998E-2</v>
      </c>
      <c r="I72" s="612">
        <f t="shared" si="10"/>
        <v>2.822195999999998E-2</v>
      </c>
      <c r="J72" s="612">
        <f t="shared" si="10"/>
        <v>0.21401652999999987</v>
      </c>
      <c r="K72" s="612">
        <f t="shared" si="10"/>
        <v>0</v>
      </c>
      <c r="L72" s="612">
        <f t="shared" si="10"/>
        <v>0</v>
      </c>
      <c r="M72" s="612">
        <f>SUM(M70:M71)</f>
        <v>102.19128311587544</v>
      </c>
    </row>
    <row r="73" spans="2:20" ht="15" customHeight="1" thickBot="1" x14ac:dyDescent="0.4">
      <c r="C73" s="96"/>
    </row>
    <row r="74" spans="2:20" ht="15" thickBot="1" x14ac:dyDescent="0.4">
      <c r="C74" s="649" t="s">
        <v>94</v>
      </c>
      <c r="D74" s="65" t="s">
        <v>107</v>
      </c>
      <c r="E74" s="66"/>
      <c r="F74" s="67"/>
      <c r="G74" s="67"/>
      <c r="H74" s="67"/>
      <c r="I74" s="67"/>
      <c r="J74" s="67"/>
      <c r="K74" s="67"/>
      <c r="L74" s="67"/>
      <c r="M74" s="68"/>
    </row>
    <row r="75" spans="2:20" x14ac:dyDescent="0.35">
      <c r="C75" s="649"/>
      <c r="D75" s="69" t="s">
        <v>109</v>
      </c>
      <c r="E75" s="94" t="s">
        <v>1137</v>
      </c>
      <c r="F75" s="71">
        <v>0.34617788999999938</v>
      </c>
      <c r="G75" s="71">
        <v>19.269618448922635</v>
      </c>
      <c r="H75" s="71">
        <v>0</v>
      </c>
      <c r="I75" s="71">
        <v>17.63935</v>
      </c>
      <c r="J75" s="71">
        <v>0</v>
      </c>
      <c r="K75" s="71">
        <v>0</v>
      </c>
      <c r="L75" s="71">
        <v>0</v>
      </c>
      <c r="M75" s="72">
        <f>SUM(F75:L75)</f>
        <v>37.255146338922636</v>
      </c>
    </row>
    <row r="76" spans="2:20" s="62" customFormat="1" x14ac:dyDescent="0.35">
      <c r="B76" s="37"/>
      <c r="C76" s="649"/>
      <c r="D76" s="69" t="s">
        <v>113</v>
      </c>
      <c r="E76" s="95" t="s">
        <v>243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2">
        <f>SUM(F76:L76)</f>
        <v>0</v>
      </c>
      <c r="N76" s="37"/>
      <c r="O76" s="37"/>
      <c r="P76" s="37"/>
      <c r="Q76" s="37"/>
      <c r="R76" s="37"/>
      <c r="S76" s="37"/>
      <c r="T76" s="37"/>
    </row>
    <row r="77" spans="2:20" x14ac:dyDescent="0.35">
      <c r="C77" s="650"/>
      <c r="D77" s="610" t="s">
        <v>130</v>
      </c>
      <c r="E77" s="613"/>
      <c r="F77" s="612">
        <f t="shared" ref="F77:M77" si="11">SUM(F75:F76)</f>
        <v>0.34617788999999938</v>
      </c>
      <c r="G77" s="612">
        <f t="shared" si="11"/>
        <v>19.269618448922635</v>
      </c>
      <c r="H77" s="612">
        <f t="shared" si="11"/>
        <v>0</v>
      </c>
      <c r="I77" s="612">
        <f t="shared" si="11"/>
        <v>17.63935</v>
      </c>
      <c r="J77" s="612">
        <f t="shared" si="11"/>
        <v>0</v>
      </c>
      <c r="K77" s="612">
        <f t="shared" si="11"/>
        <v>0</v>
      </c>
      <c r="L77" s="612">
        <f t="shared" si="11"/>
        <v>0</v>
      </c>
      <c r="M77" s="612">
        <f t="shared" si="11"/>
        <v>37.255146338922636</v>
      </c>
    </row>
    <row r="78" spans="2:20" s="62" customFormat="1" ht="15" customHeight="1" x14ac:dyDescent="0.35">
      <c r="B78" s="37"/>
      <c r="C78" s="650"/>
      <c r="D78" s="85"/>
      <c r="E78" s="86"/>
      <c r="F78" s="87"/>
      <c r="G78" s="87"/>
      <c r="H78" s="87"/>
      <c r="I78" s="87"/>
      <c r="J78" s="87"/>
      <c r="K78" s="87"/>
      <c r="L78" s="87"/>
      <c r="M78" s="87"/>
      <c r="N78" s="37"/>
      <c r="O78" s="37"/>
      <c r="P78" s="37"/>
      <c r="Q78" s="37"/>
      <c r="R78" s="37"/>
      <c r="S78" s="37"/>
      <c r="T78" s="37"/>
    </row>
    <row r="79" spans="2:20" s="62" customFormat="1" ht="15" thickBot="1" x14ac:dyDescent="0.4">
      <c r="B79" s="37"/>
      <c r="C79" s="650"/>
      <c r="D79" s="85"/>
      <c r="E79" s="86"/>
      <c r="F79" s="87"/>
      <c r="G79" s="87"/>
      <c r="H79" s="87"/>
      <c r="I79" s="87"/>
      <c r="J79" s="87"/>
      <c r="K79" s="87"/>
      <c r="L79" s="87"/>
      <c r="M79" s="87"/>
      <c r="N79" s="37"/>
      <c r="O79" s="37"/>
      <c r="P79" s="37"/>
      <c r="Q79" s="37"/>
      <c r="R79" s="37"/>
      <c r="S79" s="37"/>
      <c r="T79" s="37"/>
    </row>
    <row r="80" spans="2:20" s="62" customFormat="1" ht="15" thickBot="1" x14ac:dyDescent="0.4">
      <c r="B80" s="37"/>
      <c r="C80" s="648" t="s">
        <v>96</v>
      </c>
      <c r="D80" s="65" t="s">
        <v>107</v>
      </c>
      <c r="E80" s="66"/>
      <c r="F80" s="67"/>
      <c r="G80" s="67"/>
      <c r="H80" s="67"/>
      <c r="I80" s="67"/>
      <c r="J80" s="67"/>
      <c r="K80" s="67"/>
      <c r="L80" s="67"/>
      <c r="M80" s="68"/>
      <c r="N80" s="37"/>
      <c r="O80" s="37"/>
      <c r="P80" s="37"/>
      <c r="Q80" s="37"/>
      <c r="R80" s="37"/>
      <c r="S80" s="37"/>
      <c r="T80" s="37"/>
    </row>
    <row r="81" spans="2:20" s="62" customFormat="1" x14ac:dyDescent="0.35">
      <c r="B81" s="37"/>
      <c r="C81" s="648"/>
      <c r="D81" s="69" t="s">
        <v>109</v>
      </c>
      <c r="E81" s="100" t="s">
        <v>1138</v>
      </c>
      <c r="F81" s="71">
        <v>263.71679896171048</v>
      </c>
      <c r="G81" s="71">
        <v>1498.7436605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72">
        <f>SUM(F81:L81)</f>
        <v>1762.4604594617106</v>
      </c>
      <c r="N81" s="37"/>
      <c r="O81" s="37"/>
      <c r="P81" s="37"/>
      <c r="Q81" s="37"/>
      <c r="R81" s="37"/>
      <c r="S81" s="37"/>
      <c r="T81" s="37"/>
    </row>
    <row r="82" spans="2:20" s="62" customFormat="1" x14ac:dyDescent="0.35">
      <c r="B82" s="37"/>
      <c r="C82" s="648"/>
      <c r="D82" s="69" t="s">
        <v>124</v>
      </c>
      <c r="E82" s="88" t="s">
        <v>1139</v>
      </c>
      <c r="F82" s="71">
        <v>74.472630250000009</v>
      </c>
      <c r="G82" s="71">
        <v>169.87361071978412</v>
      </c>
      <c r="H82" s="71">
        <v>213.91563186956824</v>
      </c>
      <c r="I82" s="71">
        <v>228.99482457956827</v>
      </c>
      <c r="J82" s="71">
        <v>1675.5668055254275</v>
      </c>
      <c r="K82" s="71">
        <v>626.07992774565218</v>
      </c>
      <c r="L82" s="71">
        <v>31.495992000000001</v>
      </c>
      <c r="M82" s="72">
        <f>SUM(F82:L82)</f>
        <v>3020.3994226900004</v>
      </c>
      <c r="N82" s="37"/>
      <c r="O82" s="37"/>
      <c r="P82" s="37"/>
      <c r="Q82" s="37"/>
      <c r="R82" s="37"/>
      <c r="S82" s="37"/>
      <c r="T82" s="37"/>
    </row>
    <row r="83" spans="2:20" x14ac:dyDescent="0.35">
      <c r="C83" s="648"/>
      <c r="D83" s="69" t="s">
        <v>131</v>
      </c>
      <c r="E83" s="89" t="s">
        <v>1140</v>
      </c>
      <c r="F83" s="71">
        <v>23.709624820000002</v>
      </c>
      <c r="G83" s="71">
        <v>83.834618019999994</v>
      </c>
      <c r="H83" s="71">
        <v>86.462822259999996</v>
      </c>
      <c r="I83" s="71">
        <v>89.316632900000002</v>
      </c>
      <c r="J83" s="71">
        <v>622.04700756000011</v>
      </c>
      <c r="K83" s="71">
        <v>0</v>
      </c>
      <c r="L83" s="71">
        <v>0</v>
      </c>
      <c r="M83" s="72">
        <f>SUM(F83:L83)</f>
        <v>905.37070556000003</v>
      </c>
    </row>
    <row r="84" spans="2:20" x14ac:dyDescent="0.35">
      <c r="C84" s="648"/>
      <c r="D84" s="69" t="s">
        <v>112</v>
      </c>
      <c r="E84" s="89" t="s">
        <v>1141</v>
      </c>
      <c r="F84" s="71">
        <v>5.4164359299999996</v>
      </c>
      <c r="G84" s="71">
        <v>8.9959426100000002</v>
      </c>
      <c r="H84" s="71">
        <v>9.4504839599999997</v>
      </c>
      <c r="I84" s="71">
        <v>9.9460862999999993</v>
      </c>
      <c r="J84" s="71">
        <v>83.455095770000014</v>
      </c>
      <c r="K84" s="71">
        <v>0</v>
      </c>
      <c r="L84" s="71">
        <v>0</v>
      </c>
      <c r="M84" s="72">
        <f>SUM(F84:L84)</f>
        <v>117.26404457000001</v>
      </c>
    </row>
    <row r="85" spans="2:20" x14ac:dyDescent="0.35">
      <c r="C85" s="648"/>
      <c r="D85" s="69" t="s">
        <v>113</v>
      </c>
      <c r="E85" s="90" t="s">
        <v>243</v>
      </c>
      <c r="F85" s="71">
        <v>-2.8736636924999668</v>
      </c>
      <c r="G85" s="71">
        <v>-9.9321271051404789</v>
      </c>
      <c r="H85" s="71">
        <v>-5.5136030705617953</v>
      </c>
      <c r="I85" s="71">
        <v>-5.5136030705617953</v>
      </c>
      <c r="J85" s="71">
        <v>-33.918906094494382</v>
      </c>
      <c r="K85" s="71">
        <v>-7.7913941856179756</v>
      </c>
      <c r="L85" s="71">
        <v>-0.92544246112359541</v>
      </c>
      <c r="M85" s="72">
        <f>SUM(F85:L85)</f>
        <v>-66.468739679999985</v>
      </c>
    </row>
    <row r="86" spans="2:20" ht="15" customHeight="1" x14ac:dyDescent="0.35">
      <c r="C86" s="92"/>
      <c r="D86" s="610" t="s">
        <v>132</v>
      </c>
      <c r="E86" s="613"/>
      <c r="F86" s="612">
        <f t="shared" ref="F86:L86" si="12">SUM(F81:F85)</f>
        <v>364.44182626921048</v>
      </c>
      <c r="G86" s="612">
        <f t="shared" si="12"/>
        <v>1751.5157047446435</v>
      </c>
      <c r="H86" s="612">
        <f t="shared" si="12"/>
        <v>304.31533501900645</v>
      </c>
      <c r="I86" s="612">
        <f t="shared" si="12"/>
        <v>322.74394070900649</v>
      </c>
      <c r="J86" s="612">
        <f t="shared" si="12"/>
        <v>2347.1500027609331</v>
      </c>
      <c r="K86" s="612">
        <f t="shared" si="12"/>
        <v>618.28853356003424</v>
      </c>
      <c r="L86" s="612">
        <f t="shared" si="12"/>
        <v>30.570549538876406</v>
      </c>
      <c r="M86" s="612">
        <f>SUM(M81:M85)</f>
        <v>5739.0258926017104</v>
      </c>
    </row>
    <row r="87" spans="2:20" x14ac:dyDescent="0.35">
      <c r="C87" s="92"/>
      <c r="D87" s="101"/>
      <c r="E87" s="101"/>
      <c r="F87" s="101"/>
      <c r="G87" s="101"/>
      <c r="H87" s="101"/>
      <c r="I87" s="101"/>
      <c r="J87" s="101"/>
      <c r="K87" s="101"/>
      <c r="L87" s="79"/>
    </row>
    <row r="88" spans="2:20" ht="15" thickBot="1" x14ac:dyDescent="0.4">
      <c r="C88" s="92"/>
      <c r="D88" s="101"/>
      <c r="E88" s="101"/>
      <c r="F88" s="101"/>
      <c r="G88" s="101"/>
      <c r="H88" s="101"/>
      <c r="I88" s="101"/>
      <c r="J88" s="101"/>
      <c r="K88" s="101"/>
      <c r="L88" s="79"/>
    </row>
    <row r="89" spans="2:20" ht="15" thickBot="1" x14ac:dyDescent="0.4">
      <c r="C89" s="648" t="s">
        <v>133</v>
      </c>
      <c r="D89" s="65" t="s">
        <v>107</v>
      </c>
      <c r="E89" s="66"/>
      <c r="F89" s="67"/>
      <c r="G89" s="67"/>
      <c r="H89" s="67"/>
      <c r="I89" s="67"/>
      <c r="J89" s="67"/>
      <c r="K89" s="67"/>
      <c r="L89" s="67"/>
      <c r="M89" s="68"/>
    </row>
    <row r="90" spans="2:20" x14ac:dyDescent="0.35">
      <c r="C90" s="648"/>
      <c r="D90" s="69" t="s">
        <v>109</v>
      </c>
      <c r="E90" s="100" t="s">
        <v>1142</v>
      </c>
      <c r="F90" s="71">
        <v>627.31008557000007</v>
      </c>
      <c r="G90" s="71">
        <v>195.4315031701563</v>
      </c>
      <c r="H90" s="71">
        <v>0</v>
      </c>
      <c r="I90" s="71">
        <v>7000</v>
      </c>
      <c r="J90" s="71">
        <v>0</v>
      </c>
      <c r="K90" s="71">
        <v>0</v>
      </c>
      <c r="L90" s="71">
        <v>0</v>
      </c>
      <c r="M90" s="72">
        <f>SUM(F90:L90)</f>
        <v>7822.7415887401567</v>
      </c>
    </row>
    <row r="91" spans="2:20" x14ac:dyDescent="0.35">
      <c r="C91" s="648"/>
      <c r="D91" s="69" t="s">
        <v>124</v>
      </c>
      <c r="E91" s="102">
        <v>7.0999999999999994E-2</v>
      </c>
      <c r="F91" s="71">
        <v>28.374106870000002</v>
      </c>
      <c r="G91" s="71">
        <v>0</v>
      </c>
      <c r="H91" s="71">
        <v>0</v>
      </c>
      <c r="I91" s="71">
        <v>0</v>
      </c>
      <c r="J91" s="71">
        <v>1007.86258193</v>
      </c>
      <c r="K91" s="71">
        <v>0</v>
      </c>
      <c r="L91" s="71">
        <v>0</v>
      </c>
      <c r="M91" s="72">
        <f>SUM(F91:L91)</f>
        <v>1036.2366888000001</v>
      </c>
    </row>
    <row r="92" spans="2:20" x14ac:dyDescent="0.35">
      <c r="C92" s="648"/>
      <c r="D92" s="69" t="s">
        <v>112</v>
      </c>
      <c r="E92" s="89" t="s">
        <v>1143</v>
      </c>
      <c r="F92" s="71">
        <v>3.6632969799999997</v>
      </c>
      <c r="G92" s="71">
        <v>14.529652239999997</v>
      </c>
      <c r="H92" s="71">
        <v>15.517668600000002</v>
      </c>
      <c r="I92" s="71">
        <v>16.57287006</v>
      </c>
      <c r="J92" s="71">
        <v>14.668404080000002</v>
      </c>
      <c r="K92" s="71">
        <v>0</v>
      </c>
      <c r="L92" s="71">
        <v>0</v>
      </c>
      <c r="M92" s="72">
        <f>SUM(F92:L92)</f>
        <v>64.951891959999998</v>
      </c>
    </row>
    <row r="93" spans="2:20" x14ac:dyDescent="0.35">
      <c r="C93" s="648"/>
      <c r="D93" s="69" t="s">
        <v>113</v>
      </c>
      <c r="E93" s="90" t="s">
        <v>1131</v>
      </c>
      <c r="F93" s="71">
        <v>-11.260458752163384</v>
      </c>
      <c r="G93" s="71">
        <v>-45.152349148653535</v>
      </c>
      <c r="H93" s="71">
        <v>-45.338152768653536</v>
      </c>
      <c r="I93" s="71">
        <v>-13.984296606529975</v>
      </c>
      <c r="J93" s="71">
        <v>-22.506322037789477</v>
      </c>
      <c r="K93" s="71">
        <v>0</v>
      </c>
      <c r="L93" s="71">
        <v>0</v>
      </c>
      <c r="M93" s="72">
        <f>SUM(F93:L93)</f>
        <v>-138.24157931378991</v>
      </c>
    </row>
    <row r="94" spans="2:20" ht="15" customHeight="1" x14ac:dyDescent="0.35">
      <c r="C94" s="92"/>
      <c r="D94" s="610" t="s">
        <v>134</v>
      </c>
      <c r="E94" s="613"/>
      <c r="F94" s="612">
        <f t="shared" ref="F94:L94" si="13">SUM(F90:F93)</f>
        <v>648.08703066783676</v>
      </c>
      <c r="G94" s="612">
        <f t="shared" si="13"/>
        <v>164.80880626150275</v>
      </c>
      <c r="H94" s="612">
        <f t="shared" si="13"/>
        <v>-29.820484168653536</v>
      </c>
      <c r="I94" s="612">
        <f t="shared" si="13"/>
        <v>7002.5885734534704</v>
      </c>
      <c r="J94" s="612">
        <f t="shared" si="13"/>
        <v>1000.0246639722105</v>
      </c>
      <c r="K94" s="612">
        <f t="shared" si="13"/>
        <v>0</v>
      </c>
      <c r="L94" s="612">
        <f t="shared" si="13"/>
        <v>0</v>
      </c>
      <c r="M94" s="612">
        <f>SUM(M90:M93)</f>
        <v>8785.6885901863661</v>
      </c>
    </row>
    <row r="95" spans="2:20" ht="15" customHeight="1" x14ac:dyDescent="0.35">
      <c r="C95" s="92"/>
      <c r="D95" s="101"/>
      <c r="E95" s="101"/>
      <c r="F95" s="101"/>
      <c r="G95" s="101"/>
      <c r="H95" s="101"/>
      <c r="I95" s="101"/>
      <c r="J95" s="101"/>
      <c r="K95" s="101"/>
      <c r="L95" s="79"/>
    </row>
    <row r="96" spans="2:20" ht="15" customHeight="1" thickBot="1" x14ac:dyDescent="0.4">
      <c r="C96" s="92"/>
      <c r="D96" s="101"/>
      <c r="E96" s="101"/>
      <c r="F96" s="101"/>
      <c r="G96" s="101"/>
      <c r="H96" s="101"/>
      <c r="I96" s="101"/>
      <c r="J96" s="101"/>
      <c r="K96" s="101"/>
      <c r="L96" s="79"/>
    </row>
    <row r="97" spans="3:13" ht="15" thickBot="1" x14ac:dyDescent="0.4">
      <c r="C97" s="649" t="s">
        <v>135</v>
      </c>
      <c r="D97" s="65" t="s">
        <v>107</v>
      </c>
      <c r="E97" s="66"/>
      <c r="F97" s="67"/>
      <c r="G97" s="67"/>
      <c r="H97" s="67"/>
      <c r="I97" s="67"/>
      <c r="J97" s="67"/>
      <c r="K97" s="67"/>
      <c r="L97" s="67"/>
      <c r="M97" s="68"/>
    </row>
    <row r="98" spans="3:13" x14ac:dyDescent="0.35">
      <c r="C98" s="649"/>
      <c r="D98" s="69" t="s">
        <v>109</v>
      </c>
      <c r="E98" s="82" t="s">
        <v>1144</v>
      </c>
      <c r="F98" s="71">
        <v>117.41873510000013</v>
      </c>
      <c r="G98" s="71">
        <v>475.64425171000011</v>
      </c>
      <c r="H98" s="71">
        <v>2850</v>
      </c>
      <c r="I98" s="71">
        <v>850</v>
      </c>
      <c r="J98" s="71">
        <v>300</v>
      </c>
      <c r="K98" s="71">
        <v>0</v>
      </c>
      <c r="L98" s="71">
        <v>0</v>
      </c>
      <c r="M98" s="72">
        <f>SUM(F98:L98)</f>
        <v>4593.0629868100004</v>
      </c>
    </row>
    <row r="99" spans="3:13" x14ac:dyDescent="0.35">
      <c r="C99" s="649"/>
      <c r="D99" s="69" t="s">
        <v>113</v>
      </c>
      <c r="E99" s="95" t="s">
        <v>243</v>
      </c>
      <c r="F99" s="71">
        <v>-1.0542927499999999</v>
      </c>
      <c r="G99" s="71">
        <v>-4.1411829700000009</v>
      </c>
      <c r="H99" s="71">
        <v>-3.9196863600000014</v>
      </c>
      <c r="I99" s="71">
        <v>-3.9196863600000014</v>
      </c>
      <c r="J99" s="71">
        <v>-7.8393729300000023</v>
      </c>
      <c r="K99" s="71">
        <v>0</v>
      </c>
      <c r="L99" s="71">
        <v>0</v>
      </c>
      <c r="M99" s="72">
        <f>SUM(F99:L99)</f>
        <v>-20.874221370000008</v>
      </c>
    </row>
    <row r="100" spans="3:13" x14ac:dyDescent="0.35">
      <c r="C100" s="650"/>
      <c r="D100" s="610" t="s">
        <v>123</v>
      </c>
      <c r="E100" s="613"/>
      <c r="F100" s="612">
        <f t="shared" ref="F100:L100" si="14">SUM(F98:F99)</f>
        <v>116.36444235000013</v>
      </c>
      <c r="G100" s="612">
        <f t="shared" si="14"/>
        <v>471.50306874000012</v>
      </c>
      <c r="H100" s="612">
        <f t="shared" si="14"/>
        <v>2846.08031364</v>
      </c>
      <c r="I100" s="612">
        <f t="shared" si="14"/>
        <v>846.08031363999999</v>
      </c>
      <c r="J100" s="612">
        <f t="shared" si="14"/>
        <v>292.16062706999998</v>
      </c>
      <c r="K100" s="612">
        <f t="shared" si="14"/>
        <v>0</v>
      </c>
      <c r="L100" s="612">
        <f t="shared" si="14"/>
        <v>0</v>
      </c>
      <c r="M100" s="612">
        <f>SUM(M98:M99)</f>
        <v>4572.1887654400007</v>
      </c>
    </row>
    <row r="101" spans="3:13" x14ac:dyDescent="0.35">
      <c r="C101" s="650"/>
    </row>
    <row r="102" spans="3:13" x14ac:dyDescent="0.35">
      <c r="C102" s="650"/>
      <c r="D102" s="610" t="s">
        <v>136</v>
      </c>
      <c r="E102" s="611"/>
      <c r="F102" s="612">
        <f>F14+F21+F28+F36+F42+F47+F54+F60+F67+F72+F77+F100+F86+F94</f>
        <v>2315.6812198152024</v>
      </c>
      <c r="G102" s="612">
        <f>G14+G21+G28+G36+G42+G47+G54+G60+G67+G72+G77+G100+G86+G94</f>
        <v>6817.2513387670178</v>
      </c>
      <c r="H102" s="612">
        <f>H14+H21+H28+H36+H42+H47+H54+H60+H67+H72+H77+H100+H86+H94</f>
        <v>6291.8916812147691</v>
      </c>
      <c r="I102" s="612">
        <f>I14+I21+I28+I36+I42+I47+I54+I60+I67+I72+I77+I100+I86+I94</f>
        <v>11760.731767741439</v>
      </c>
      <c r="J102" s="612">
        <f>J14+J21+J28+J36+J42+J47+J54+J60+J67+J72+J77+J100+J86+J94</f>
        <v>13778.385413906639</v>
      </c>
      <c r="K102" s="612">
        <f>K14+K21+K28+K36+K42+K47+K54+K60+K67+K72+K77+K100+K86</f>
        <v>4351.9674507559484</v>
      </c>
      <c r="L102" s="612">
        <f>L14+L21+L28+L36+L42+L47+L54+L60+L67+L72+L77+L100+L86+L94</f>
        <v>327.03808249782514</v>
      </c>
      <c r="M102" s="612">
        <f>M14+M21+M28+M36+M42+M47+M54+M60+M67+M72+M77+M100+M86+M94</f>
        <v>45642.94695469884</v>
      </c>
    </row>
    <row r="103" spans="3:13" x14ac:dyDescent="0.35">
      <c r="D103" s="101"/>
      <c r="E103" s="101"/>
      <c r="F103" s="103"/>
      <c r="G103" s="104"/>
      <c r="H103" s="104"/>
      <c r="I103" s="104"/>
      <c r="J103" s="104"/>
      <c r="K103" s="104"/>
      <c r="L103" s="104"/>
      <c r="M103" s="104"/>
    </row>
    <row r="104" spans="3:13" x14ac:dyDescent="0.35">
      <c r="D104" s="105"/>
      <c r="E104" s="105"/>
      <c r="F104" s="106"/>
      <c r="G104" s="107"/>
      <c r="H104" s="107"/>
      <c r="I104" s="107"/>
      <c r="J104" s="107"/>
      <c r="K104" s="107"/>
      <c r="L104" s="107"/>
      <c r="M104" s="107"/>
    </row>
    <row r="105" spans="3:13" x14ac:dyDescent="0.35">
      <c r="C105" s="84"/>
      <c r="D105" s="108"/>
      <c r="I105" s="109"/>
      <c r="J105" s="110"/>
      <c r="K105" s="111"/>
      <c r="L105" s="111"/>
      <c r="M105" s="112"/>
    </row>
    <row r="106" spans="3:13" x14ac:dyDescent="0.35">
      <c r="C106" s="113"/>
      <c r="D106" s="108"/>
      <c r="I106" s="109"/>
      <c r="J106" s="110"/>
      <c r="K106" s="111"/>
      <c r="L106" s="111"/>
      <c r="M106" s="112"/>
    </row>
    <row r="108" spans="3:13" x14ac:dyDescent="0.35">
      <c r="D108" s="105"/>
      <c r="E108" s="105"/>
      <c r="F108" s="105"/>
    </row>
  </sheetData>
  <mergeCells count="16">
    <mergeCell ref="C44:C47"/>
    <mergeCell ref="C8:C13"/>
    <mergeCell ref="C16:C20"/>
    <mergeCell ref="C23:C27"/>
    <mergeCell ref="C30:C35"/>
    <mergeCell ref="C38:C41"/>
    <mergeCell ref="C80:C85"/>
    <mergeCell ref="C89:C93"/>
    <mergeCell ref="C97:C99"/>
    <mergeCell ref="C100:C102"/>
    <mergeCell ref="C50:C53"/>
    <mergeCell ref="C56:C59"/>
    <mergeCell ref="C62:C66"/>
    <mergeCell ref="C69:C71"/>
    <mergeCell ref="C74:C76"/>
    <mergeCell ref="C77:C79"/>
  </mergeCells>
  <conditionalFormatting sqref="M105:M106">
    <cfRule type="cellIs" dxfId="1" priority="1" stopIfTrue="1" operator="equal">
      <formula>"não"</formula>
    </cfRule>
    <cfRule type="cellIs" dxfId="0" priority="2" stopIfTrue="1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7E717-6368-4CCD-8815-24BE16D1805B}">
  <sheetPr>
    <tabColor theme="9" tint="0.79998168889431442"/>
  </sheetPr>
  <dimension ref="D3:T23"/>
  <sheetViews>
    <sheetView showGridLines="0" zoomScale="85" zoomScaleNormal="85" workbookViewId="0"/>
  </sheetViews>
  <sheetFormatPr defaultColWidth="9.1796875" defaultRowHeight="14.5" x14ac:dyDescent="0.35"/>
  <cols>
    <col min="1" max="2" width="9.1796875" style="37"/>
    <col min="3" max="3" width="2.54296875" style="37" customWidth="1"/>
    <col min="4" max="4" width="25.90625" style="37" bestFit="1" customWidth="1"/>
    <col min="5" max="11" width="9.1796875" style="37"/>
    <col min="12" max="12" width="10.81640625" style="37" bestFit="1" customWidth="1"/>
    <col min="13" max="19" width="9.1796875" style="37"/>
    <col min="20" max="20" width="10" style="37" bestFit="1" customWidth="1"/>
    <col min="21" max="16384" width="9.1796875" style="37"/>
  </cols>
  <sheetData>
    <row r="3" spans="4:20" x14ac:dyDescent="0.35">
      <c r="L3" s="114"/>
    </row>
    <row r="4" spans="4:20" x14ac:dyDescent="0.35">
      <c r="L4" s="114"/>
    </row>
    <row r="5" spans="4:20" x14ac:dyDescent="0.35">
      <c r="L5" s="114"/>
    </row>
    <row r="6" spans="4:20" x14ac:dyDescent="0.35">
      <c r="D6" s="654"/>
      <c r="E6" s="654" t="s">
        <v>1</v>
      </c>
      <c r="F6" s="654" t="s">
        <v>2</v>
      </c>
      <c r="G6" s="652" t="s">
        <v>3</v>
      </c>
      <c r="H6" s="652" t="s">
        <v>4</v>
      </c>
      <c r="I6" s="652" t="s">
        <v>137</v>
      </c>
      <c r="J6" s="652" t="s">
        <v>138</v>
      </c>
      <c r="K6" s="652" t="s">
        <v>92</v>
      </c>
      <c r="L6" s="652" t="s">
        <v>96</v>
      </c>
      <c r="M6" s="652" t="s">
        <v>139</v>
      </c>
      <c r="N6" s="652" t="s">
        <v>5</v>
      </c>
      <c r="O6" s="656" t="s">
        <v>6</v>
      </c>
      <c r="P6" s="652" t="s">
        <v>101</v>
      </c>
      <c r="Q6" s="652" t="s">
        <v>140</v>
      </c>
      <c r="R6" s="618" t="s">
        <v>141</v>
      </c>
      <c r="S6" s="618" t="s">
        <v>142</v>
      </c>
      <c r="T6" s="654" t="s">
        <v>143</v>
      </c>
    </row>
    <row r="7" spans="4:20" x14ac:dyDescent="0.35">
      <c r="D7" s="655"/>
      <c r="E7" s="655"/>
      <c r="F7" s="655"/>
      <c r="G7" s="653"/>
      <c r="H7" s="653"/>
      <c r="I7" s="653"/>
      <c r="J7" s="653"/>
      <c r="K7" s="653"/>
      <c r="L7" s="653"/>
      <c r="M7" s="653"/>
      <c r="N7" s="653"/>
      <c r="O7" s="657"/>
      <c r="P7" s="653"/>
      <c r="Q7" s="653"/>
      <c r="R7" s="619" t="s">
        <v>144</v>
      </c>
      <c r="S7" s="619"/>
      <c r="T7" s="655"/>
    </row>
    <row r="8" spans="4:20" x14ac:dyDescent="0.35">
      <c r="D8" s="620" t="s">
        <v>145</v>
      </c>
      <c r="E8" s="621">
        <v>2669063</v>
      </c>
      <c r="F8" s="621">
        <v>5514336</v>
      </c>
      <c r="G8" s="621">
        <v>3107139</v>
      </c>
      <c r="H8" s="621">
        <v>1627088</v>
      </c>
      <c r="I8" s="621">
        <v>4572188</v>
      </c>
      <c r="J8" s="621">
        <v>5865262</v>
      </c>
      <c r="K8" s="621">
        <v>536470</v>
      </c>
      <c r="L8" s="621">
        <v>5739025</v>
      </c>
      <c r="M8" s="621">
        <v>139426</v>
      </c>
      <c r="N8" s="621">
        <v>4076470</v>
      </c>
      <c r="O8" s="621">
        <v>1598823</v>
      </c>
      <c r="P8" s="621">
        <v>1411665</v>
      </c>
      <c r="Q8" s="621">
        <v>8785689</v>
      </c>
      <c r="R8" s="621">
        <v>0</v>
      </c>
      <c r="S8" s="621">
        <v>0</v>
      </c>
      <c r="T8" s="621">
        <f>SUM(E8:S8)</f>
        <v>45642644</v>
      </c>
    </row>
    <row r="9" spans="4:20" x14ac:dyDescent="0.35">
      <c r="D9" s="115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5"/>
    </row>
    <row r="10" spans="4:20" x14ac:dyDescent="0.35">
      <c r="D10" s="117" t="s">
        <v>146</v>
      </c>
      <c r="E10" s="118">
        <v>868172</v>
      </c>
      <c r="F10" s="118">
        <v>1633607</v>
      </c>
      <c r="G10" s="118">
        <v>341813</v>
      </c>
      <c r="H10" s="118">
        <v>189870</v>
      </c>
      <c r="I10" s="118">
        <v>1752983</v>
      </c>
      <c r="J10" s="118">
        <v>1178250</v>
      </c>
      <c r="K10" s="118">
        <v>235634</v>
      </c>
      <c r="L10" s="118">
        <v>1574319</v>
      </c>
      <c r="M10" s="118">
        <v>73362</v>
      </c>
      <c r="N10" s="118">
        <v>1296898</v>
      </c>
      <c r="O10" s="118">
        <v>153407</v>
      </c>
      <c r="P10" s="118">
        <v>137379</v>
      </c>
      <c r="Q10" s="118">
        <v>489114</v>
      </c>
      <c r="R10" s="118">
        <v>6536</v>
      </c>
      <c r="S10" s="118">
        <v>8023</v>
      </c>
      <c r="T10" s="119">
        <f t="shared" ref="T10:T17" si="0">SUM(E10:S10)</f>
        <v>9939367</v>
      </c>
    </row>
    <row r="11" spans="4:20" x14ac:dyDescent="0.35">
      <c r="D11" s="120" t="s">
        <v>147</v>
      </c>
      <c r="E11" s="118">
        <v>-371766</v>
      </c>
      <c r="F11" s="118">
        <v>64801</v>
      </c>
      <c r="G11" s="118">
        <v>-47536</v>
      </c>
      <c r="H11" s="118">
        <v>121524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-438181</v>
      </c>
      <c r="O11" s="118">
        <v>787</v>
      </c>
      <c r="P11" s="118">
        <v>0</v>
      </c>
      <c r="Q11" s="118">
        <v>-507496</v>
      </c>
      <c r="R11" s="118">
        <v>0</v>
      </c>
      <c r="S11" s="118">
        <v>0</v>
      </c>
      <c r="T11" s="121">
        <f t="shared" si="0"/>
        <v>-1177867</v>
      </c>
    </row>
    <row r="12" spans="4:20" x14ac:dyDescent="0.35">
      <c r="D12" s="120" t="s">
        <v>148</v>
      </c>
      <c r="E12" s="118">
        <v>0</v>
      </c>
      <c r="F12" s="118">
        <v>20444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21">
        <f t="shared" si="0"/>
        <v>20444</v>
      </c>
    </row>
    <row r="13" spans="4:20" x14ac:dyDescent="0.35">
      <c r="D13" s="120" t="s">
        <v>149</v>
      </c>
      <c r="E13" s="118">
        <v>0</v>
      </c>
      <c r="F13" s="118">
        <v>0</v>
      </c>
      <c r="G13" s="118">
        <v>54993</v>
      </c>
      <c r="H13" s="118">
        <v>5354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21">
        <f t="shared" si="0"/>
        <v>60347</v>
      </c>
    </row>
    <row r="14" spans="4:20" x14ac:dyDescent="0.35">
      <c r="D14" s="120" t="s">
        <v>150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122910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21">
        <f t="shared" si="0"/>
        <v>122910</v>
      </c>
    </row>
    <row r="15" spans="4:20" x14ac:dyDescent="0.35">
      <c r="D15" s="62" t="s">
        <v>151</v>
      </c>
      <c r="E15" s="118">
        <v>57310</v>
      </c>
      <c r="F15" s="118">
        <v>75076</v>
      </c>
      <c r="G15" s="118">
        <v>30772</v>
      </c>
      <c r="H15" s="118">
        <v>27453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9195</v>
      </c>
      <c r="O15" s="118">
        <v>6789</v>
      </c>
      <c r="P15" s="118">
        <v>0</v>
      </c>
      <c r="Q15" s="118">
        <v>20705</v>
      </c>
      <c r="R15" s="118">
        <v>0</v>
      </c>
      <c r="S15" s="118">
        <v>0</v>
      </c>
      <c r="T15" s="121">
        <f t="shared" si="0"/>
        <v>227300</v>
      </c>
    </row>
    <row r="16" spans="4:20" x14ac:dyDescent="0.35">
      <c r="D16" s="120" t="s">
        <v>152</v>
      </c>
      <c r="E16" s="118">
        <v>0</v>
      </c>
      <c r="F16" s="118">
        <v>8145.3119999999999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21">
        <f t="shared" si="0"/>
        <v>8145.3119999999999</v>
      </c>
    </row>
    <row r="17" spans="4:20" x14ac:dyDescent="0.35">
      <c r="D17" s="122" t="s">
        <v>153</v>
      </c>
      <c r="E17" s="118">
        <v>-45278</v>
      </c>
      <c r="F17" s="118">
        <v>-137750</v>
      </c>
      <c r="G17" s="118">
        <v>-118390</v>
      </c>
      <c r="H17" s="118">
        <v>-21233</v>
      </c>
      <c r="I17" s="118">
        <v>182780</v>
      </c>
      <c r="J17" s="118">
        <v>4533</v>
      </c>
      <c r="K17" s="118">
        <v>0</v>
      </c>
      <c r="L17" s="118">
        <v>12708</v>
      </c>
      <c r="M17" s="118">
        <v>-7302</v>
      </c>
      <c r="N17" s="118">
        <v>-18105</v>
      </c>
      <c r="O17" s="118">
        <v>-103707</v>
      </c>
      <c r="P17" s="118">
        <v>0</v>
      </c>
      <c r="Q17" s="118">
        <v>0</v>
      </c>
      <c r="R17" s="118">
        <v>0</v>
      </c>
      <c r="S17" s="118">
        <v>0</v>
      </c>
      <c r="T17" s="121">
        <f t="shared" si="0"/>
        <v>-251744</v>
      </c>
    </row>
    <row r="18" spans="4:20" x14ac:dyDescent="0.35">
      <c r="D18" s="622" t="s">
        <v>154</v>
      </c>
      <c r="E18" s="621">
        <f t="shared" ref="E18:S18" si="1">E8-SUM(E10:E17)</f>
        <v>2160625</v>
      </c>
      <c r="F18" s="621">
        <f t="shared" si="1"/>
        <v>3850012.6880000001</v>
      </c>
      <c r="G18" s="621">
        <f t="shared" si="1"/>
        <v>2845487</v>
      </c>
      <c r="H18" s="621">
        <f t="shared" si="1"/>
        <v>1304120</v>
      </c>
      <c r="I18" s="621">
        <f t="shared" si="1"/>
        <v>2636425</v>
      </c>
      <c r="J18" s="621">
        <f>J8-SUM(J10:J17)</f>
        <v>4559569</v>
      </c>
      <c r="K18" s="621">
        <f t="shared" si="1"/>
        <v>300836</v>
      </c>
      <c r="L18" s="621">
        <f t="shared" si="1"/>
        <v>4151998</v>
      </c>
      <c r="M18" s="621">
        <f t="shared" si="1"/>
        <v>73366</v>
      </c>
      <c r="N18" s="621">
        <f t="shared" si="1"/>
        <v>3226663</v>
      </c>
      <c r="O18" s="621">
        <f>O8-SUM(O10:O17)</f>
        <v>1541547</v>
      </c>
      <c r="P18" s="621">
        <f t="shared" si="1"/>
        <v>1274286</v>
      </c>
      <c r="Q18" s="621">
        <f t="shared" si="1"/>
        <v>8783366</v>
      </c>
      <c r="R18" s="621">
        <f t="shared" si="1"/>
        <v>-6536</v>
      </c>
      <c r="S18" s="621">
        <f t="shared" si="1"/>
        <v>-8023</v>
      </c>
      <c r="T18" s="621">
        <f>SUM(E18:S18)</f>
        <v>36693741.688000001</v>
      </c>
    </row>
    <row r="19" spans="4:20" x14ac:dyDescent="0.35">
      <c r="D19" s="123" t="s">
        <v>155</v>
      </c>
      <c r="E19" s="123">
        <f>65.1%*79.2%</f>
        <v>0.51559199999999994</v>
      </c>
      <c r="F19" s="123">
        <f>96.5%*79.12%</f>
        <v>0.76350799999999996</v>
      </c>
      <c r="G19" s="123">
        <f>94.9%*79.12%</f>
        <v>0.75084880000000009</v>
      </c>
      <c r="H19" s="123">
        <v>0.96399999999999997</v>
      </c>
      <c r="I19" s="123">
        <v>1</v>
      </c>
      <c r="J19" s="123">
        <v>1</v>
      </c>
      <c r="K19" s="123">
        <v>1</v>
      </c>
      <c r="L19" s="123">
        <v>1</v>
      </c>
      <c r="M19" s="123">
        <v>1</v>
      </c>
      <c r="N19" s="123">
        <f>95.1%*100%</f>
        <v>0.95099999999999996</v>
      </c>
      <c r="O19" s="123">
        <f>99.9%*100%</f>
        <v>0.99900000000000011</v>
      </c>
      <c r="P19" s="123">
        <v>0.8</v>
      </c>
      <c r="Q19" s="123">
        <f>99.9%*100%</f>
        <v>0.99900000000000011</v>
      </c>
      <c r="R19" s="123">
        <v>0.79200000000000004</v>
      </c>
      <c r="S19" s="123">
        <v>1</v>
      </c>
      <c r="T19" s="123">
        <v>1</v>
      </c>
    </row>
    <row r="20" spans="4:20" x14ac:dyDescent="0.35">
      <c r="D20" s="622" t="s">
        <v>156</v>
      </c>
      <c r="E20" s="621">
        <f>E18*E19</f>
        <v>1114000.9649999999</v>
      </c>
      <c r="F20" s="621">
        <f t="shared" ref="F20:S20" si="2">F18*F19</f>
        <v>2939515.487389504</v>
      </c>
      <c r="G20" s="621">
        <f t="shared" si="2"/>
        <v>2136530.4993656003</v>
      </c>
      <c r="H20" s="621">
        <f t="shared" si="2"/>
        <v>1257171.68</v>
      </c>
      <c r="I20" s="621">
        <f t="shared" si="2"/>
        <v>2636425</v>
      </c>
      <c r="J20" s="621">
        <f t="shared" si="2"/>
        <v>4559569</v>
      </c>
      <c r="K20" s="621">
        <f t="shared" si="2"/>
        <v>300836</v>
      </c>
      <c r="L20" s="621">
        <f t="shared" si="2"/>
        <v>4151998</v>
      </c>
      <c r="M20" s="621">
        <f t="shared" si="2"/>
        <v>73366</v>
      </c>
      <c r="N20" s="621">
        <f t="shared" si="2"/>
        <v>3068556.5129999998</v>
      </c>
      <c r="O20" s="621">
        <f>O18*O19</f>
        <v>1540005.4530000002</v>
      </c>
      <c r="P20" s="621">
        <f t="shared" si="2"/>
        <v>1019428.8</v>
      </c>
      <c r="Q20" s="621">
        <f t="shared" si="2"/>
        <v>8774582.6340000015</v>
      </c>
      <c r="R20" s="621">
        <f t="shared" si="2"/>
        <v>-5176.5120000000006</v>
      </c>
      <c r="S20" s="621">
        <f t="shared" si="2"/>
        <v>-8023</v>
      </c>
      <c r="T20" s="621">
        <f>SUM(E20:S20)</f>
        <v>33558786.51975511</v>
      </c>
    </row>
    <row r="21" spans="4:20" x14ac:dyDescent="0.35">
      <c r="D21" s="62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4:20" x14ac:dyDescent="0.35">
      <c r="D22" s="62"/>
      <c r="E22" s="62"/>
      <c r="F22" s="124"/>
      <c r="G22" s="124"/>
      <c r="H22" s="124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125"/>
    </row>
    <row r="23" spans="4:20" x14ac:dyDescent="0.35">
      <c r="D23" s="622" t="s">
        <v>157</v>
      </c>
      <c r="E23" s="621">
        <v>521418.63806822477</v>
      </c>
      <c r="F23" s="621">
        <v>648371.44099472207</v>
      </c>
      <c r="G23" s="621">
        <v>359925.9359537203</v>
      </c>
      <c r="H23" s="621">
        <v>61571.336627204517</v>
      </c>
      <c r="I23" s="621">
        <v>140447.43330000021</v>
      </c>
      <c r="J23" s="621">
        <v>531344.67305084923</v>
      </c>
      <c r="K23" s="621">
        <v>299802.43928000005</v>
      </c>
      <c r="L23" s="621">
        <v>2031525.1697267108</v>
      </c>
      <c r="M23" s="621">
        <v>121529.56351479808</v>
      </c>
      <c r="N23" s="621">
        <v>1270577.6558069238</v>
      </c>
      <c r="O23" s="621">
        <v>22707.185056635706</v>
      </c>
      <c r="P23" s="621">
        <v>1276772.8821554834</v>
      </c>
      <c r="Q23" s="621">
        <v>820478.35655325965</v>
      </c>
      <c r="R23" s="621">
        <v>0</v>
      </c>
      <c r="S23" s="621">
        <v>0</v>
      </c>
      <c r="T23" s="621">
        <f>SUM(E23:S23)</f>
        <v>8106472.7100885333</v>
      </c>
    </row>
  </sheetData>
  <mergeCells count="15">
    <mergeCell ref="I6:I7"/>
    <mergeCell ref="D6:D7"/>
    <mergeCell ref="E6:E7"/>
    <mergeCell ref="F6:F7"/>
    <mergeCell ref="G6:G7"/>
    <mergeCell ref="H6:H7"/>
    <mergeCell ref="P6:P7"/>
    <mergeCell ref="Q6:Q7"/>
    <mergeCell ref="T6:T7"/>
    <mergeCell ref="J6:J7"/>
    <mergeCell ref="K6:K7"/>
    <mergeCell ref="L6:L7"/>
    <mergeCell ref="M6:M7"/>
    <mergeCell ref="N6:N7"/>
    <mergeCell ref="O6:O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885BE-2414-4E4E-95FE-8BEEBE58F0AB}">
  <sheetPr>
    <tabColor theme="9" tint="0.79998168889431442"/>
  </sheetPr>
  <dimension ref="C5:M302"/>
  <sheetViews>
    <sheetView showGridLines="0" zoomScale="85" zoomScaleNormal="85" workbookViewId="0"/>
  </sheetViews>
  <sheetFormatPr defaultColWidth="9.1796875" defaultRowHeight="14.5" x14ac:dyDescent="0.35"/>
  <cols>
    <col min="1" max="2" width="9.1796875" style="37"/>
    <col min="3" max="3" width="14.6328125" bestFit="1" customWidth="1"/>
    <col min="4" max="4" width="41.08984375" bestFit="1" customWidth="1"/>
    <col min="5" max="5" width="17.36328125" bestFit="1" customWidth="1"/>
    <col min="6" max="6" width="16.81640625" bestFit="1" customWidth="1"/>
    <col min="7" max="7" width="7.90625" customWidth="1"/>
    <col min="8" max="9" width="10.1796875" bestFit="1" customWidth="1"/>
    <col min="10" max="10" width="20.1796875" style="127" bestFit="1" customWidth="1"/>
    <col min="11" max="11" width="14.453125" style="127" customWidth="1"/>
    <col min="12" max="12" width="17.90625" style="127" customWidth="1"/>
    <col min="13" max="13" width="17.36328125" style="128" bestFit="1" customWidth="1"/>
    <col min="14" max="14" width="12" style="37" bestFit="1" customWidth="1"/>
    <col min="15" max="16384" width="9.1796875" style="37"/>
  </cols>
  <sheetData>
    <row r="5" spans="3:13" x14ac:dyDescent="0.35">
      <c r="J5" s="126" t="s">
        <v>158</v>
      </c>
      <c r="K5" s="126" t="s">
        <v>159</v>
      </c>
    </row>
    <row r="6" spans="3:13" x14ac:dyDescent="0.35">
      <c r="C6" s="129" t="s">
        <v>160</v>
      </c>
    </row>
    <row r="7" spans="3:13" ht="14.5" customHeight="1" x14ac:dyDescent="0.35">
      <c r="C7" s="658" t="s">
        <v>161</v>
      </c>
      <c r="D7" s="623" t="s">
        <v>162</v>
      </c>
      <c r="E7" s="658" t="s">
        <v>163</v>
      </c>
      <c r="F7" s="658" t="s">
        <v>102</v>
      </c>
      <c r="G7" s="658" t="s">
        <v>164</v>
      </c>
      <c r="H7" s="658" t="s">
        <v>165</v>
      </c>
      <c r="I7" s="658" t="s">
        <v>166</v>
      </c>
      <c r="J7" s="658" t="s">
        <v>167</v>
      </c>
      <c r="K7" s="658" t="s">
        <v>168</v>
      </c>
      <c r="L7" s="658" t="s">
        <v>169</v>
      </c>
      <c r="M7" s="660" t="s">
        <v>170</v>
      </c>
    </row>
    <row r="8" spans="3:13" x14ac:dyDescent="0.35">
      <c r="C8" s="659"/>
      <c r="D8" s="624"/>
      <c r="E8" s="659"/>
      <c r="F8" s="659"/>
      <c r="G8" s="659"/>
      <c r="H8" s="659"/>
      <c r="I8" s="659"/>
      <c r="J8" s="659"/>
      <c r="K8" s="659"/>
      <c r="L8" s="659"/>
      <c r="M8" s="660" t="s">
        <v>87</v>
      </c>
    </row>
    <row r="9" spans="3:13" x14ac:dyDescent="0.35">
      <c r="C9" s="130" t="s">
        <v>171</v>
      </c>
      <c r="D9" s="130" t="s">
        <v>172</v>
      </c>
      <c r="E9" s="130" t="s">
        <v>173</v>
      </c>
      <c r="F9" s="130" t="s">
        <v>174</v>
      </c>
      <c r="G9" s="130" t="s">
        <v>175</v>
      </c>
      <c r="H9" s="131">
        <v>41153</v>
      </c>
      <c r="I9" s="131">
        <v>46934</v>
      </c>
      <c r="J9" s="132">
        <v>0.01</v>
      </c>
      <c r="K9" s="133">
        <v>4.5033201641327549</v>
      </c>
      <c r="L9" s="134" t="s">
        <v>176</v>
      </c>
      <c r="M9" s="135">
        <v>8565197.3633925598</v>
      </c>
    </row>
    <row r="10" spans="3:13" x14ac:dyDescent="0.35">
      <c r="C10" s="130" t="s">
        <v>171</v>
      </c>
      <c r="D10" s="130" t="s">
        <v>172</v>
      </c>
      <c r="E10" s="130" t="s">
        <v>177</v>
      </c>
      <c r="F10" s="130" t="s">
        <v>111</v>
      </c>
      <c r="G10" s="130" t="s">
        <v>175</v>
      </c>
      <c r="H10" s="131">
        <v>41153</v>
      </c>
      <c r="I10" s="131">
        <v>49217</v>
      </c>
      <c r="J10" s="136">
        <v>0.01</v>
      </c>
      <c r="K10" s="133">
        <v>9.3139224658108812</v>
      </c>
      <c r="L10" s="134" t="s">
        <v>178</v>
      </c>
      <c r="M10" s="135">
        <v>3690444.5389714516</v>
      </c>
    </row>
    <row r="11" spans="3:13" x14ac:dyDescent="0.35">
      <c r="C11" s="130" t="s">
        <v>171</v>
      </c>
      <c r="D11" s="130" t="s">
        <v>172</v>
      </c>
      <c r="E11" s="130" t="s">
        <v>179</v>
      </c>
      <c r="F11" s="130" t="s">
        <v>111</v>
      </c>
      <c r="G11" s="130" t="s">
        <v>175</v>
      </c>
      <c r="H11" s="131">
        <v>41153</v>
      </c>
      <c r="I11" s="131">
        <v>49217</v>
      </c>
      <c r="J11" s="136">
        <v>0.01</v>
      </c>
      <c r="K11" s="133">
        <v>9.3141776314725782</v>
      </c>
      <c r="L11" s="134" t="s">
        <v>178</v>
      </c>
      <c r="M11" s="135">
        <v>67812099.871499598</v>
      </c>
    </row>
    <row r="12" spans="3:13" x14ac:dyDescent="0.35">
      <c r="C12" s="130" t="s">
        <v>171</v>
      </c>
      <c r="D12" s="130" t="s">
        <v>172</v>
      </c>
      <c r="E12" s="130" t="s">
        <v>180</v>
      </c>
      <c r="F12" s="130" t="s">
        <v>111</v>
      </c>
      <c r="G12" s="130" t="s">
        <v>175</v>
      </c>
      <c r="H12" s="131">
        <v>41153</v>
      </c>
      <c r="I12" s="131">
        <v>49217</v>
      </c>
      <c r="J12" s="136">
        <v>0.01</v>
      </c>
      <c r="K12" s="133">
        <v>9.3139227173235764</v>
      </c>
      <c r="L12" s="134" t="s">
        <v>178</v>
      </c>
      <c r="M12" s="135">
        <v>22157122.000011664</v>
      </c>
    </row>
    <row r="13" spans="3:13" x14ac:dyDescent="0.35">
      <c r="C13" s="130" t="s">
        <v>171</v>
      </c>
      <c r="D13" s="130" t="s">
        <v>172</v>
      </c>
      <c r="E13" s="130" t="s">
        <v>181</v>
      </c>
      <c r="F13" s="130" t="s">
        <v>111</v>
      </c>
      <c r="G13" s="130" t="s">
        <v>175</v>
      </c>
      <c r="H13" s="131">
        <v>41153</v>
      </c>
      <c r="I13" s="131">
        <v>49217</v>
      </c>
      <c r="J13" s="136">
        <v>0.01</v>
      </c>
      <c r="K13" s="133">
        <v>9.3139225868791176</v>
      </c>
      <c r="L13" s="134" t="s">
        <v>178</v>
      </c>
      <c r="M13" s="135">
        <v>89965264.547376767</v>
      </c>
    </row>
    <row r="14" spans="3:13" x14ac:dyDescent="0.35">
      <c r="C14" s="130" t="s">
        <v>171</v>
      </c>
      <c r="D14" s="130" t="s">
        <v>172</v>
      </c>
      <c r="E14" s="130" t="s">
        <v>180</v>
      </c>
      <c r="F14" s="130" t="s">
        <v>111</v>
      </c>
      <c r="G14" s="130" t="s">
        <v>175</v>
      </c>
      <c r="H14" s="131">
        <v>41153</v>
      </c>
      <c r="I14" s="131">
        <v>49217</v>
      </c>
      <c r="J14" s="136">
        <v>0.01</v>
      </c>
      <c r="K14" s="133">
        <v>9.31392254617157</v>
      </c>
      <c r="L14" s="134" t="s">
        <v>178</v>
      </c>
      <c r="M14" s="135">
        <v>86451920.028017715</v>
      </c>
    </row>
    <row r="15" spans="3:13" x14ac:dyDescent="0.35">
      <c r="C15" s="130" t="s">
        <v>171</v>
      </c>
      <c r="D15" s="130" t="s">
        <v>172</v>
      </c>
      <c r="E15" s="130" t="s">
        <v>181</v>
      </c>
      <c r="F15" s="130" t="s">
        <v>174</v>
      </c>
      <c r="G15" s="130" t="s">
        <v>175</v>
      </c>
      <c r="H15" s="131">
        <v>41153</v>
      </c>
      <c r="I15" s="131">
        <v>46265</v>
      </c>
      <c r="J15" s="132">
        <v>0.1</v>
      </c>
      <c r="K15" s="133">
        <v>1.8676419100437771</v>
      </c>
      <c r="L15" s="134" t="s">
        <v>182</v>
      </c>
      <c r="M15" s="135">
        <v>99490903.103308246</v>
      </c>
    </row>
    <row r="16" spans="3:13" x14ac:dyDescent="0.35">
      <c r="C16" s="130" t="s">
        <v>171</v>
      </c>
      <c r="D16" s="130" t="s">
        <v>183</v>
      </c>
      <c r="E16" s="130" t="s">
        <v>184</v>
      </c>
      <c r="F16" s="130" t="s">
        <v>185</v>
      </c>
      <c r="G16" s="130" t="s">
        <v>186</v>
      </c>
      <c r="H16" s="131">
        <v>44890</v>
      </c>
      <c r="I16" s="131">
        <v>45986</v>
      </c>
      <c r="J16" s="137">
        <v>1.35E-2</v>
      </c>
      <c r="K16" s="133">
        <v>2.1602147331256978</v>
      </c>
      <c r="L16" s="134" t="s">
        <v>176</v>
      </c>
      <c r="M16" s="135">
        <v>958818062.05999994</v>
      </c>
    </row>
    <row r="17" spans="3:13" x14ac:dyDescent="0.35">
      <c r="C17" s="130" t="s">
        <v>171</v>
      </c>
      <c r="D17" s="130" t="s">
        <v>183</v>
      </c>
      <c r="E17" s="130" t="s">
        <v>184</v>
      </c>
      <c r="F17" s="130" t="s">
        <v>185</v>
      </c>
      <c r="G17" s="130" t="s">
        <v>186</v>
      </c>
      <c r="H17" s="131">
        <v>44890</v>
      </c>
      <c r="I17" s="131">
        <v>45986</v>
      </c>
      <c r="J17" s="137">
        <v>1.35E-2</v>
      </c>
      <c r="K17" s="133">
        <v>2.1602147334373916</v>
      </c>
      <c r="L17" s="134" t="s">
        <v>176</v>
      </c>
      <c r="M17" s="135">
        <v>70856654.790000007</v>
      </c>
    </row>
    <row r="18" spans="3:13" x14ac:dyDescent="0.35">
      <c r="C18" s="130" t="s">
        <v>171</v>
      </c>
      <c r="D18" s="130" t="s">
        <v>187</v>
      </c>
      <c r="E18" s="130" t="s">
        <v>188</v>
      </c>
      <c r="F18" s="130" t="s">
        <v>174</v>
      </c>
      <c r="G18" s="130" t="s">
        <v>175</v>
      </c>
      <c r="H18" s="131">
        <v>42249</v>
      </c>
      <c r="I18" s="131">
        <v>46575</v>
      </c>
      <c r="J18" s="132">
        <v>0.06</v>
      </c>
      <c r="K18" s="133">
        <v>1.9811624953225773</v>
      </c>
      <c r="L18" s="134" t="s">
        <v>182</v>
      </c>
      <c r="M18" s="135">
        <v>14586039.189999979</v>
      </c>
    </row>
    <row r="19" spans="3:13" x14ac:dyDescent="0.35">
      <c r="C19" s="130" t="s">
        <v>171</v>
      </c>
      <c r="D19" s="130" t="s">
        <v>187</v>
      </c>
      <c r="E19" s="130" t="s">
        <v>188</v>
      </c>
      <c r="F19" s="130" t="s">
        <v>174</v>
      </c>
      <c r="G19" s="130" t="s">
        <v>175</v>
      </c>
      <c r="H19" s="131">
        <v>43454</v>
      </c>
      <c r="I19" s="131">
        <v>47003</v>
      </c>
      <c r="J19" s="132">
        <v>0.06</v>
      </c>
      <c r="K19" s="133">
        <v>2.5702921733451349</v>
      </c>
      <c r="L19" s="134" t="s">
        <v>182</v>
      </c>
      <c r="M19" s="135">
        <v>19071968.473205835</v>
      </c>
    </row>
    <row r="20" spans="3:13" x14ac:dyDescent="0.35">
      <c r="C20" s="130" t="s">
        <v>171</v>
      </c>
      <c r="D20" s="130" t="s">
        <v>187</v>
      </c>
      <c r="E20" s="130" t="s">
        <v>189</v>
      </c>
      <c r="F20" s="130" t="s">
        <v>110</v>
      </c>
      <c r="G20" s="130" t="s">
        <v>175</v>
      </c>
      <c r="H20" s="131">
        <v>43516</v>
      </c>
      <c r="I20" s="131">
        <v>46858</v>
      </c>
      <c r="J20" s="138">
        <v>4.8130439999999997E-2</v>
      </c>
      <c r="K20" s="133">
        <v>2.3637055567042302</v>
      </c>
      <c r="L20" s="134" t="s">
        <v>182</v>
      </c>
      <c r="M20" s="135">
        <v>1007993489.8670938</v>
      </c>
    </row>
    <row r="21" spans="3:13" x14ac:dyDescent="0.35">
      <c r="C21" s="130" t="s">
        <v>171</v>
      </c>
      <c r="D21" s="130" t="s">
        <v>187</v>
      </c>
      <c r="E21" s="130" t="s">
        <v>189</v>
      </c>
      <c r="F21" s="130" t="s">
        <v>110</v>
      </c>
      <c r="G21" s="130" t="s">
        <v>175</v>
      </c>
      <c r="H21" s="131">
        <v>44285</v>
      </c>
      <c r="I21" s="131">
        <v>46767</v>
      </c>
      <c r="J21" s="138">
        <v>4.1109920000000001E-2</v>
      </c>
      <c r="K21" s="133">
        <v>2.3224615106430266</v>
      </c>
      <c r="L21" s="134" t="s">
        <v>182</v>
      </c>
      <c r="M21" s="135">
        <v>32977630.181959622</v>
      </c>
    </row>
    <row r="22" spans="3:13" x14ac:dyDescent="0.35">
      <c r="C22" s="130" t="s">
        <v>171</v>
      </c>
      <c r="D22" s="130" t="s">
        <v>187</v>
      </c>
      <c r="E22" s="130" t="s">
        <v>189</v>
      </c>
      <c r="F22" s="130" t="s">
        <v>110</v>
      </c>
      <c r="G22" s="130" t="s">
        <v>175</v>
      </c>
      <c r="H22" s="131">
        <v>44285</v>
      </c>
      <c r="I22" s="131">
        <v>51394</v>
      </c>
      <c r="J22" s="138">
        <v>4.1109920000000001E-2</v>
      </c>
      <c r="K22" s="133">
        <v>10.804689350832714</v>
      </c>
      <c r="L22" s="134" t="s">
        <v>182</v>
      </c>
      <c r="M22" s="135">
        <v>105004086.07155342</v>
      </c>
    </row>
    <row r="23" spans="3:13" x14ac:dyDescent="0.35">
      <c r="C23" s="130" t="s">
        <v>171</v>
      </c>
      <c r="D23" s="130" t="s">
        <v>187</v>
      </c>
      <c r="E23" s="130" t="s">
        <v>189</v>
      </c>
      <c r="F23" s="130" t="s">
        <v>110</v>
      </c>
      <c r="G23" s="130" t="s">
        <v>175</v>
      </c>
      <c r="H23" s="131">
        <v>44285</v>
      </c>
      <c r="I23" s="131">
        <v>46767</v>
      </c>
      <c r="J23" s="138">
        <v>4.1109920000000001E-2</v>
      </c>
      <c r="K23" s="133">
        <v>2.3224615276281031</v>
      </c>
      <c r="L23" s="134" t="s">
        <v>182</v>
      </c>
      <c r="M23" s="135">
        <v>326761257.67503035</v>
      </c>
    </row>
    <row r="24" spans="3:13" x14ac:dyDescent="0.35">
      <c r="C24" s="130" t="s">
        <v>171</v>
      </c>
      <c r="D24" s="130" t="s">
        <v>187</v>
      </c>
      <c r="E24" s="130" t="s">
        <v>189</v>
      </c>
      <c r="F24" s="130" t="s">
        <v>110</v>
      </c>
      <c r="G24" s="130" t="s">
        <v>175</v>
      </c>
      <c r="H24" s="131">
        <v>44285</v>
      </c>
      <c r="I24" s="131">
        <v>51394</v>
      </c>
      <c r="J24" s="138">
        <v>4.1109920000000001E-2</v>
      </c>
      <c r="K24" s="133">
        <v>10.804689303476051</v>
      </c>
      <c r="L24" s="134" t="s">
        <v>182</v>
      </c>
      <c r="M24" s="135">
        <v>1041600444.0059929</v>
      </c>
    </row>
    <row r="25" spans="3:13" x14ac:dyDescent="0.35">
      <c r="C25" s="130" t="s">
        <v>171</v>
      </c>
      <c r="D25" s="130" t="s">
        <v>190</v>
      </c>
      <c r="E25" s="130" t="s">
        <v>191</v>
      </c>
      <c r="F25" s="130" t="s">
        <v>110</v>
      </c>
      <c r="G25" s="130" t="s">
        <v>175</v>
      </c>
      <c r="H25" s="131">
        <v>42705</v>
      </c>
      <c r="I25" s="131">
        <v>45306</v>
      </c>
      <c r="J25" s="139">
        <v>2.4E-2</v>
      </c>
      <c r="K25" s="133">
        <v>0.34166666666666667</v>
      </c>
      <c r="L25" s="134" t="s">
        <v>192</v>
      </c>
      <c r="M25" s="135">
        <v>28614333.170000009</v>
      </c>
    </row>
    <row r="26" spans="3:13" x14ac:dyDescent="0.35">
      <c r="C26" s="130" t="s">
        <v>171</v>
      </c>
      <c r="D26" s="130" t="s">
        <v>190</v>
      </c>
      <c r="E26" s="130" t="s">
        <v>191</v>
      </c>
      <c r="F26" s="130" t="s">
        <v>110</v>
      </c>
      <c r="G26" s="130" t="s">
        <v>175</v>
      </c>
      <c r="H26" s="131">
        <v>43007</v>
      </c>
      <c r="I26" s="131">
        <v>45306</v>
      </c>
      <c r="J26" s="139">
        <v>2.4E-2</v>
      </c>
      <c r="K26" s="133">
        <v>0.34166666666666667</v>
      </c>
      <c r="L26" s="134" t="s">
        <v>192</v>
      </c>
      <c r="M26" s="135">
        <v>10743878.43</v>
      </c>
    </row>
    <row r="27" spans="3:13" x14ac:dyDescent="0.35">
      <c r="C27" s="130" t="s">
        <v>171</v>
      </c>
      <c r="D27" s="130" t="s">
        <v>190</v>
      </c>
      <c r="E27" s="130" t="s">
        <v>191</v>
      </c>
      <c r="F27" s="130" t="s">
        <v>110</v>
      </c>
      <c r="G27" s="130" t="s">
        <v>175</v>
      </c>
      <c r="H27" s="131">
        <v>42730</v>
      </c>
      <c r="I27" s="131">
        <v>45275</v>
      </c>
      <c r="J27" s="139">
        <v>6.8699999999999997E-2</v>
      </c>
      <c r="K27" s="133">
        <v>0.25555555555555554</v>
      </c>
      <c r="L27" s="134" t="s">
        <v>176</v>
      </c>
      <c r="M27" s="135">
        <v>149331129.56999993</v>
      </c>
    </row>
    <row r="28" spans="3:13" x14ac:dyDescent="0.35">
      <c r="C28" s="130" t="s">
        <v>171</v>
      </c>
      <c r="D28" s="130" t="s">
        <v>190</v>
      </c>
      <c r="E28" s="130" t="s">
        <v>191</v>
      </c>
      <c r="F28" s="130" t="s">
        <v>193</v>
      </c>
      <c r="G28" s="130" t="s">
        <v>175</v>
      </c>
      <c r="H28" s="131">
        <v>44719</v>
      </c>
      <c r="I28" s="131">
        <v>46888</v>
      </c>
      <c r="J28" s="140">
        <v>1.4E-2</v>
      </c>
      <c r="K28" s="133">
        <v>3.5343850196789695</v>
      </c>
      <c r="L28" s="134" t="s">
        <v>192</v>
      </c>
      <c r="M28" s="135">
        <v>1424616540.1199999</v>
      </c>
    </row>
    <row r="29" spans="3:13" x14ac:dyDescent="0.35">
      <c r="C29" s="130" t="s">
        <v>171</v>
      </c>
      <c r="D29" s="130" t="s">
        <v>194</v>
      </c>
      <c r="E29" s="130" t="s">
        <v>195</v>
      </c>
      <c r="F29" s="130" t="s">
        <v>174</v>
      </c>
      <c r="G29" s="130" t="s">
        <v>175</v>
      </c>
      <c r="H29" s="131">
        <v>43677</v>
      </c>
      <c r="I29" s="131">
        <v>46858</v>
      </c>
      <c r="J29" s="141">
        <v>0</v>
      </c>
      <c r="K29" s="133">
        <v>2.346660095750162</v>
      </c>
      <c r="L29" s="134" t="s">
        <v>182</v>
      </c>
      <c r="M29" s="135">
        <v>-370803.16999999993</v>
      </c>
    </row>
    <row r="30" spans="3:13" x14ac:dyDescent="0.35">
      <c r="C30" s="130" t="s">
        <v>171</v>
      </c>
      <c r="D30" s="130" t="s">
        <v>194</v>
      </c>
      <c r="E30" s="130" t="s">
        <v>195</v>
      </c>
      <c r="F30" s="130" t="s">
        <v>174</v>
      </c>
      <c r="G30" s="130" t="s">
        <v>175</v>
      </c>
      <c r="H30" s="131">
        <v>44286</v>
      </c>
      <c r="I30" s="131">
        <v>51409</v>
      </c>
      <c r="J30" s="141">
        <v>0</v>
      </c>
      <c r="K30" s="133">
        <v>8.6672668208561952</v>
      </c>
      <c r="L30" s="134" t="s">
        <v>182</v>
      </c>
      <c r="M30" s="135">
        <v>-6025028.5199999949</v>
      </c>
    </row>
    <row r="31" spans="3:13" x14ac:dyDescent="0.35">
      <c r="C31" s="130" t="s">
        <v>171</v>
      </c>
      <c r="D31" s="130" t="s">
        <v>196</v>
      </c>
      <c r="E31" s="130" t="s">
        <v>195</v>
      </c>
      <c r="F31" s="130" t="s">
        <v>174</v>
      </c>
      <c r="G31" s="130" t="s">
        <v>175</v>
      </c>
      <c r="H31" s="131">
        <v>43100</v>
      </c>
      <c r="I31" s="131">
        <v>45306</v>
      </c>
      <c r="J31" s="141">
        <v>0</v>
      </c>
      <c r="K31" s="133">
        <v>0.19439374485415709</v>
      </c>
      <c r="L31" s="134" t="s">
        <v>182</v>
      </c>
      <c r="M31" s="135">
        <v>-40403.570000000371</v>
      </c>
    </row>
    <row r="32" spans="3:13" x14ac:dyDescent="0.35">
      <c r="C32" s="130" t="s">
        <v>171</v>
      </c>
      <c r="D32" s="130" t="s">
        <v>196</v>
      </c>
      <c r="E32" s="130" t="s">
        <v>195</v>
      </c>
      <c r="F32" s="130" t="s">
        <v>174</v>
      </c>
      <c r="G32" s="130" t="s">
        <v>175</v>
      </c>
      <c r="H32" s="131">
        <v>42735</v>
      </c>
      <c r="I32" s="131">
        <v>45275</v>
      </c>
      <c r="J32" s="141">
        <v>0</v>
      </c>
      <c r="K32" s="133">
        <v>0.15932293858398527</v>
      </c>
      <c r="L32" s="134" t="s">
        <v>182</v>
      </c>
      <c r="M32" s="135">
        <v>-62767.479999999268</v>
      </c>
    </row>
    <row r="33" spans="3:13" x14ac:dyDescent="0.35">
      <c r="C33" s="130" t="s">
        <v>171</v>
      </c>
      <c r="D33" s="130" t="s">
        <v>196</v>
      </c>
      <c r="E33" s="130" t="s">
        <v>195</v>
      </c>
      <c r="F33" s="130" t="s">
        <v>174</v>
      </c>
      <c r="G33" s="130" t="s">
        <v>175</v>
      </c>
      <c r="H33" s="131">
        <v>44719</v>
      </c>
      <c r="I33" s="131">
        <v>46888</v>
      </c>
      <c r="J33" s="141">
        <v>0</v>
      </c>
      <c r="K33" s="133">
        <v>2.4106646581094742</v>
      </c>
      <c r="L33" s="134" t="s">
        <v>182</v>
      </c>
      <c r="M33" s="135">
        <v>-4759382.8299999982</v>
      </c>
    </row>
    <row r="34" spans="3:13" x14ac:dyDescent="0.35">
      <c r="C34" s="130" t="s">
        <v>171</v>
      </c>
      <c r="D34" s="130" t="s">
        <v>197</v>
      </c>
      <c r="E34" s="130" t="s">
        <v>195</v>
      </c>
      <c r="F34" s="130" t="s">
        <v>174</v>
      </c>
      <c r="G34" s="130" t="s">
        <v>175</v>
      </c>
      <c r="H34" s="131">
        <v>42185</v>
      </c>
      <c r="I34" s="131">
        <v>46264</v>
      </c>
      <c r="J34" s="141">
        <v>0</v>
      </c>
      <c r="K34" s="133">
        <v>1.7123808769554671</v>
      </c>
      <c r="L34" s="134" t="s">
        <v>182</v>
      </c>
      <c r="M34" s="135">
        <v>-2317811.2818835438</v>
      </c>
    </row>
    <row r="35" spans="3:13" x14ac:dyDescent="0.35">
      <c r="C35" s="130" t="s">
        <v>171</v>
      </c>
      <c r="D35" s="130" t="s">
        <v>197</v>
      </c>
      <c r="E35" s="130" t="s">
        <v>195</v>
      </c>
      <c r="F35" s="130" t="s">
        <v>174</v>
      </c>
      <c r="G35" s="130" t="s">
        <v>175</v>
      </c>
      <c r="H35" s="131">
        <v>42185</v>
      </c>
      <c r="I35" s="131">
        <v>49217</v>
      </c>
      <c r="J35" s="141">
        <v>0</v>
      </c>
      <c r="K35" s="133">
        <v>5.6737370339683464</v>
      </c>
      <c r="L35" s="134" t="s">
        <v>182</v>
      </c>
      <c r="M35" s="135">
        <v>-12597233.262765594</v>
      </c>
    </row>
    <row r="36" spans="3:13" x14ac:dyDescent="0.35">
      <c r="C36" s="130" t="s">
        <v>171</v>
      </c>
      <c r="D36" s="130" t="s">
        <v>197</v>
      </c>
      <c r="E36" s="130" t="s">
        <v>195</v>
      </c>
      <c r="F36" s="130" t="s">
        <v>174</v>
      </c>
      <c r="G36" s="130" t="s">
        <v>175</v>
      </c>
      <c r="H36" s="131">
        <v>42185</v>
      </c>
      <c r="I36" s="131">
        <v>49217</v>
      </c>
      <c r="J36" s="141">
        <v>0</v>
      </c>
      <c r="K36" s="133">
        <v>5.6737372779088524</v>
      </c>
      <c r="L36" s="134" t="s">
        <v>182</v>
      </c>
      <c r="M36" s="135">
        <v>-9734628.9422603752</v>
      </c>
    </row>
    <row r="37" spans="3:13" x14ac:dyDescent="0.35">
      <c r="C37" s="130" t="s">
        <v>171</v>
      </c>
      <c r="D37" s="130" t="s">
        <v>197</v>
      </c>
      <c r="E37" s="130" t="s">
        <v>195</v>
      </c>
      <c r="F37" s="130" t="s">
        <v>174</v>
      </c>
      <c r="G37" s="130" t="s">
        <v>175</v>
      </c>
      <c r="H37" s="131">
        <v>42185</v>
      </c>
      <c r="I37" s="131">
        <v>49219</v>
      </c>
      <c r="J37" s="141">
        <v>0</v>
      </c>
      <c r="K37" s="133">
        <v>5.6737300261411088</v>
      </c>
      <c r="L37" s="134" t="s">
        <v>182</v>
      </c>
      <c r="M37" s="135">
        <v>-537714.24955411023</v>
      </c>
    </row>
    <row r="38" spans="3:13" x14ac:dyDescent="0.35">
      <c r="C38" s="130" t="s">
        <v>171</v>
      </c>
      <c r="D38" s="130" t="s">
        <v>197</v>
      </c>
      <c r="E38" s="130" t="s">
        <v>195</v>
      </c>
      <c r="F38" s="130" t="s">
        <v>174</v>
      </c>
      <c r="G38" s="130" t="s">
        <v>175</v>
      </c>
      <c r="H38" s="131">
        <v>42185</v>
      </c>
      <c r="I38" s="131">
        <v>49217</v>
      </c>
      <c r="J38" s="141">
        <v>0</v>
      </c>
      <c r="K38" s="133">
        <v>5.6737371815025961</v>
      </c>
      <c r="L38" s="134" t="s">
        <v>182</v>
      </c>
      <c r="M38" s="135">
        <v>-13130786.662237516</v>
      </c>
    </row>
    <row r="39" spans="3:13" x14ac:dyDescent="0.35">
      <c r="C39" s="130" t="s">
        <v>171</v>
      </c>
      <c r="D39" s="130" t="s">
        <v>197</v>
      </c>
      <c r="E39" s="130" t="s">
        <v>195</v>
      </c>
      <c r="F39" s="130" t="s">
        <v>174</v>
      </c>
      <c r="G39" s="130" t="s">
        <v>175</v>
      </c>
      <c r="H39" s="131">
        <v>42185</v>
      </c>
      <c r="I39" s="131">
        <v>49219</v>
      </c>
      <c r="J39" s="141">
        <v>0</v>
      </c>
      <c r="K39" s="133">
        <v>5.6737364048942052</v>
      </c>
      <c r="L39" s="134" t="s">
        <v>182</v>
      </c>
      <c r="M39" s="135">
        <v>-3228389.5510853417</v>
      </c>
    </row>
    <row r="40" spans="3:13" x14ac:dyDescent="0.35">
      <c r="C40" s="130" t="s">
        <v>171</v>
      </c>
      <c r="D40" s="130" t="s">
        <v>197</v>
      </c>
      <c r="E40" s="130" t="s">
        <v>195</v>
      </c>
      <c r="F40" s="130" t="s">
        <v>174</v>
      </c>
      <c r="G40" s="130" t="s">
        <v>175</v>
      </c>
      <c r="H40" s="131">
        <v>42185</v>
      </c>
      <c r="I40" s="131">
        <v>46934</v>
      </c>
      <c r="J40" s="141">
        <v>0</v>
      </c>
      <c r="K40" s="133">
        <v>2.5691035196950502</v>
      </c>
      <c r="L40" s="134" t="s">
        <v>182</v>
      </c>
      <c r="M40" s="135">
        <v>-1967704.5312801604</v>
      </c>
    </row>
    <row r="41" spans="3:13" x14ac:dyDescent="0.35">
      <c r="C41" s="130" t="s">
        <v>198</v>
      </c>
      <c r="D41" s="130" t="s">
        <v>187</v>
      </c>
      <c r="E41" s="130" t="s">
        <v>189</v>
      </c>
      <c r="F41" s="130" t="s">
        <v>110</v>
      </c>
      <c r="G41" s="130" t="s">
        <v>175</v>
      </c>
      <c r="H41" s="131">
        <v>43518</v>
      </c>
      <c r="I41" s="131">
        <v>47618</v>
      </c>
      <c r="J41" s="138">
        <v>4.9469180000000001E-2</v>
      </c>
      <c r="K41" s="133">
        <v>3.4183493414217891</v>
      </c>
      <c r="L41" s="134" t="s">
        <v>182</v>
      </c>
      <c r="M41" s="135">
        <v>604520968.82874501</v>
      </c>
    </row>
    <row r="42" spans="3:13" x14ac:dyDescent="0.35">
      <c r="C42" s="130" t="s">
        <v>198</v>
      </c>
      <c r="D42" s="130" t="s">
        <v>187</v>
      </c>
      <c r="E42" s="130" t="s">
        <v>189</v>
      </c>
      <c r="F42" s="130" t="s">
        <v>110</v>
      </c>
      <c r="G42" s="130" t="s">
        <v>175</v>
      </c>
      <c r="H42" s="131">
        <v>44285</v>
      </c>
      <c r="I42" s="131">
        <v>47529</v>
      </c>
      <c r="J42" s="138">
        <v>4.1109920000000001E-2</v>
      </c>
      <c r="K42" s="133">
        <v>3.4195824260394954</v>
      </c>
      <c r="L42" s="134" t="s">
        <v>182</v>
      </c>
      <c r="M42" s="135">
        <v>301516808.85995471</v>
      </c>
    </row>
    <row r="43" spans="3:13" x14ac:dyDescent="0.35">
      <c r="C43" s="130" t="s">
        <v>198</v>
      </c>
      <c r="D43" s="130" t="s">
        <v>187</v>
      </c>
      <c r="E43" s="130" t="s">
        <v>189</v>
      </c>
      <c r="F43" s="130" t="s">
        <v>110</v>
      </c>
      <c r="G43" s="130" t="s">
        <v>175</v>
      </c>
      <c r="H43" s="131">
        <v>44285</v>
      </c>
      <c r="I43" s="131">
        <v>51394</v>
      </c>
      <c r="J43" s="138">
        <v>4.1109920000000001E-2</v>
      </c>
      <c r="K43" s="133">
        <v>11.778575761538701</v>
      </c>
      <c r="L43" s="134" t="s">
        <v>182</v>
      </c>
      <c r="M43" s="135">
        <v>532358649.49924845</v>
      </c>
    </row>
    <row r="44" spans="3:13" x14ac:dyDescent="0.35">
      <c r="C44" s="130" t="s">
        <v>198</v>
      </c>
      <c r="D44" s="130" t="s">
        <v>187</v>
      </c>
      <c r="E44" s="130" t="s">
        <v>189</v>
      </c>
      <c r="F44" s="130" t="s">
        <v>110</v>
      </c>
      <c r="G44" s="130" t="s">
        <v>175</v>
      </c>
      <c r="H44" s="131">
        <v>44916</v>
      </c>
      <c r="I44" s="131">
        <v>47529</v>
      </c>
      <c r="J44" s="142">
        <v>5.9628360000000269E-2</v>
      </c>
      <c r="K44" s="133">
        <v>3.3748940399602363</v>
      </c>
      <c r="L44" s="134" t="s">
        <v>182</v>
      </c>
      <c r="M44" s="135">
        <v>138879256.73142135</v>
      </c>
    </row>
    <row r="45" spans="3:13" x14ac:dyDescent="0.35">
      <c r="C45" s="130" t="s">
        <v>198</v>
      </c>
      <c r="D45" s="130" t="s">
        <v>187</v>
      </c>
      <c r="E45" s="130" t="s">
        <v>189</v>
      </c>
      <c r="F45" s="130" t="s">
        <v>110</v>
      </c>
      <c r="G45" s="130" t="s">
        <v>175</v>
      </c>
      <c r="H45" s="131">
        <v>44916</v>
      </c>
      <c r="I45" s="131">
        <v>51394</v>
      </c>
      <c r="J45" s="142">
        <v>5.9628360000000269E-2</v>
      </c>
      <c r="K45" s="133">
        <v>11.734476520738301</v>
      </c>
      <c r="L45" s="134" t="s">
        <v>182</v>
      </c>
      <c r="M45" s="135">
        <v>245936754.98445147</v>
      </c>
    </row>
    <row r="46" spans="3:13" x14ac:dyDescent="0.35">
      <c r="C46" s="130" t="s">
        <v>198</v>
      </c>
      <c r="D46" s="130" t="s">
        <v>187</v>
      </c>
      <c r="E46" s="130" t="s">
        <v>188</v>
      </c>
      <c r="F46" s="130" t="s">
        <v>174</v>
      </c>
      <c r="G46" s="130" t="s">
        <v>175</v>
      </c>
      <c r="H46" s="131">
        <v>42003</v>
      </c>
      <c r="I46" s="131">
        <v>45937</v>
      </c>
      <c r="J46" s="132">
        <v>0.06</v>
      </c>
      <c r="K46" s="133">
        <v>1.0970603661710507</v>
      </c>
      <c r="L46" s="134" t="s">
        <v>182</v>
      </c>
      <c r="M46" s="135">
        <v>5705979.7299999865</v>
      </c>
    </row>
    <row r="47" spans="3:13" x14ac:dyDescent="0.35">
      <c r="C47" s="130" t="s">
        <v>198</v>
      </c>
      <c r="D47" s="130" t="s">
        <v>187</v>
      </c>
      <c r="E47" s="130" t="s">
        <v>180</v>
      </c>
      <c r="F47" s="130" t="s">
        <v>174</v>
      </c>
      <c r="G47" s="130" t="s">
        <v>175</v>
      </c>
      <c r="H47" s="131">
        <v>41863</v>
      </c>
      <c r="I47" s="131">
        <v>45519</v>
      </c>
      <c r="J47" s="132">
        <v>0.06</v>
      </c>
      <c r="K47" s="133">
        <v>0.50756117959103397</v>
      </c>
      <c r="L47" s="134" t="s">
        <v>182</v>
      </c>
      <c r="M47" s="135">
        <v>113196.37820000004</v>
      </c>
    </row>
    <row r="48" spans="3:13" x14ac:dyDescent="0.35">
      <c r="C48" s="130" t="s">
        <v>198</v>
      </c>
      <c r="D48" s="130" t="s">
        <v>187</v>
      </c>
      <c r="E48" s="130" t="s">
        <v>199</v>
      </c>
      <c r="F48" s="130" t="s">
        <v>193</v>
      </c>
      <c r="G48" s="130" t="s">
        <v>175</v>
      </c>
      <c r="H48" s="131">
        <v>45190</v>
      </c>
      <c r="I48" s="131">
        <v>45921</v>
      </c>
      <c r="J48" s="143">
        <v>-1.6999999999999999E-3</v>
      </c>
      <c r="K48" s="133">
        <v>1.2675452281174027</v>
      </c>
      <c r="L48" s="134" t="s">
        <v>200</v>
      </c>
      <c r="M48" s="135">
        <v>35758939.403967127</v>
      </c>
    </row>
    <row r="49" spans="3:13" x14ac:dyDescent="0.35">
      <c r="C49" s="130" t="s">
        <v>198</v>
      </c>
      <c r="D49" s="130" t="s">
        <v>183</v>
      </c>
      <c r="E49" s="130" t="s">
        <v>184</v>
      </c>
      <c r="F49" s="130" t="s">
        <v>185</v>
      </c>
      <c r="G49" s="130" t="s">
        <v>186</v>
      </c>
      <c r="H49" s="131">
        <v>44246</v>
      </c>
      <c r="I49" s="131">
        <v>45707</v>
      </c>
      <c r="J49" s="143">
        <v>1.6500000000000001E-2</v>
      </c>
      <c r="K49" s="133">
        <v>0.92835517067857531</v>
      </c>
      <c r="L49" s="134" t="s">
        <v>192</v>
      </c>
      <c r="M49" s="135">
        <v>330461756.39999998</v>
      </c>
    </row>
    <row r="50" spans="3:13" x14ac:dyDescent="0.35">
      <c r="C50" s="130" t="s">
        <v>198</v>
      </c>
      <c r="D50" s="130" t="s">
        <v>190</v>
      </c>
      <c r="E50" s="130" t="s">
        <v>191</v>
      </c>
      <c r="F50" s="130" t="s">
        <v>110</v>
      </c>
      <c r="G50" s="130" t="s">
        <v>175</v>
      </c>
      <c r="H50" s="131">
        <v>42629</v>
      </c>
      <c r="I50" s="131">
        <v>45214</v>
      </c>
      <c r="J50" s="139">
        <v>5.5421999999999999E-2</v>
      </c>
      <c r="K50" s="133">
        <v>8.611111111111111E-2</v>
      </c>
      <c r="L50" s="134" t="s">
        <v>176</v>
      </c>
      <c r="M50" s="135">
        <v>170627644.77999997</v>
      </c>
    </row>
    <row r="51" spans="3:13" x14ac:dyDescent="0.35">
      <c r="C51" s="130" t="s">
        <v>198</v>
      </c>
      <c r="D51" s="130" t="s">
        <v>190</v>
      </c>
      <c r="E51" s="130" t="s">
        <v>191</v>
      </c>
      <c r="F51" s="130" t="s">
        <v>193</v>
      </c>
      <c r="G51" s="130" t="s">
        <v>175</v>
      </c>
      <c r="H51" s="131">
        <v>44719</v>
      </c>
      <c r="I51" s="131">
        <v>46888</v>
      </c>
      <c r="J51" s="143">
        <v>1.4E-2</v>
      </c>
      <c r="K51" s="133">
        <v>3.5343850198915283</v>
      </c>
      <c r="L51" s="134" t="s">
        <v>192</v>
      </c>
      <c r="M51" s="135">
        <v>316581453.34000003</v>
      </c>
    </row>
    <row r="52" spans="3:13" x14ac:dyDescent="0.35">
      <c r="C52" s="130" t="s">
        <v>198</v>
      </c>
      <c r="D52" s="130" t="s">
        <v>194</v>
      </c>
      <c r="E52" s="130" t="s">
        <v>195</v>
      </c>
      <c r="F52" s="130" t="s">
        <v>174</v>
      </c>
      <c r="G52" s="130" t="s">
        <v>175</v>
      </c>
      <c r="H52" s="131">
        <v>42124</v>
      </c>
      <c r="I52" s="131">
        <v>44910</v>
      </c>
      <c r="J52" s="141">
        <v>0</v>
      </c>
      <c r="K52" s="133">
        <v>0.29722224157287402</v>
      </c>
      <c r="L52" s="134" t="s">
        <v>182</v>
      </c>
      <c r="M52" s="135">
        <v>-327292.83000000048</v>
      </c>
    </row>
    <row r="53" spans="3:13" x14ac:dyDescent="0.35">
      <c r="C53" s="130" t="s">
        <v>198</v>
      </c>
      <c r="D53" s="130" t="s">
        <v>196</v>
      </c>
      <c r="E53" s="130" t="s">
        <v>195</v>
      </c>
      <c r="F53" s="130" t="s">
        <v>174</v>
      </c>
      <c r="G53" s="130" t="s">
        <v>175</v>
      </c>
      <c r="H53" s="131">
        <v>42674</v>
      </c>
      <c r="I53" s="131">
        <v>45214</v>
      </c>
      <c r="J53" s="141">
        <v>0</v>
      </c>
      <c r="K53" s="133">
        <v>8.611111111111111E-2</v>
      </c>
      <c r="L53" s="134" t="s">
        <v>182</v>
      </c>
      <c r="M53" s="135">
        <v>-61368.730000002222</v>
      </c>
    </row>
    <row r="54" spans="3:13" x14ac:dyDescent="0.35">
      <c r="C54" s="130" t="s">
        <v>198</v>
      </c>
      <c r="D54" s="130" t="s">
        <v>196</v>
      </c>
      <c r="E54" s="130" t="s">
        <v>195</v>
      </c>
      <c r="F54" s="130" t="s">
        <v>174</v>
      </c>
      <c r="G54" s="130" t="s">
        <v>175</v>
      </c>
      <c r="H54" s="131">
        <v>44719</v>
      </c>
      <c r="I54" s="131">
        <v>46888</v>
      </c>
      <c r="J54" s="141">
        <v>0</v>
      </c>
      <c r="K54" s="133">
        <v>2.4106648724205013</v>
      </c>
      <c r="L54" s="134" t="s">
        <v>182</v>
      </c>
      <c r="M54" s="135">
        <v>-1102218.9700000002</v>
      </c>
    </row>
    <row r="55" spans="3:13" x14ac:dyDescent="0.35">
      <c r="C55" s="130" t="s">
        <v>198</v>
      </c>
      <c r="D55" s="130" t="s">
        <v>194</v>
      </c>
      <c r="E55" s="130" t="s">
        <v>195</v>
      </c>
      <c r="F55" s="130" t="s">
        <v>174</v>
      </c>
      <c r="G55" s="130" t="s">
        <v>175</v>
      </c>
      <c r="H55" s="131">
        <v>44916</v>
      </c>
      <c r="I55" s="131">
        <v>51394</v>
      </c>
      <c r="J55" s="141">
        <v>0</v>
      </c>
      <c r="K55" s="133">
        <v>8.6672662361237194</v>
      </c>
      <c r="L55" s="134" t="s">
        <v>182</v>
      </c>
      <c r="M55" s="135">
        <v>-8564889.4399999995</v>
      </c>
    </row>
    <row r="56" spans="3:13" x14ac:dyDescent="0.35">
      <c r="C56" s="130" t="s">
        <v>198</v>
      </c>
      <c r="D56" s="130" t="s">
        <v>194</v>
      </c>
      <c r="E56" s="130" t="s">
        <v>195</v>
      </c>
      <c r="F56" s="130" t="s">
        <v>174</v>
      </c>
      <c r="G56" s="130" t="s">
        <v>175</v>
      </c>
      <c r="H56" s="131">
        <v>44285</v>
      </c>
      <c r="I56" s="131">
        <v>45381</v>
      </c>
      <c r="J56" s="141">
        <v>0</v>
      </c>
      <c r="K56" s="133">
        <v>8.6672679520486788</v>
      </c>
      <c r="L56" s="134" t="s">
        <v>182</v>
      </c>
      <c r="M56" s="135">
        <v>-3342618.3600000013</v>
      </c>
    </row>
    <row r="57" spans="3:13" x14ac:dyDescent="0.35">
      <c r="C57" s="130" t="s">
        <v>201</v>
      </c>
      <c r="D57" s="130" t="s">
        <v>187</v>
      </c>
      <c r="E57" s="130" t="s">
        <v>202</v>
      </c>
      <c r="F57" s="130" t="s">
        <v>174</v>
      </c>
      <c r="G57" s="130" t="s">
        <v>175</v>
      </c>
      <c r="H57" s="131">
        <v>43251</v>
      </c>
      <c r="I57" s="131">
        <v>54361</v>
      </c>
      <c r="J57" s="144">
        <v>0.05</v>
      </c>
      <c r="K57" s="133">
        <v>12.908725848164149</v>
      </c>
      <c r="L57" s="134" t="s">
        <v>182</v>
      </c>
      <c r="M57" s="135">
        <v>1094586186.037962</v>
      </c>
    </row>
    <row r="58" spans="3:13" x14ac:dyDescent="0.35">
      <c r="C58" s="130" t="s">
        <v>201</v>
      </c>
      <c r="D58" s="130" t="s">
        <v>187</v>
      </c>
      <c r="E58" s="130" t="s">
        <v>189</v>
      </c>
      <c r="F58" s="130" t="s">
        <v>110</v>
      </c>
      <c r="G58" s="130" t="s">
        <v>175</v>
      </c>
      <c r="H58" s="131">
        <v>43822</v>
      </c>
      <c r="I58" s="131">
        <v>51058</v>
      </c>
      <c r="J58" s="145">
        <v>3.9271E-2</v>
      </c>
      <c r="K58" s="133">
        <v>8.1885837101167755</v>
      </c>
      <c r="L58" s="134" t="s">
        <v>182</v>
      </c>
      <c r="M58" s="135">
        <v>444606155.11230087</v>
      </c>
    </row>
    <row r="59" spans="3:13" x14ac:dyDescent="0.35">
      <c r="C59" s="130" t="s">
        <v>201</v>
      </c>
      <c r="D59" s="130" t="s">
        <v>187</v>
      </c>
      <c r="E59" s="130" t="s">
        <v>189</v>
      </c>
      <c r="F59" s="130" t="s">
        <v>110</v>
      </c>
      <c r="G59" s="130" t="s">
        <v>175</v>
      </c>
      <c r="H59" s="131">
        <v>44224</v>
      </c>
      <c r="I59" s="131">
        <v>51271</v>
      </c>
      <c r="J59" s="138">
        <v>4.4278999999999999E-2</v>
      </c>
      <c r="K59" s="133">
        <v>8.6093087222360634</v>
      </c>
      <c r="L59" s="134" t="s">
        <v>182</v>
      </c>
      <c r="M59" s="135">
        <v>703338811.44361162</v>
      </c>
    </row>
    <row r="60" spans="3:13" x14ac:dyDescent="0.35">
      <c r="C60" s="130" t="s">
        <v>201</v>
      </c>
      <c r="D60" s="130" t="s">
        <v>187</v>
      </c>
      <c r="E60" s="130" t="s">
        <v>203</v>
      </c>
      <c r="F60" s="130" t="s">
        <v>193</v>
      </c>
      <c r="G60" s="130" t="s">
        <v>175</v>
      </c>
      <c r="H60" s="131">
        <v>44134</v>
      </c>
      <c r="I60" s="131">
        <v>45574</v>
      </c>
      <c r="J60" s="143">
        <v>1.6500000000000001E-2</v>
      </c>
      <c r="K60" s="133">
        <v>0.97445154833338976</v>
      </c>
      <c r="L60" s="134" t="s">
        <v>176</v>
      </c>
      <c r="M60" s="135">
        <v>228891227.74725062</v>
      </c>
    </row>
    <row r="61" spans="3:13" x14ac:dyDescent="0.35">
      <c r="C61" s="130" t="s">
        <v>201</v>
      </c>
      <c r="D61" s="130" t="s">
        <v>187</v>
      </c>
      <c r="E61" s="130" t="s">
        <v>204</v>
      </c>
      <c r="F61" s="130" t="s">
        <v>193</v>
      </c>
      <c r="G61" s="130" t="s">
        <v>175</v>
      </c>
      <c r="H61" s="131">
        <v>44617</v>
      </c>
      <c r="I61" s="131">
        <v>46057</v>
      </c>
      <c r="J61" s="143">
        <v>9.7000000000000003E-3</v>
      </c>
      <c r="K61" s="133">
        <v>2.4246121559486506</v>
      </c>
      <c r="L61" s="134" t="s">
        <v>176</v>
      </c>
      <c r="M61" s="135">
        <v>151901815.6971117</v>
      </c>
    </row>
    <row r="62" spans="3:13" x14ac:dyDescent="0.35">
      <c r="C62" s="130" t="s">
        <v>201</v>
      </c>
      <c r="D62" s="130" t="s">
        <v>183</v>
      </c>
      <c r="E62" s="130" t="s">
        <v>203</v>
      </c>
      <c r="F62" s="130" t="s">
        <v>185</v>
      </c>
      <c r="G62" s="130" t="s">
        <v>186</v>
      </c>
      <c r="H62" s="131">
        <v>44902</v>
      </c>
      <c r="I62" s="131">
        <v>46342</v>
      </c>
      <c r="J62" s="143">
        <v>1.6199999999999999E-2</v>
      </c>
      <c r="K62" s="133">
        <v>3.2009312651996678</v>
      </c>
      <c r="L62" s="134" t="s">
        <v>176</v>
      </c>
      <c r="M62" s="135">
        <v>142854509.1764102</v>
      </c>
    </row>
    <row r="63" spans="3:13" x14ac:dyDescent="0.35">
      <c r="C63" s="130" t="s">
        <v>201</v>
      </c>
      <c r="D63" s="130" t="s">
        <v>190</v>
      </c>
      <c r="E63" s="130" t="s">
        <v>191</v>
      </c>
      <c r="F63" s="130" t="s">
        <v>193</v>
      </c>
      <c r="G63" s="130" t="s">
        <v>175</v>
      </c>
      <c r="H63" s="131">
        <v>44536</v>
      </c>
      <c r="I63" s="131">
        <v>46362</v>
      </c>
      <c r="J63" s="143">
        <v>1.37E-2</v>
      </c>
      <c r="K63" s="133">
        <v>2.9695018365038575</v>
      </c>
      <c r="L63" s="134" t="s">
        <v>176</v>
      </c>
      <c r="M63" s="135">
        <v>448711084.05000007</v>
      </c>
    </row>
    <row r="64" spans="3:13" x14ac:dyDescent="0.35">
      <c r="C64" s="130" t="s">
        <v>201</v>
      </c>
      <c r="D64" s="130" t="s">
        <v>183</v>
      </c>
      <c r="E64" s="130" t="s">
        <v>184</v>
      </c>
      <c r="F64" s="130" t="s">
        <v>185</v>
      </c>
      <c r="G64" s="130" t="s">
        <v>186</v>
      </c>
      <c r="H64" s="131">
        <v>44120</v>
      </c>
      <c r="I64" s="131">
        <v>45215</v>
      </c>
      <c r="J64" s="143">
        <v>1.5800000000000002E-2</v>
      </c>
      <c r="K64" s="133">
        <v>8.611111111111111E-2</v>
      </c>
      <c r="L64" s="134" t="s">
        <v>176</v>
      </c>
      <c r="M64" s="135">
        <v>181980883.61557466</v>
      </c>
    </row>
    <row r="65" spans="3:13" x14ac:dyDescent="0.35">
      <c r="C65" s="130" t="s">
        <v>201</v>
      </c>
      <c r="D65" s="130" t="s">
        <v>183</v>
      </c>
      <c r="E65" s="130" t="s">
        <v>184</v>
      </c>
      <c r="F65" s="130" t="s">
        <v>185</v>
      </c>
      <c r="G65" s="130" t="s">
        <v>186</v>
      </c>
      <c r="H65" s="131">
        <v>44312</v>
      </c>
      <c r="I65" s="131">
        <v>46139</v>
      </c>
      <c r="J65" s="143">
        <v>1.77E-2</v>
      </c>
      <c r="K65" s="133">
        <v>2.0928043189502001</v>
      </c>
      <c r="L65" s="134" t="s">
        <v>192</v>
      </c>
      <c r="M65" s="135">
        <v>273055777.50131112</v>
      </c>
    </row>
    <row r="66" spans="3:13" x14ac:dyDescent="0.35">
      <c r="C66" s="130" t="s">
        <v>201</v>
      </c>
      <c r="D66" s="130" t="s">
        <v>197</v>
      </c>
      <c r="E66" s="130" t="s">
        <v>195</v>
      </c>
      <c r="F66" s="130" t="s">
        <v>174</v>
      </c>
      <c r="G66" s="130" t="s">
        <v>175</v>
      </c>
      <c r="H66" s="131">
        <v>43251</v>
      </c>
      <c r="I66" s="131">
        <v>54361</v>
      </c>
      <c r="J66" s="141">
        <v>0</v>
      </c>
      <c r="K66" s="133">
        <v>13.275153765365758</v>
      </c>
      <c r="L66" s="134" t="s">
        <v>182</v>
      </c>
      <c r="M66" s="135">
        <v>-562753626.37713945</v>
      </c>
    </row>
    <row r="67" spans="3:13" x14ac:dyDescent="0.35">
      <c r="C67" s="130" t="s">
        <v>201</v>
      </c>
      <c r="D67" s="130" t="s">
        <v>194</v>
      </c>
      <c r="E67" s="130" t="s">
        <v>195</v>
      </c>
      <c r="F67" s="130" t="s">
        <v>174</v>
      </c>
      <c r="G67" s="130" t="s">
        <v>175</v>
      </c>
      <c r="H67" s="131">
        <v>44224</v>
      </c>
      <c r="I67" s="131">
        <v>51271</v>
      </c>
      <c r="J67" s="141">
        <v>0</v>
      </c>
      <c r="K67" s="133">
        <v>8.4980191659422211</v>
      </c>
      <c r="L67" s="134" t="s">
        <v>182</v>
      </c>
      <c r="M67" s="135">
        <v>-34001.460000000006</v>
      </c>
    </row>
    <row r="68" spans="3:13" x14ac:dyDescent="0.35">
      <c r="C68" s="130" t="s">
        <v>205</v>
      </c>
      <c r="D68" s="130" t="s">
        <v>187</v>
      </c>
      <c r="E68" s="130" t="s">
        <v>189</v>
      </c>
      <c r="F68" s="130" t="s">
        <v>110</v>
      </c>
      <c r="G68" s="130" t="s">
        <v>175</v>
      </c>
      <c r="H68" s="131">
        <v>44224</v>
      </c>
      <c r="I68" s="131">
        <v>51271</v>
      </c>
      <c r="J68" s="138">
        <v>4.4278999999999999E-2</v>
      </c>
      <c r="K68" s="133">
        <v>8.6091581441917402</v>
      </c>
      <c r="L68" s="134" t="s">
        <v>182</v>
      </c>
      <c r="M68" s="135">
        <v>542319992.88814092</v>
      </c>
    </row>
    <row r="69" spans="3:13" x14ac:dyDescent="0.35">
      <c r="C69" s="130" t="s">
        <v>205</v>
      </c>
      <c r="D69" s="130" t="s">
        <v>187</v>
      </c>
      <c r="E69" s="130" t="s">
        <v>189</v>
      </c>
      <c r="F69" s="130" t="s">
        <v>110</v>
      </c>
      <c r="G69" s="130" t="s">
        <v>175</v>
      </c>
      <c r="H69" s="131">
        <v>43822</v>
      </c>
      <c r="I69" s="131">
        <v>51058</v>
      </c>
      <c r="J69" s="138">
        <v>3.9271E-2</v>
      </c>
      <c r="K69" s="133">
        <v>8.1885941474088106</v>
      </c>
      <c r="L69" s="134" t="s">
        <v>182</v>
      </c>
      <c r="M69" s="135">
        <v>245495427.43255416</v>
      </c>
    </row>
    <row r="70" spans="3:13" x14ac:dyDescent="0.35">
      <c r="C70" s="130" t="s">
        <v>205</v>
      </c>
      <c r="D70" s="130" t="s">
        <v>183</v>
      </c>
      <c r="E70" s="130" t="s">
        <v>203</v>
      </c>
      <c r="F70" s="130" t="s">
        <v>185</v>
      </c>
      <c r="G70" s="130" t="s">
        <v>186</v>
      </c>
      <c r="H70" s="131">
        <v>44860</v>
      </c>
      <c r="I70" s="131">
        <v>46300</v>
      </c>
      <c r="J70" s="146">
        <v>1.6199999999999999E-2</v>
      </c>
      <c r="K70" s="133">
        <v>3.0944430377202377</v>
      </c>
      <c r="L70" s="134" t="s">
        <v>176</v>
      </c>
      <c r="M70" s="135">
        <v>267244497.63988069</v>
      </c>
    </row>
    <row r="71" spans="3:13" x14ac:dyDescent="0.35">
      <c r="C71" s="130" t="s">
        <v>205</v>
      </c>
      <c r="D71" s="130" t="s">
        <v>190</v>
      </c>
      <c r="E71" s="130" t="s">
        <v>191</v>
      </c>
      <c r="F71" s="130" t="s">
        <v>193</v>
      </c>
      <c r="G71" s="130" t="s">
        <v>175</v>
      </c>
      <c r="H71" s="131">
        <v>44862</v>
      </c>
      <c r="I71" s="131">
        <v>46675</v>
      </c>
      <c r="J71" s="147">
        <v>1.635E-2</v>
      </c>
      <c r="K71" s="133">
        <v>3.8890924002281384</v>
      </c>
      <c r="L71" s="134" t="s">
        <v>176</v>
      </c>
      <c r="M71" s="135">
        <v>213429045.52000001</v>
      </c>
    </row>
    <row r="72" spans="3:13" x14ac:dyDescent="0.35">
      <c r="C72" s="130" t="s">
        <v>205</v>
      </c>
      <c r="D72" s="130" t="s">
        <v>190</v>
      </c>
      <c r="E72" s="130" t="s">
        <v>191</v>
      </c>
      <c r="F72" s="130" t="s">
        <v>193</v>
      </c>
      <c r="G72" s="130" t="s">
        <v>175</v>
      </c>
      <c r="H72" s="131">
        <v>44862</v>
      </c>
      <c r="I72" s="131">
        <v>49232</v>
      </c>
      <c r="J72" s="146">
        <v>7.4000000000000003E-3</v>
      </c>
      <c r="K72" s="133">
        <v>8.9632615541277527</v>
      </c>
      <c r="L72" s="134" t="s">
        <v>192</v>
      </c>
      <c r="M72" s="135">
        <v>107745662.87199999</v>
      </c>
    </row>
    <row r="73" spans="3:13" x14ac:dyDescent="0.35">
      <c r="C73" s="130" t="s">
        <v>205</v>
      </c>
      <c r="D73" s="130" t="s">
        <v>187</v>
      </c>
      <c r="E73" s="130" t="s">
        <v>203</v>
      </c>
      <c r="F73" s="130" t="s">
        <v>193</v>
      </c>
      <c r="G73" s="130" t="s">
        <v>175</v>
      </c>
      <c r="H73" s="131">
        <v>44838</v>
      </c>
      <c r="I73" s="131">
        <v>46279</v>
      </c>
      <c r="J73" s="146">
        <v>1.6199999999999999E-2</v>
      </c>
      <c r="K73" s="133">
        <v>3.0444444444444443</v>
      </c>
      <c r="L73" s="134" t="s">
        <v>176</v>
      </c>
      <c r="M73" s="135">
        <v>50000000</v>
      </c>
    </row>
    <row r="74" spans="3:13" x14ac:dyDescent="0.35">
      <c r="C74" s="130" t="s">
        <v>205</v>
      </c>
      <c r="D74" s="130" t="s">
        <v>183</v>
      </c>
      <c r="E74" s="130" t="s">
        <v>206</v>
      </c>
      <c r="F74" s="130" t="s">
        <v>185</v>
      </c>
      <c r="G74" s="130" t="s">
        <v>175</v>
      </c>
      <c r="H74" s="131">
        <v>45175</v>
      </c>
      <c r="I74" s="131">
        <v>45905</v>
      </c>
      <c r="J74" s="146">
        <v>1.4999999999999999E-2</v>
      </c>
      <c r="K74" s="133">
        <v>2.0260716468500806</v>
      </c>
      <c r="L74" s="134" t="s">
        <v>176</v>
      </c>
      <c r="M74" s="135">
        <v>204503604.46769911</v>
      </c>
    </row>
    <row r="75" spans="3:13" x14ac:dyDescent="0.35">
      <c r="C75" s="130" t="s">
        <v>205</v>
      </c>
      <c r="D75" s="130" t="s">
        <v>194</v>
      </c>
      <c r="E75" s="130" t="s">
        <v>195</v>
      </c>
      <c r="F75" s="130" t="s">
        <v>174</v>
      </c>
      <c r="G75" s="130" t="s">
        <v>175</v>
      </c>
      <c r="H75" s="131">
        <v>43822</v>
      </c>
      <c r="I75" s="131">
        <v>51058</v>
      </c>
      <c r="J75" s="144">
        <v>0</v>
      </c>
      <c r="K75" s="133">
        <v>8.4981620872263495</v>
      </c>
      <c r="L75" s="134" t="s">
        <v>182</v>
      </c>
      <c r="M75" s="135">
        <v>-72296.080000000118</v>
      </c>
    </row>
    <row r="76" spans="3:13" x14ac:dyDescent="0.35">
      <c r="C76" s="130" t="s">
        <v>205</v>
      </c>
      <c r="D76" s="130" t="s">
        <v>196</v>
      </c>
      <c r="E76" s="130" t="s">
        <v>195</v>
      </c>
      <c r="F76" s="130" t="s">
        <v>174</v>
      </c>
      <c r="G76" s="130" t="s">
        <v>175</v>
      </c>
      <c r="H76" s="131">
        <v>44862</v>
      </c>
      <c r="I76" s="131">
        <v>49232</v>
      </c>
      <c r="J76" s="144">
        <v>0</v>
      </c>
      <c r="K76" s="133">
        <v>5.665851163154124</v>
      </c>
      <c r="L76" s="134" t="s">
        <v>182</v>
      </c>
      <c r="M76" s="135">
        <v>-3577906.8599999994</v>
      </c>
    </row>
    <row r="77" spans="3:13" x14ac:dyDescent="0.35">
      <c r="C77" s="130" t="s">
        <v>137</v>
      </c>
      <c r="D77" s="130" t="s">
        <v>190</v>
      </c>
      <c r="E77" s="130" t="s">
        <v>191</v>
      </c>
      <c r="F77" s="130" t="s">
        <v>193</v>
      </c>
      <c r="G77" s="130" t="s">
        <v>175</v>
      </c>
      <c r="H77" s="131">
        <v>43377</v>
      </c>
      <c r="I77" s="131">
        <v>45566</v>
      </c>
      <c r="J77" s="146">
        <v>1.2999999999999999E-2</v>
      </c>
      <c r="K77" s="133">
        <v>1.0354569090808581</v>
      </c>
      <c r="L77" s="134" t="s">
        <v>176</v>
      </c>
      <c r="M77" s="135">
        <v>480197346.75</v>
      </c>
    </row>
    <row r="78" spans="3:13" x14ac:dyDescent="0.35">
      <c r="C78" s="130" t="s">
        <v>137</v>
      </c>
      <c r="D78" s="130" t="s">
        <v>190</v>
      </c>
      <c r="E78" s="130" t="s">
        <v>191</v>
      </c>
      <c r="F78" s="130" t="s">
        <v>193</v>
      </c>
      <c r="G78" s="130" t="s">
        <v>175</v>
      </c>
      <c r="H78" s="131">
        <v>44545</v>
      </c>
      <c r="I78" s="131">
        <v>46371</v>
      </c>
      <c r="J78" s="146">
        <v>1.55E-2</v>
      </c>
      <c r="K78" s="133">
        <v>2.6890434893413033</v>
      </c>
      <c r="L78" s="134" t="s">
        <v>192</v>
      </c>
      <c r="M78" s="135">
        <v>1772661347.5700002</v>
      </c>
    </row>
    <row r="79" spans="3:13" x14ac:dyDescent="0.35">
      <c r="C79" s="130" t="s">
        <v>137</v>
      </c>
      <c r="D79" s="130" t="s">
        <v>190</v>
      </c>
      <c r="E79" s="130" t="s">
        <v>191</v>
      </c>
      <c r="F79" s="130" t="s">
        <v>193</v>
      </c>
      <c r="G79" s="130" t="s">
        <v>175</v>
      </c>
      <c r="H79" s="131">
        <v>44545</v>
      </c>
      <c r="I79" s="131">
        <v>47102</v>
      </c>
      <c r="J79" s="146">
        <v>1.7000000000000001E-2</v>
      </c>
      <c r="K79" s="133">
        <v>4.6331112223604984</v>
      </c>
      <c r="L79" s="134" t="s">
        <v>192</v>
      </c>
      <c r="M79" s="135">
        <v>312960040.78000003</v>
      </c>
    </row>
    <row r="80" spans="3:13" x14ac:dyDescent="0.35">
      <c r="C80" s="130" t="s">
        <v>137</v>
      </c>
      <c r="D80" s="130" t="s">
        <v>190</v>
      </c>
      <c r="E80" s="130" t="s">
        <v>191</v>
      </c>
      <c r="F80" s="130" t="s">
        <v>193</v>
      </c>
      <c r="G80" s="130" t="s">
        <v>175</v>
      </c>
      <c r="H80" s="131">
        <v>44616</v>
      </c>
      <c r="I80" s="131">
        <v>45712</v>
      </c>
      <c r="J80" s="146">
        <v>1.4E-2</v>
      </c>
      <c r="K80" s="133">
        <v>1.4224854002124225</v>
      </c>
      <c r="L80" s="134" t="s">
        <v>192</v>
      </c>
      <c r="M80" s="135">
        <v>2027244251.71</v>
      </c>
    </row>
    <row r="81" spans="3:13" x14ac:dyDescent="0.35">
      <c r="C81" s="130" t="s">
        <v>137</v>
      </c>
      <c r="D81" s="130" t="s">
        <v>196</v>
      </c>
      <c r="E81" s="130" t="s">
        <v>195</v>
      </c>
      <c r="F81" s="130" t="s">
        <v>174</v>
      </c>
      <c r="G81" s="130" t="s">
        <v>175</v>
      </c>
      <c r="H81" s="131">
        <v>44545</v>
      </c>
      <c r="I81" s="131">
        <v>46371</v>
      </c>
      <c r="J81" s="141">
        <v>0</v>
      </c>
      <c r="K81" s="133">
        <v>2.7067460585217811</v>
      </c>
      <c r="L81" s="134" t="s">
        <v>182</v>
      </c>
      <c r="M81" s="135">
        <v>-20578353.602102894</v>
      </c>
    </row>
    <row r="82" spans="3:13" x14ac:dyDescent="0.35">
      <c r="C82" s="130" t="s">
        <v>137</v>
      </c>
      <c r="D82" s="130" t="s">
        <v>196</v>
      </c>
      <c r="E82" s="130" t="s">
        <v>195</v>
      </c>
      <c r="F82" s="130" t="s">
        <v>174</v>
      </c>
      <c r="G82" s="130" t="s">
        <v>175</v>
      </c>
      <c r="H82" s="131">
        <v>43738</v>
      </c>
      <c r="I82" s="131">
        <v>45565</v>
      </c>
      <c r="J82" s="141">
        <v>0</v>
      </c>
      <c r="K82" s="133">
        <v>0.55071325443795005</v>
      </c>
      <c r="L82" s="134" t="s">
        <v>182</v>
      </c>
      <c r="M82" s="135">
        <v>-295867.76789706008</v>
      </c>
    </row>
    <row r="83" spans="3:13" x14ac:dyDescent="0.35">
      <c r="C83" s="130" t="s">
        <v>207</v>
      </c>
      <c r="D83" s="130" t="s">
        <v>190</v>
      </c>
      <c r="E83" s="130" t="s">
        <v>191</v>
      </c>
      <c r="F83" s="130" t="s">
        <v>110</v>
      </c>
      <c r="G83" s="130" t="s">
        <v>175</v>
      </c>
      <c r="H83" s="131">
        <v>43405</v>
      </c>
      <c r="I83" s="131">
        <v>45945</v>
      </c>
      <c r="J83" s="138">
        <v>5.4174E-2</v>
      </c>
      <c r="K83" s="133">
        <v>1.05207665071929</v>
      </c>
      <c r="L83" s="134" t="s">
        <v>192</v>
      </c>
      <c r="M83" s="135">
        <v>138109293.32000005</v>
      </c>
    </row>
    <row r="84" spans="3:13" x14ac:dyDescent="0.35">
      <c r="C84" s="130" t="s">
        <v>207</v>
      </c>
      <c r="D84" s="130" t="s">
        <v>190</v>
      </c>
      <c r="E84" s="130" t="s">
        <v>191</v>
      </c>
      <c r="F84" s="130" t="s">
        <v>193</v>
      </c>
      <c r="G84" s="130" t="s">
        <v>175</v>
      </c>
      <c r="H84" s="131">
        <v>43553</v>
      </c>
      <c r="I84" s="131">
        <v>45380</v>
      </c>
      <c r="J84" s="148">
        <v>1.0900000000000001</v>
      </c>
      <c r="K84" s="133">
        <v>0.59166666666666667</v>
      </c>
      <c r="L84" s="134" t="s">
        <v>176</v>
      </c>
      <c r="M84" s="135">
        <v>250000000</v>
      </c>
    </row>
    <row r="85" spans="3:13" x14ac:dyDescent="0.35">
      <c r="C85" s="130" t="s">
        <v>207</v>
      </c>
      <c r="D85" s="130" t="s">
        <v>190</v>
      </c>
      <c r="E85" s="130" t="s">
        <v>191</v>
      </c>
      <c r="F85" s="130" t="s">
        <v>193</v>
      </c>
      <c r="G85" s="130" t="s">
        <v>175</v>
      </c>
      <c r="H85" s="131">
        <v>43553</v>
      </c>
      <c r="I85" s="131">
        <v>46110</v>
      </c>
      <c r="J85" s="149">
        <v>1.0999999999999999E-2</v>
      </c>
      <c r="K85" s="133">
        <v>2.536111111111111</v>
      </c>
      <c r="L85" s="134" t="s">
        <v>176</v>
      </c>
      <c r="M85" s="135">
        <v>150000000</v>
      </c>
    </row>
    <row r="86" spans="3:13" x14ac:dyDescent="0.35">
      <c r="C86" s="130" t="s">
        <v>207</v>
      </c>
      <c r="D86" s="130" t="s">
        <v>196</v>
      </c>
      <c r="E86" s="130" t="s">
        <v>195</v>
      </c>
      <c r="F86" s="130" t="s">
        <v>174</v>
      </c>
      <c r="G86" s="130" t="s">
        <v>175</v>
      </c>
      <c r="H86" s="131">
        <v>43555</v>
      </c>
      <c r="I86" s="131">
        <v>45945</v>
      </c>
      <c r="J86" s="141">
        <v>0</v>
      </c>
      <c r="K86" s="133">
        <v>1.0771208017319926</v>
      </c>
      <c r="L86" s="134" t="s">
        <v>182</v>
      </c>
      <c r="M86" s="135">
        <v>-974550.32992129377</v>
      </c>
    </row>
    <row r="87" spans="3:13" x14ac:dyDescent="0.35">
      <c r="C87" s="130" t="s">
        <v>207</v>
      </c>
      <c r="D87" s="130" t="s">
        <v>196</v>
      </c>
      <c r="E87" s="130" t="s">
        <v>195</v>
      </c>
      <c r="F87" s="130" t="s">
        <v>174</v>
      </c>
      <c r="G87" s="130" t="s">
        <v>175</v>
      </c>
      <c r="H87" s="131">
        <v>43555</v>
      </c>
      <c r="I87" s="131">
        <v>46110</v>
      </c>
      <c r="J87" s="141">
        <v>0</v>
      </c>
      <c r="K87" s="133">
        <v>1.3078386469599637</v>
      </c>
      <c r="L87" s="134" t="s">
        <v>182</v>
      </c>
      <c r="M87" s="135">
        <v>-664587.62403182103</v>
      </c>
    </row>
    <row r="88" spans="3:13" x14ac:dyDescent="0.35">
      <c r="C88" s="130" t="s">
        <v>208</v>
      </c>
      <c r="D88" s="130" t="s">
        <v>190</v>
      </c>
      <c r="E88" s="130" t="s">
        <v>191</v>
      </c>
      <c r="F88" s="130" t="s">
        <v>110</v>
      </c>
      <c r="G88" s="130" t="s">
        <v>175</v>
      </c>
      <c r="H88" s="131">
        <v>44270</v>
      </c>
      <c r="I88" s="131">
        <v>49749</v>
      </c>
      <c r="J88" s="139">
        <v>4.9173000000000001E-2</v>
      </c>
      <c r="K88" s="133">
        <v>7.0895351795786459</v>
      </c>
      <c r="L88" s="134" t="s">
        <v>192</v>
      </c>
      <c r="M88" s="135">
        <v>948560987.13</v>
      </c>
    </row>
    <row r="89" spans="3:13" x14ac:dyDescent="0.35">
      <c r="C89" s="130" t="s">
        <v>208</v>
      </c>
      <c r="D89" s="130" t="s">
        <v>190</v>
      </c>
      <c r="E89" s="130" t="s">
        <v>191</v>
      </c>
      <c r="F89" s="130" t="s">
        <v>110</v>
      </c>
      <c r="G89" s="130" t="s">
        <v>175</v>
      </c>
      <c r="H89" s="131">
        <v>44497</v>
      </c>
      <c r="I89" s="131">
        <v>45611</v>
      </c>
      <c r="J89" s="138">
        <v>5.7678E-2</v>
      </c>
      <c r="K89" s="133">
        <v>0.65349154410794452</v>
      </c>
      <c r="L89" s="134" t="s">
        <v>192</v>
      </c>
      <c r="M89" s="135">
        <v>150202133.09929496</v>
      </c>
    </row>
    <row r="90" spans="3:13" x14ac:dyDescent="0.35">
      <c r="C90" s="130" t="s">
        <v>208</v>
      </c>
      <c r="D90" s="130" t="s">
        <v>183</v>
      </c>
      <c r="E90" s="130" t="s">
        <v>209</v>
      </c>
      <c r="F90" s="130" t="s">
        <v>185</v>
      </c>
      <c r="G90" s="130" t="s">
        <v>175</v>
      </c>
      <c r="H90" s="131">
        <v>45107</v>
      </c>
      <c r="I90" s="131">
        <v>45379</v>
      </c>
      <c r="J90" s="137">
        <v>1.4500000000000001E-2</v>
      </c>
      <c r="K90" s="133">
        <v>0.50328758246036565</v>
      </c>
      <c r="L90" s="134" t="s">
        <v>176</v>
      </c>
      <c r="M90" s="135">
        <v>212848963.02708307</v>
      </c>
    </row>
    <row r="91" spans="3:13" x14ac:dyDescent="0.35">
      <c r="C91" s="130" t="s">
        <v>208</v>
      </c>
      <c r="D91" s="130" t="s">
        <v>196</v>
      </c>
      <c r="E91" s="130" t="s">
        <v>195</v>
      </c>
      <c r="F91" s="130" t="s">
        <v>174</v>
      </c>
      <c r="G91" s="130" t="s">
        <v>175</v>
      </c>
      <c r="H91" s="131">
        <v>44270</v>
      </c>
      <c r="I91" s="131">
        <v>49749</v>
      </c>
      <c r="J91" s="141">
        <v>0</v>
      </c>
      <c r="K91" s="133">
        <v>6.3844443950211929</v>
      </c>
      <c r="L91" s="134" t="s">
        <v>182</v>
      </c>
      <c r="M91" s="135">
        <v>-24214843.310000006</v>
      </c>
    </row>
    <row r="92" spans="3:13" x14ac:dyDescent="0.35">
      <c r="C92" s="130" t="s">
        <v>208</v>
      </c>
      <c r="D92" s="130" t="s">
        <v>196</v>
      </c>
      <c r="E92" s="130" t="s">
        <v>195</v>
      </c>
      <c r="F92" s="130" t="s">
        <v>174</v>
      </c>
      <c r="G92" s="130" t="s">
        <v>175</v>
      </c>
      <c r="H92" s="131">
        <v>44497</v>
      </c>
      <c r="I92" s="131">
        <v>45611</v>
      </c>
      <c r="J92" s="141">
        <v>0</v>
      </c>
      <c r="K92" s="133">
        <v>0.61538569077781879</v>
      </c>
      <c r="L92" s="134" t="s">
        <v>182</v>
      </c>
      <c r="M92" s="135">
        <v>-1018446.8400000001</v>
      </c>
    </row>
    <row r="93" spans="3:13" x14ac:dyDescent="0.35">
      <c r="C93" s="130" t="s">
        <v>210</v>
      </c>
      <c r="D93" s="130" t="s">
        <v>187</v>
      </c>
      <c r="E93" s="130" t="s">
        <v>179</v>
      </c>
      <c r="F93" s="130" t="s">
        <v>110</v>
      </c>
      <c r="G93" s="130" t="s">
        <v>175</v>
      </c>
      <c r="H93" s="131">
        <v>43270</v>
      </c>
      <c r="I93" s="131">
        <v>50601</v>
      </c>
      <c r="J93" s="138">
        <v>2.0766E-2</v>
      </c>
      <c r="K93" s="133">
        <v>8.539992707421435</v>
      </c>
      <c r="L93" s="134" t="s">
        <v>182</v>
      </c>
      <c r="M93" s="135">
        <v>337112854.0673821</v>
      </c>
    </row>
    <row r="94" spans="3:13" x14ac:dyDescent="0.35">
      <c r="C94" s="130" t="s">
        <v>210</v>
      </c>
      <c r="D94" s="130" t="s">
        <v>190</v>
      </c>
      <c r="E94" s="130" t="s">
        <v>191</v>
      </c>
      <c r="F94" s="130" t="s">
        <v>110</v>
      </c>
      <c r="G94" s="130" t="s">
        <v>175</v>
      </c>
      <c r="H94" s="131">
        <v>43500</v>
      </c>
      <c r="I94" s="131">
        <v>48594</v>
      </c>
      <c r="J94" s="138">
        <v>4.8500000000000001E-2</v>
      </c>
      <c r="K94" s="133">
        <v>5.1170726566707039</v>
      </c>
      <c r="L94" s="134" t="s">
        <v>178</v>
      </c>
      <c r="M94" s="135">
        <v>70141753.959999993</v>
      </c>
    </row>
    <row r="95" spans="3:13" x14ac:dyDescent="0.35">
      <c r="C95" s="130" t="s">
        <v>210</v>
      </c>
      <c r="D95" s="130" t="s">
        <v>194</v>
      </c>
      <c r="E95" s="130" t="s">
        <v>195</v>
      </c>
      <c r="F95" s="130" t="s">
        <v>174</v>
      </c>
      <c r="G95" s="130" t="s">
        <v>175</v>
      </c>
      <c r="H95" s="131">
        <v>44196</v>
      </c>
      <c r="I95" s="131">
        <v>50601</v>
      </c>
      <c r="J95" s="141">
        <v>0</v>
      </c>
      <c r="K95" s="133">
        <v>7.5681669225207262</v>
      </c>
      <c r="L95" s="134" t="s">
        <v>182</v>
      </c>
      <c r="M95" s="135">
        <v>-1757526.2199999974</v>
      </c>
    </row>
    <row r="96" spans="3:13" x14ac:dyDescent="0.35">
      <c r="C96" s="130" t="s">
        <v>210</v>
      </c>
      <c r="D96" s="130" t="s">
        <v>196</v>
      </c>
      <c r="E96" s="130" t="s">
        <v>195</v>
      </c>
      <c r="F96" s="130" t="s">
        <v>174</v>
      </c>
      <c r="G96" s="130" t="s">
        <v>175</v>
      </c>
      <c r="H96" s="131">
        <v>43738</v>
      </c>
      <c r="I96" s="131">
        <v>48594</v>
      </c>
      <c r="J96" s="141">
        <v>0</v>
      </c>
      <c r="K96" s="133">
        <v>4.7604764958146308</v>
      </c>
      <c r="L96" s="134" t="s">
        <v>182</v>
      </c>
      <c r="M96" s="135">
        <v>-2186152.92</v>
      </c>
    </row>
    <row r="97" spans="3:13" x14ac:dyDescent="0.35">
      <c r="C97" s="130" t="s">
        <v>211</v>
      </c>
      <c r="D97" s="130" t="s">
        <v>187</v>
      </c>
      <c r="E97" s="130" t="s">
        <v>179</v>
      </c>
      <c r="F97" s="130" t="s">
        <v>110</v>
      </c>
      <c r="G97" s="130" t="s">
        <v>175</v>
      </c>
      <c r="H97" s="131">
        <v>43270</v>
      </c>
      <c r="I97" s="131">
        <v>50601</v>
      </c>
      <c r="J97" s="138">
        <v>2.0766E-2</v>
      </c>
      <c r="K97" s="133">
        <v>8.5032247813253381</v>
      </c>
      <c r="L97" s="134" t="s">
        <v>182</v>
      </c>
      <c r="M97" s="135">
        <v>343545372.50287479</v>
      </c>
    </row>
    <row r="98" spans="3:13" x14ac:dyDescent="0.35">
      <c r="C98" s="130" t="s">
        <v>211</v>
      </c>
      <c r="D98" s="130" t="s">
        <v>190</v>
      </c>
      <c r="E98" s="130" t="s">
        <v>191</v>
      </c>
      <c r="F98" s="130" t="s">
        <v>110</v>
      </c>
      <c r="G98" s="130" t="s">
        <v>175</v>
      </c>
      <c r="H98" s="131">
        <v>43500</v>
      </c>
      <c r="I98" s="131">
        <v>48594</v>
      </c>
      <c r="J98" s="138">
        <v>4.8500000000000001E-2</v>
      </c>
      <c r="K98" s="133">
        <v>5.0576110274804202</v>
      </c>
      <c r="L98" s="134" t="s">
        <v>178</v>
      </c>
      <c r="M98" s="135">
        <v>57990074.690000027</v>
      </c>
    </row>
    <row r="99" spans="3:13" x14ac:dyDescent="0.35">
      <c r="C99" s="130" t="s">
        <v>211</v>
      </c>
      <c r="D99" s="130" t="s">
        <v>196</v>
      </c>
      <c r="E99" s="130" t="s">
        <v>195</v>
      </c>
      <c r="F99" s="130" t="s">
        <v>174</v>
      </c>
      <c r="G99" s="130" t="s">
        <v>175</v>
      </c>
      <c r="H99" s="131">
        <v>43738</v>
      </c>
      <c r="I99" s="131">
        <v>48594</v>
      </c>
      <c r="J99" s="141">
        <v>0</v>
      </c>
      <c r="K99" s="133">
        <v>4.8024941165085488</v>
      </c>
      <c r="L99" s="134" t="s">
        <v>182</v>
      </c>
      <c r="M99" s="135">
        <v>-1820969.9199999997</v>
      </c>
    </row>
    <row r="100" spans="3:13" x14ac:dyDescent="0.35">
      <c r="C100" s="130" t="s">
        <v>211</v>
      </c>
      <c r="D100" s="130" t="s">
        <v>194</v>
      </c>
      <c r="E100" s="130" t="s">
        <v>195</v>
      </c>
      <c r="F100" s="130" t="s">
        <v>174</v>
      </c>
      <c r="G100" s="130" t="s">
        <v>175</v>
      </c>
      <c r="H100" s="131">
        <v>44053</v>
      </c>
      <c r="I100" s="131">
        <v>50601</v>
      </c>
      <c r="J100" s="141">
        <v>0</v>
      </c>
      <c r="K100" s="133">
        <v>7.5681678766515486</v>
      </c>
      <c r="L100" s="134" t="s">
        <v>182</v>
      </c>
      <c r="M100" s="135">
        <v>-1893125.1200000001</v>
      </c>
    </row>
    <row r="101" spans="3:13" x14ac:dyDescent="0.35">
      <c r="C101" s="130" t="s">
        <v>212</v>
      </c>
      <c r="D101" s="130" t="s">
        <v>187</v>
      </c>
      <c r="E101" s="130" t="s">
        <v>179</v>
      </c>
      <c r="F101" s="130" t="s">
        <v>110</v>
      </c>
      <c r="G101" s="130" t="s">
        <v>175</v>
      </c>
      <c r="H101" s="131">
        <v>43270</v>
      </c>
      <c r="I101" s="131">
        <v>50601</v>
      </c>
      <c r="J101" s="138">
        <v>2.0766E-2</v>
      </c>
      <c r="K101" s="133">
        <v>8.4292064083308613</v>
      </c>
      <c r="L101" s="134" t="s">
        <v>213</v>
      </c>
      <c r="M101" s="135">
        <v>415428048.55069661</v>
      </c>
    </row>
    <row r="102" spans="3:13" x14ac:dyDescent="0.35">
      <c r="C102" s="130" t="s">
        <v>212</v>
      </c>
      <c r="D102" s="130" t="s">
        <v>190</v>
      </c>
      <c r="E102" s="130" t="s">
        <v>191</v>
      </c>
      <c r="F102" s="130" t="s">
        <v>110</v>
      </c>
      <c r="G102" s="130" t="s">
        <v>175</v>
      </c>
      <c r="H102" s="131">
        <v>43500</v>
      </c>
      <c r="I102" s="131">
        <v>48594</v>
      </c>
      <c r="J102" s="138">
        <v>4.8000000000000001E-2</v>
      </c>
      <c r="K102" s="133">
        <v>5.198109669692955</v>
      </c>
      <c r="L102" s="134" t="s">
        <v>214</v>
      </c>
      <c r="M102" s="135">
        <v>56567503.980000064</v>
      </c>
    </row>
    <row r="103" spans="3:13" x14ac:dyDescent="0.35">
      <c r="C103" s="130" t="s">
        <v>212</v>
      </c>
      <c r="D103" s="130" t="s">
        <v>190</v>
      </c>
      <c r="E103" s="130" t="s">
        <v>191</v>
      </c>
      <c r="F103" s="130" t="s">
        <v>110</v>
      </c>
      <c r="G103" s="130" t="s">
        <v>175</v>
      </c>
      <c r="H103" s="131">
        <v>43500</v>
      </c>
      <c r="I103" s="131">
        <v>48959</v>
      </c>
      <c r="J103" s="138">
        <v>4.65E-2</v>
      </c>
      <c r="K103" s="133">
        <v>5.2266251742635479</v>
      </c>
      <c r="L103" s="134" t="s">
        <v>214</v>
      </c>
      <c r="M103" s="135">
        <v>56161631.930000007</v>
      </c>
    </row>
    <row r="104" spans="3:13" x14ac:dyDescent="0.35">
      <c r="C104" s="130" t="s">
        <v>212</v>
      </c>
      <c r="D104" s="130" t="s">
        <v>194</v>
      </c>
      <c r="E104" s="130" t="s">
        <v>195</v>
      </c>
      <c r="F104" s="130" t="s">
        <v>174</v>
      </c>
      <c r="G104" s="130" t="s">
        <v>175</v>
      </c>
      <c r="H104" s="131">
        <v>44196</v>
      </c>
      <c r="I104" s="131">
        <v>50601</v>
      </c>
      <c r="J104" s="141">
        <v>0</v>
      </c>
      <c r="K104" s="133">
        <v>7.5681648648257278</v>
      </c>
      <c r="L104" s="134" t="s">
        <v>182</v>
      </c>
      <c r="M104" s="135">
        <v>-2112961.4799999995</v>
      </c>
    </row>
    <row r="105" spans="3:13" x14ac:dyDescent="0.35">
      <c r="C105" s="130" t="s">
        <v>212</v>
      </c>
      <c r="D105" s="130" t="s">
        <v>196</v>
      </c>
      <c r="E105" s="130" t="s">
        <v>195</v>
      </c>
      <c r="F105" s="130" t="s">
        <v>174</v>
      </c>
      <c r="G105" s="130" t="s">
        <v>175</v>
      </c>
      <c r="H105" s="131">
        <v>43500</v>
      </c>
      <c r="I105" s="131">
        <v>48959</v>
      </c>
      <c r="J105" s="141">
        <v>0</v>
      </c>
      <c r="K105" s="133">
        <v>5.2866999043935312</v>
      </c>
      <c r="L105" s="134" t="s">
        <v>182</v>
      </c>
      <c r="M105" s="135">
        <v>-3795872.4854962998</v>
      </c>
    </row>
    <row r="106" spans="3:13" x14ac:dyDescent="0.35">
      <c r="C106" s="130" t="s">
        <v>215</v>
      </c>
      <c r="D106" s="130" t="s">
        <v>187</v>
      </c>
      <c r="E106" s="130" t="s">
        <v>189</v>
      </c>
      <c r="F106" s="130" t="s">
        <v>110</v>
      </c>
      <c r="G106" s="130" t="s">
        <v>175</v>
      </c>
      <c r="H106" s="131">
        <v>43595</v>
      </c>
      <c r="I106" s="131">
        <v>52215</v>
      </c>
      <c r="J106" s="138">
        <v>5.3199999999999997E-2</v>
      </c>
      <c r="K106" s="133">
        <v>9.786696373002794</v>
      </c>
      <c r="L106" s="134" t="s">
        <v>182</v>
      </c>
      <c r="M106" s="135">
        <v>570474012.13253355</v>
      </c>
    </row>
    <row r="107" spans="3:13" x14ac:dyDescent="0.35">
      <c r="C107" s="130" t="s">
        <v>215</v>
      </c>
      <c r="D107" s="130" t="s">
        <v>187</v>
      </c>
      <c r="E107" s="130" t="s">
        <v>189</v>
      </c>
      <c r="F107" s="130" t="s">
        <v>110</v>
      </c>
      <c r="G107" s="130" t="s">
        <v>175</v>
      </c>
      <c r="H107" s="131">
        <v>43595</v>
      </c>
      <c r="I107" s="131">
        <v>52215</v>
      </c>
      <c r="J107" s="138">
        <v>5.3199999999999997E-2</v>
      </c>
      <c r="K107" s="133">
        <v>11.383258932564281</v>
      </c>
      <c r="L107" s="134" t="s">
        <v>182</v>
      </c>
      <c r="M107" s="135">
        <v>585019958.88929892</v>
      </c>
    </row>
    <row r="108" spans="3:13" x14ac:dyDescent="0.35">
      <c r="C108" s="130" t="s">
        <v>215</v>
      </c>
      <c r="D108" s="130" t="s">
        <v>194</v>
      </c>
      <c r="E108" s="130" t="s">
        <v>195</v>
      </c>
      <c r="F108" s="130" t="s">
        <v>174</v>
      </c>
      <c r="G108" s="130" t="s">
        <v>175</v>
      </c>
      <c r="H108" s="131">
        <v>44196</v>
      </c>
      <c r="I108" s="131">
        <v>52215</v>
      </c>
      <c r="J108" s="141">
        <v>0</v>
      </c>
      <c r="K108" s="133">
        <v>9.8087059205297926</v>
      </c>
      <c r="L108" s="134" t="s">
        <v>182</v>
      </c>
      <c r="M108" s="135">
        <v>-1940935.199999999</v>
      </c>
    </row>
    <row r="109" spans="3:13" x14ac:dyDescent="0.35">
      <c r="C109" s="130" t="s">
        <v>216</v>
      </c>
      <c r="D109" s="130" t="s">
        <v>187</v>
      </c>
      <c r="E109" s="130" t="s">
        <v>179</v>
      </c>
      <c r="F109" s="130" t="s">
        <v>110</v>
      </c>
      <c r="G109" s="130" t="s">
        <v>175</v>
      </c>
      <c r="H109" s="131">
        <v>43518</v>
      </c>
      <c r="I109" s="131">
        <v>50785</v>
      </c>
      <c r="J109" s="138">
        <v>2.5707000000000001E-2</v>
      </c>
      <c r="K109" s="133">
        <v>9.0859401469547567</v>
      </c>
      <c r="L109" s="134" t="s">
        <v>182</v>
      </c>
      <c r="M109" s="135">
        <v>339302566.80942589</v>
      </c>
    </row>
    <row r="110" spans="3:13" x14ac:dyDescent="0.35">
      <c r="C110" s="130" t="s">
        <v>216</v>
      </c>
      <c r="D110" s="130" t="s">
        <v>190</v>
      </c>
      <c r="E110" s="130" t="s">
        <v>191</v>
      </c>
      <c r="F110" s="130" t="s">
        <v>110</v>
      </c>
      <c r="G110" s="130" t="s">
        <v>175</v>
      </c>
      <c r="H110" s="131">
        <v>43608</v>
      </c>
      <c r="I110" s="131">
        <v>50875</v>
      </c>
      <c r="J110" s="138">
        <v>4.8500000000000001E-2</v>
      </c>
      <c r="K110" s="133">
        <v>10.519279550005781</v>
      </c>
      <c r="L110" s="134" t="s">
        <v>178</v>
      </c>
      <c r="M110" s="135">
        <v>86416872.39000003</v>
      </c>
    </row>
    <row r="111" spans="3:13" x14ac:dyDescent="0.35">
      <c r="C111" s="130" t="s">
        <v>216</v>
      </c>
      <c r="D111" s="130" t="s">
        <v>194</v>
      </c>
      <c r="E111" s="130" t="s">
        <v>195</v>
      </c>
      <c r="F111" s="130" t="s">
        <v>174</v>
      </c>
      <c r="G111" s="130" t="s">
        <v>175</v>
      </c>
      <c r="H111" s="131">
        <v>44196</v>
      </c>
      <c r="I111" s="131">
        <v>50785</v>
      </c>
      <c r="J111" s="141">
        <v>0</v>
      </c>
      <c r="K111" s="133">
        <v>7.8218412124313748</v>
      </c>
      <c r="L111" s="134" t="s">
        <v>182</v>
      </c>
      <c r="M111" s="135">
        <v>-1830208.5099999998</v>
      </c>
    </row>
    <row r="112" spans="3:13" x14ac:dyDescent="0.35">
      <c r="C112" s="130" t="s">
        <v>216</v>
      </c>
      <c r="D112" s="130" t="s">
        <v>196</v>
      </c>
      <c r="E112" s="130" t="s">
        <v>195</v>
      </c>
      <c r="F112" s="130" t="s">
        <v>174</v>
      </c>
      <c r="G112" s="130" t="s">
        <v>175</v>
      </c>
      <c r="H112" s="131">
        <v>43738</v>
      </c>
      <c r="I112" s="131">
        <v>50875</v>
      </c>
      <c r="J112" s="141">
        <v>0</v>
      </c>
      <c r="K112" s="133">
        <v>7.9256813031009896</v>
      </c>
      <c r="L112" s="134" t="s">
        <v>182</v>
      </c>
      <c r="M112" s="135">
        <v>-3058339.3100000005</v>
      </c>
    </row>
    <row r="113" spans="3:13" x14ac:dyDescent="0.35">
      <c r="C113" s="130" t="s">
        <v>217</v>
      </c>
      <c r="D113" s="130" t="s">
        <v>187</v>
      </c>
      <c r="E113" s="130" t="s">
        <v>189</v>
      </c>
      <c r="F113" s="130" t="s">
        <v>110</v>
      </c>
      <c r="G113" s="130" t="s">
        <v>175</v>
      </c>
      <c r="H113" s="131">
        <v>43600</v>
      </c>
      <c r="I113" s="131">
        <v>52215</v>
      </c>
      <c r="J113" s="138">
        <v>4.9285900000000001E-2</v>
      </c>
      <c r="K113" s="133">
        <v>9.7883281243825984</v>
      </c>
      <c r="L113" s="134" t="s">
        <v>182</v>
      </c>
      <c r="M113" s="135">
        <v>277987735.07725221</v>
      </c>
    </row>
    <row r="114" spans="3:13" x14ac:dyDescent="0.35">
      <c r="C114" s="130" t="s">
        <v>217</v>
      </c>
      <c r="D114" s="130" t="s">
        <v>187</v>
      </c>
      <c r="E114" s="130" t="s">
        <v>189</v>
      </c>
      <c r="F114" s="130" t="s">
        <v>110</v>
      </c>
      <c r="G114" s="130"/>
      <c r="H114" s="131">
        <v>44813</v>
      </c>
      <c r="I114" s="131">
        <v>52215</v>
      </c>
      <c r="J114" s="138">
        <v>4.9285900000000001E-2</v>
      </c>
      <c r="K114" s="133">
        <v>9.9793669069733983</v>
      </c>
      <c r="L114" s="134" t="s">
        <v>182</v>
      </c>
      <c r="M114" s="135">
        <v>2424622.2242619698</v>
      </c>
    </row>
    <row r="115" spans="3:13" x14ac:dyDescent="0.35">
      <c r="C115" s="130" t="s">
        <v>217</v>
      </c>
      <c r="D115" s="130" t="s">
        <v>187</v>
      </c>
      <c r="E115" s="130" t="s">
        <v>189</v>
      </c>
      <c r="F115" s="130" t="s">
        <v>110</v>
      </c>
      <c r="G115" s="130" t="s">
        <v>175</v>
      </c>
      <c r="H115" s="131">
        <v>43600</v>
      </c>
      <c r="I115" s="131">
        <v>52215</v>
      </c>
      <c r="J115" s="138">
        <v>4.9285900000000001E-2</v>
      </c>
      <c r="K115" s="133">
        <v>11.271350553379408</v>
      </c>
      <c r="L115" s="134" t="s">
        <v>182</v>
      </c>
      <c r="M115" s="135">
        <v>284645863.81472945</v>
      </c>
    </row>
    <row r="116" spans="3:13" x14ac:dyDescent="0.35">
      <c r="C116" s="130" t="s">
        <v>217</v>
      </c>
      <c r="D116" s="130" t="s">
        <v>187</v>
      </c>
      <c r="E116" s="130" t="s">
        <v>189</v>
      </c>
      <c r="F116" s="130" t="s">
        <v>110</v>
      </c>
      <c r="G116" s="130"/>
      <c r="H116" s="131">
        <v>44813</v>
      </c>
      <c r="I116" s="131">
        <v>52215</v>
      </c>
      <c r="J116" s="138">
        <v>4.9285900000000001E-2</v>
      </c>
      <c r="K116" s="133">
        <v>11.27135043986695</v>
      </c>
      <c r="L116" s="134" t="s">
        <v>182</v>
      </c>
      <c r="M116" s="135">
        <v>2474356.1955436645</v>
      </c>
    </row>
    <row r="117" spans="3:13" x14ac:dyDescent="0.35">
      <c r="C117" s="130" t="s">
        <v>217</v>
      </c>
      <c r="D117" s="130" t="s">
        <v>194</v>
      </c>
      <c r="E117" s="130" t="s">
        <v>195</v>
      </c>
      <c r="F117" s="130" t="s">
        <v>174</v>
      </c>
      <c r="G117" s="130" t="s">
        <v>175</v>
      </c>
      <c r="H117" s="131">
        <v>44196</v>
      </c>
      <c r="I117" s="131">
        <v>52215</v>
      </c>
      <c r="J117" s="141">
        <v>0</v>
      </c>
      <c r="K117" s="133">
        <v>9.8087124077110275</v>
      </c>
      <c r="L117" s="134" t="s">
        <v>182</v>
      </c>
      <c r="M117" s="135">
        <v>-1157876.7000000004</v>
      </c>
    </row>
    <row r="118" spans="3:13" x14ac:dyDescent="0.35">
      <c r="C118" s="130" t="s">
        <v>218</v>
      </c>
      <c r="D118" s="130" t="s">
        <v>190</v>
      </c>
      <c r="E118" s="130" t="s">
        <v>191</v>
      </c>
      <c r="F118" s="130" t="s">
        <v>110</v>
      </c>
      <c r="G118" s="130" t="s">
        <v>175</v>
      </c>
      <c r="H118" s="131">
        <v>43608</v>
      </c>
      <c r="I118" s="131">
        <v>50875</v>
      </c>
      <c r="J118" s="138">
        <v>4.8500000000000001E-2</v>
      </c>
      <c r="K118" s="133">
        <v>10.5315054273289</v>
      </c>
      <c r="L118" s="134" t="s">
        <v>178</v>
      </c>
      <c r="M118" s="135">
        <v>170215052.0343</v>
      </c>
    </row>
    <row r="119" spans="3:13" x14ac:dyDescent="0.35">
      <c r="C119" s="130" t="s">
        <v>218</v>
      </c>
      <c r="D119" s="130" t="s">
        <v>187</v>
      </c>
      <c r="E119" s="130" t="s">
        <v>180</v>
      </c>
      <c r="F119" s="130" t="s">
        <v>110</v>
      </c>
      <c r="G119" s="130" t="s">
        <v>175</v>
      </c>
      <c r="H119" s="131">
        <v>43776</v>
      </c>
      <c r="I119" s="131">
        <v>50708</v>
      </c>
      <c r="J119" s="150">
        <v>1.619E-2</v>
      </c>
      <c r="K119" s="133">
        <v>7.627079898077298</v>
      </c>
      <c r="L119" s="134" t="s">
        <v>178</v>
      </c>
      <c r="M119" s="135">
        <v>262738279.44523197</v>
      </c>
    </row>
    <row r="120" spans="3:13" x14ac:dyDescent="0.35">
      <c r="C120" s="130" t="s">
        <v>218</v>
      </c>
      <c r="D120" s="130" t="s">
        <v>194</v>
      </c>
      <c r="E120" s="130" t="s">
        <v>195</v>
      </c>
      <c r="F120" s="130" t="s">
        <v>174</v>
      </c>
      <c r="G120" s="130" t="s">
        <v>175</v>
      </c>
      <c r="H120" s="131">
        <v>44196</v>
      </c>
      <c r="I120" s="131">
        <v>50708</v>
      </c>
      <c r="J120" s="141">
        <v>0</v>
      </c>
      <c r="K120" s="133">
        <v>7.6949960004711508</v>
      </c>
      <c r="L120" s="134" t="s">
        <v>182</v>
      </c>
      <c r="M120" s="135">
        <v>-2209133.6900000009</v>
      </c>
    </row>
    <row r="121" spans="3:13" x14ac:dyDescent="0.35">
      <c r="C121" s="130" t="s">
        <v>218</v>
      </c>
      <c r="D121" s="130" t="s">
        <v>196</v>
      </c>
      <c r="E121" s="130" t="s">
        <v>195</v>
      </c>
      <c r="F121" s="130" t="s">
        <v>174</v>
      </c>
      <c r="G121" s="130" t="s">
        <v>175</v>
      </c>
      <c r="H121" s="131">
        <v>43738</v>
      </c>
      <c r="I121" s="131">
        <v>50875</v>
      </c>
      <c r="J121" s="141">
        <v>0</v>
      </c>
      <c r="K121" s="133">
        <v>7.925689928529108</v>
      </c>
      <c r="L121" s="134" t="s">
        <v>182</v>
      </c>
      <c r="M121" s="135">
        <v>-988431.68999999971</v>
      </c>
    </row>
    <row r="122" spans="3:13" x14ac:dyDescent="0.35">
      <c r="C122" s="130" t="s">
        <v>219</v>
      </c>
      <c r="D122" s="130" t="s">
        <v>187</v>
      </c>
      <c r="E122" s="130" t="s">
        <v>180</v>
      </c>
      <c r="F122" s="130" t="s">
        <v>110</v>
      </c>
      <c r="G122" s="130" t="s">
        <v>175</v>
      </c>
      <c r="H122" s="131">
        <v>43776</v>
      </c>
      <c r="I122" s="131">
        <v>50708</v>
      </c>
      <c r="J122" s="138">
        <v>1.619E-2</v>
      </c>
      <c r="K122" s="133">
        <v>7.627078269961344</v>
      </c>
      <c r="L122" s="134" t="s">
        <v>178</v>
      </c>
      <c r="M122" s="135">
        <v>448834621.32925445</v>
      </c>
    </row>
    <row r="123" spans="3:13" x14ac:dyDescent="0.35">
      <c r="C123" s="130" t="s">
        <v>219</v>
      </c>
      <c r="D123" s="130" t="s">
        <v>190</v>
      </c>
      <c r="E123" s="130" t="s">
        <v>191</v>
      </c>
      <c r="F123" s="130" t="s">
        <v>110</v>
      </c>
      <c r="G123" s="130" t="s">
        <v>175</v>
      </c>
      <c r="H123" s="131">
        <v>43608</v>
      </c>
      <c r="I123" s="131">
        <v>50875</v>
      </c>
      <c r="J123" s="138">
        <v>4.8500000000000001E-2</v>
      </c>
      <c r="K123" s="133">
        <v>10.521153925845566</v>
      </c>
      <c r="L123" s="134" t="s">
        <v>178</v>
      </c>
      <c r="M123" s="135">
        <v>133553348.51921996</v>
      </c>
    </row>
    <row r="124" spans="3:13" x14ac:dyDescent="0.35">
      <c r="C124" s="130" t="s">
        <v>219</v>
      </c>
      <c r="D124" s="130" t="s">
        <v>190</v>
      </c>
      <c r="E124" s="130" t="s">
        <v>191</v>
      </c>
      <c r="F124" s="130" t="s">
        <v>110</v>
      </c>
      <c r="G124" s="130" t="s">
        <v>175</v>
      </c>
      <c r="H124" s="131">
        <v>43608</v>
      </c>
      <c r="I124" s="131">
        <v>50875</v>
      </c>
      <c r="J124" s="138">
        <v>4.8500000000000001E-2</v>
      </c>
      <c r="K124" s="133">
        <v>10.531505423977755</v>
      </c>
      <c r="L124" s="134" t="s">
        <v>178</v>
      </c>
      <c r="M124" s="135">
        <v>113913150.20757</v>
      </c>
    </row>
    <row r="125" spans="3:13" x14ac:dyDescent="0.35">
      <c r="C125" s="130" t="s">
        <v>219</v>
      </c>
      <c r="D125" s="130" t="s">
        <v>196</v>
      </c>
      <c r="E125" s="130" t="s">
        <v>195</v>
      </c>
      <c r="F125" s="130" t="s">
        <v>174</v>
      </c>
      <c r="G125" s="130" t="s">
        <v>175</v>
      </c>
      <c r="H125" s="131">
        <v>43646</v>
      </c>
      <c r="I125" s="131">
        <v>50875</v>
      </c>
      <c r="J125" s="151">
        <v>0</v>
      </c>
      <c r="K125" s="133">
        <v>7.9254187884617648</v>
      </c>
      <c r="L125" s="134" t="s">
        <v>182</v>
      </c>
      <c r="M125" s="135">
        <v>-8230924.6600000001</v>
      </c>
    </row>
    <row r="126" spans="3:13" x14ac:dyDescent="0.35">
      <c r="C126" s="130" t="s">
        <v>219</v>
      </c>
      <c r="D126" s="130" t="s">
        <v>194</v>
      </c>
      <c r="E126" s="130" t="s">
        <v>195</v>
      </c>
      <c r="F126" s="130" t="s">
        <v>174</v>
      </c>
      <c r="G126" s="130" t="s">
        <v>175</v>
      </c>
      <c r="H126" s="131">
        <v>44196</v>
      </c>
      <c r="I126" s="131">
        <v>50708</v>
      </c>
      <c r="J126" s="151">
        <v>0</v>
      </c>
      <c r="K126" s="133">
        <v>7.6949986590464805</v>
      </c>
      <c r="L126" s="134" t="s">
        <v>182</v>
      </c>
      <c r="M126" s="135">
        <v>-3082242.4600000004</v>
      </c>
    </row>
    <row r="127" spans="3:13" x14ac:dyDescent="0.35">
      <c r="C127" s="130" t="s">
        <v>5</v>
      </c>
      <c r="D127" s="130" t="s">
        <v>183</v>
      </c>
      <c r="E127" s="130" t="s">
        <v>220</v>
      </c>
      <c r="F127" s="130" t="s">
        <v>185</v>
      </c>
      <c r="G127" s="130" t="s">
        <v>186</v>
      </c>
      <c r="H127" s="131">
        <v>44421</v>
      </c>
      <c r="I127" s="131">
        <v>45517</v>
      </c>
      <c r="J127" s="140">
        <v>1.4500000000000001E-2</v>
      </c>
      <c r="K127" s="133">
        <v>0.93190427264261311</v>
      </c>
      <c r="L127" s="134" t="s">
        <v>176</v>
      </c>
      <c r="M127" s="135">
        <v>242648721.03458115</v>
      </c>
    </row>
    <row r="128" spans="3:13" x14ac:dyDescent="0.35">
      <c r="C128" s="130" t="s">
        <v>5</v>
      </c>
      <c r="D128" s="130" t="s">
        <v>183</v>
      </c>
      <c r="E128" s="130" t="s">
        <v>221</v>
      </c>
      <c r="F128" s="130" t="s">
        <v>185</v>
      </c>
      <c r="G128" s="130" t="s">
        <v>186</v>
      </c>
      <c r="H128" s="131">
        <v>45107</v>
      </c>
      <c r="I128" s="131">
        <v>46414</v>
      </c>
      <c r="J128" s="140">
        <v>1.8499999999999999E-2</v>
      </c>
      <c r="K128" s="133">
        <v>3.2698812681703404</v>
      </c>
      <c r="L128" s="134" t="s">
        <v>222</v>
      </c>
      <c r="M128" s="135">
        <v>617403393.28389072</v>
      </c>
    </row>
    <row r="129" spans="3:13" x14ac:dyDescent="0.35">
      <c r="C129" s="130" t="s">
        <v>5</v>
      </c>
      <c r="D129" s="130" t="s">
        <v>183</v>
      </c>
      <c r="E129" s="130" t="s">
        <v>206</v>
      </c>
      <c r="F129" s="130" t="s">
        <v>185</v>
      </c>
      <c r="G129" s="130" t="s">
        <v>186</v>
      </c>
      <c r="H129" s="131">
        <v>45113</v>
      </c>
      <c r="I129" s="131">
        <v>46416</v>
      </c>
      <c r="J129" s="140">
        <v>1.8474999999999998E-2</v>
      </c>
      <c r="K129" s="133">
        <v>3.3460604948119603</v>
      </c>
      <c r="L129" s="134" t="s">
        <v>176</v>
      </c>
      <c r="M129" s="135">
        <v>242466474.64653334</v>
      </c>
    </row>
    <row r="130" spans="3:13" x14ac:dyDescent="0.35">
      <c r="C130" s="130" t="s">
        <v>5</v>
      </c>
      <c r="D130" s="130" t="s">
        <v>187</v>
      </c>
      <c r="E130" s="130" t="s">
        <v>223</v>
      </c>
      <c r="F130" s="130" t="s">
        <v>193</v>
      </c>
      <c r="G130" s="130" t="s">
        <v>175</v>
      </c>
      <c r="H130" s="131">
        <v>44433</v>
      </c>
      <c r="I130" s="131">
        <v>45529</v>
      </c>
      <c r="J130" s="140">
        <v>1.4E-2</v>
      </c>
      <c r="K130" s="133">
        <v>0.93333333333333335</v>
      </c>
      <c r="L130" s="134" t="s">
        <v>176</v>
      </c>
      <c r="M130" s="135">
        <v>650933164.32215595</v>
      </c>
    </row>
    <row r="131" spans="3:13" x14ac:dyDescent="0.35">
      <c r="C131" s="130" t="s">
        <v>5</v>
      </c>
      <c r="D131" s="130" t="s">
        <v>187</v>
      </c>
      <c r="E131" s="130" t="s">
        <v>224</v>
      </c>
      <c r="F131" s="130" t="s">
        <v>193</v>
      </c>
      <c r="G131" s="130" t="s">
        <v>175</v>
      </c>
      <c r="H131" s="131">
        <v>44851</v>
      </c>
      <c r="I131" s="131">
        <v>46674</v>
      </c>
      <c r="J131" s="140">
        <v>1.4E-2</v>
      </c>
      <c r="K131" s="133">
        <v>3.8909703215362645</v>
      </c>
      <c r="L131" s="134" t="s">
        <v>176</v>
      </c>
      <c r="M131" s="135">
        <v>426647411.52194744</v>
      </c>
    </row>
    <row r="132" spans="3:13" x14ac:dyDescent="0.35">
      <c r="C132" s="130" t="s">
        <v>5</v>
      </c>
      <c r="D132" s="130" t="s">
        <v>187</v>
      </c>
      <c r="E132" s="130" t="s">
        <v>189</v>
      </c>
      <c r="F132" s="130" t="s">
        <v>110</v>
      </c>
      <c r="G132" s="130" t="s">
        <v>175</v>
      </c>
      <c r="H132" s="131">
        <v>45196</v>
      </c>
      <c r="I132" s="131">
        <v>50024</v>
      </c>
      <c r="J132" s="142">
        <v>7.376692E-2</v>
      </c>
      <c r="K132" s="133">
        <v>6.8860273200486217</v>
      </c>
      <c r="L132" s="134" t="s">
        <v>200</v>
      </c>
      <c r="M132" s="135">
        <v>200215500.89574879</v>
      </c>
    </row>
    <row r="133" spans="3:13" x14ac:dyDescent="0.35">
      <c r="C133" s="130" t="s">
        <v>5</v>
      </c>
      <c r="D133" s="130" t="s">
        <v>190</v>
      </c>
      <c r="E133" s="130" t="s">
        <v>191</v>
      </c>
      <c r="F133" s="130" t="s">
        <v>193</v>
      </c>
      <c r="G133" s="130" t="s">
        <v>175</v>
      </c>
      <c r="H133" s="131">
        <v>44427</v>
      </c>
      <c r="I133" s="131">
        <v>46249</v>
      </c>
      <c r="J133" s="140">
        <v>1.4500000000000001E-2</v>
      </c>
      <c r="K133" s="133">
        <v>1.9209008294696104</v>
      </c>
      <c r="L133" s="134" t="s">
        <v>192</v>
      </c>
      <c r="M133" s="135">
        <v>915806760.27722406</v>
      </c>
    </row>
    <row r="134" spans="3:13" x14ac:dyDescent="0.35">
      <c r="C134" s="130" t="s">
        <v>5</v>
      </c>
      <c r="D134" s="130" t="s">
        <v>190</v>
      </c>
      <c r="E134" s="130" t="s">
        <v>191</v>
      </c>
      <c r="F134" s="130" t="s">
        <v>110</v>
      </c>
      <c r="G134" s="130" t="s">
        <v>175</v>
      </c>
      <c r="H134" s="131">
        <v>44427</v>
      </c>
      <c r="I134" s="131">
        <v>47376</v>
      </c>
      <c r="J134" s="138">
        <v>5.4399999999999997E-2</v>
      </c>
      <c r="K134" s="133">
        <v>5.4645734550204201</v>
      </c>
      <c r="L134" s="134" t="s">
        <v>192</v>
      </c>
      <c r="M134" s="135">
        <v>345902885.28336442</v>
      </c>
    </row>
    <row r="135" spans="3:13" x14ac:dyDescent="0.35">
      <c r="C135" s="130" t="s">
        <v>5</v>
      </c>
      <c r="D135" s="130" t="s">
        <v>190</v>
      </c>
      <c r="E135" s="130" t="s">
        <v>191</v>
      </c>
      <c r="F135" s="130" t="s">
        <v>193</v>
      </c>
      <c r="G135" s="130" t="s">
        <v>175</v>
      </c>
      <c r="H135" s="131">
        <v>44918</v>
      </c>
      <c r="I135" s="131">
        <v>47467</v>
      </c>
      <c r="J135" s="140">
        <v>1.0800000000000001E-2</v>
      </c>
      <c r="K135" s="133">
        <v>6.220577526325239</v>
      </c>
      <c r="L135" s="134" t="s">
        <v>176</v>
      </c>
      <c r="M135" s="135">
        <v>264928115.51009876</v>
      </c>
    </row>
    <row r="136" spans="3:13" x14ac:dyDescent="0.35">
      <c r="C136" s="130" t="s">
        <v>5</v>
      </c>
      <c r="D136" s="130" t="s">
        <v>190</v>
      </c>
      <c r="E136" s="130" t="s">
        <v>191</v>
      </c>
      <c r="F136" s="130" t="s">
        <v>110</v>
      </c>
      <c r="G136" s="130" t="s">
        <v>175</v>
      </c>
      <c r="H136" s="131">
        <v>45147</v>
      </c>
      <c r="I136" s="131">
        <v>47679</v>
      </c>
      <c r="J136" s="138">
        <v>6.5000000000000002E-2</v>
      </c>
      <c r="K136" s="133">
        <v>6.3718937920065706</v>
      </c>
      <c r="L136" s="134" t="s">
        <v>225</v>
      </c>
      <c r="M136" s="135">
        <v>182295411.24059662</v>
      </c>
    </row>
    <row r="137" spans="3:13" x14ac:dyDescent="0.35">
      <c r="C137" s="130" t="s">
        <v>5</v>
      </c>
      <c r="D137" s="130" t="s">
        <v>196</v>
      </c>
      <c r="E137" s="130" t="s">
        <v>195</v>
      </c>
      <c r="F137" s="130" t="s">
        <v>174</v>
      </c>
      <c r="G137" s="130" t="s">
        <v>175</v>
      </c>
      <c r="H137" s="131">
        <v>44427</v>
      </c>
      <c r="I137" s="131">
        <v>46249</v>
      </c>
      <c r="J137" s="141">
        <v>0</v>
      </c>
      <c r="K137" s="133">
        <v>3.0449139280125865</v>
      </c>
      <c r="L137" s="134" t="s">
        <v>182</v>
      </c>
      <c r="M137" s="135">
        <v>-7705751.9973468827</v>
      </c>
    </row>
    <row r="138" spans="3:13" x14ac:dyDescent="0.35">
      <c r="C138" s="130" t="s">
        <v>5</v>
      </c>
      <c r="D138" s="130" t="s">
        <v>194</v>
      </c>
      <c r="E138" s="130" t="s">
        <v>195</v>
      </c>
      <c r="F138" s="130" t="s">
        <v>174</v>
      </c>
      <c r="G138" s="130" t="s">
        <v>175</v>
      </c>
      <c r="H138" s="131">
        <v>45196</v>
      </c>
      <c r="I138" s="131">
        <v>50024</v>
      </c>
      <c r="J138" s="141">
        <v>0</v>
      </c>
      <c r="K138" s="133">
        <v>6.7649720475195867</v>
      </c>
      <c r="L138" s="134" t="s">
        <v>182</v>
      </c>
      <c r="M138" s="135">
        <v>-4690028.2300000004</v>
      </c>
    </row>
    <row r="139" spans="3:13" x14ac:dyDescent="0.35">
      <c r="C139" s="130" t="s">
        <v>5</v>
      </c>
      <c r="D139" s="130" t="s">
        <v>194</v>
      </c>
      <c r="E139" s="130" t="s">
        <v>195</v>
      </c>
      <c r="F139" s="130" t="s">
        <v>174</v>
      </c>
      <c r="G139" s="130" t="s">
        <v>175</v>
      </c>
      <c r="H139" s="131">
        <v>44433</v>
      </c>
      <c r="I139" s="131">
        <v>45529</v>
      </c>
      <c r="J139" s="141">
        <v>0</v>
      </c>
      <c r="K139" s="133">
        <v>0.50858585858588612</v>
      </c>
      <c r="L139" s="134" t="s">
        <v>182</v>
      </c>
      <c r="M139" s="135">
        <v>-382425.01942857099</v>
      </c>
    </row>
    <row r="140" spans="3:13" x14ac:dyDescent="0.35">
      <c r="C140" s="130" t="s">
        <v>128</v>
      </c>
      <c r="D140" s="130" t="s">
        <v>187</v>
      </c>
      <c r="E140" s="130" t="s">
        <v>179</v>
      </c>
      <c r="F140" s="130" t="s">
        <v>110</v>
      </c>
      <c r="G140" s="130" t="s">
        <v>175</v>
      </c>
      <c r="H140" s="131">
        <v>43642</v>
      </c>
      <c r="I140" s="131">
        <v>49140</v>
      </c>
      <c r="J140" s="138">
        <v>1.3010000000000001E-2</v>
      </c>
      <c r="K140" s="133">
        <v>5.4195568765735107</v>
      </c>
      <c r="L140" s="134" t="s">
        <v>182</v>
      </c>
      <c r="M140" s="135">
        <v>312585.91488959984</v>
      </c>
    </row>
    <row r="141" spans="3:13" x14ac:dyDescent="0.35">
      <c r="C141" s="130" t="s">
        <v>128</v>
      </c>
      <c r="D141" s="130" t="s">
        <v>183</v>
      </c>
      <c r="E141" s="130" t="s">
        <v>221</v>
      </c>
      <c r="F141" s="130" t="s">
        <v>185</v>
      </c>
      <c r="G141" s="130" t="s">
        <v>186</v>
      </c>
      <c r="H141" s="131">
        <v>44733</v>
      </c>
      <c r="I141" s="131">
        <v>45281</v>
      </c>
      <c r="J141" s="137">
        <v>7.7999999999999996E-3</v>
      </c>
      <c r="K141" s="133">
        <v>0.25555555555555554</v>
      </c>
      <c r="L141" s="134" t="s">
        <v>176</v>
      </c>
      <c r="M141" s="135">
        <v>101878697.20098583</v>
      </c>
    </row>
    <row r="142" spans="3:13" x14ac:dyDescent="0.35">
      <c r="C142" s="130" t="s">
        <v>226</v>
      </c>
      <c r="D142" s="130" t="s">
        <v>183</v>
      </c>
      <c r="E142" s="130" t="s">
        <v>209</v>
      </c>
      <c r="F142" s="130" t="s">
        <v>185</v>
      </c>
      <c r="G142" s="130" t="s">
        <v>186</v>
      </c>
      <c r="H142" s="131">
        <v>44558</v>
      </c>
      <c r="I142" s="131">
        <v>46384</v>
      </c>
      <c r="J142" s="137">
        <v>1.7100000000000001E-2</v>
      </c>
      <c r="K142" s="133">
        <v>2.9907650819645117</v>
      </c>
      <c r="L142" s="134" t="s">
        <v>192</v>
      </c>
      <c r="M142" s="135">
        <v>17985527.890000001</v>
      </c>
    </row>
    <row r="143" spans="3:13" x14ac:dyDescent="0.35">
      <c r="C143" s="130" t="s">
        <v>226</v>
      </c>
      <c r="D143" s="130" t="s">
        <v>183</v>
      </c>
      <c r="E143" s="130" t="s">
        <v>221</v>
      </c>
      <c r="F143" s="130" t="s">
        <v>185</v>
      </c>
      <c r="G143" s="130" t="s">
        <v>186</v>
      </c>
      <c r="H143" s="131">
        <v>44754</v>
      </c>
      <c r="I143" s="131">
        <v>45474</v>
      </c>
      <c r="J143" s="137">
        <v>9.4999999999999998E-3</v>
      </c>
      <c r="K143" s="133">
        <v>0.83126382359567086</v>
      </c>
      <c r="L143" s="134" t="s">
        <v>176</v>
      </c>
      <c r="M143" s="135">
        <v>19269618.448922671</v>
      </c>
    </row>
    <row r="144" spans="3:13" x14ac:dyDescent="0.35">
      <c r="C144" s="130" t="s">
        <v>226</v>
      </c>
      <c r="D144" s="130" t="s">
        <v>194</v>
      </c>
      <c r="E144" s="130" t="s">
        <v>195</v>
      </c>
      <c r="F144" s="130" t="s">
        <v>174</v>
      </c>
      <c r="G144" s="130" t="s">
        <v>175</v>
      </c>
      <c r="H144" s="131">
        <v>45107</v>
      </c>
      <c r="I144" s="131">
        <v>46384</v>
      </c>
      <c r="J144" s="141">
        <v>0</v>
      </c>
      <c r="K144" s="133">
        <v>3.3</v>
      </c>
      <c r="L144" s="134" t="s">
        <v>182</v>
      </c>
      <c r="M144" s="135">
        <v>-19917</v>
      </c>
    </row>
    <row r="145" spans="3:13" x14ac:dyDescent="0.35">
      <c r="C145" s="130" t="s">
        <v>101</v>
      </c>
      <c r="D145" s="130" t="s">
        <v>190</v>
      </c>
      <c r="E145" s="130" t="s">
        <v>191</v>
      </c>
      <c r="F145" s="130" t="s">
        <v>193</v>
      </c>
      <c r="G145" s="130" t="s">
        <v>175</v>
      </c>
      <c r="H145" s="131">
        <v>44550</v>
      </c>
      <c r="I145" s="131">
        <v>45458</v>
      </c>
      <c r="J145" s="149">
        <v>1.55E-2</v>
      </c>
      <c r="K145" s="133">
        <v>0.76111111111111107</v>
      </c>
      <c r="L145" s="134" t="s">
        <v>176</v>
      </c>
      <c r="M145" s="135">
        <v>1277330135.8099992</v>
      </c>
    </row>
    <row r="146" spans="3:13" x14ac:dyDescent="0.35">
      <c r="C146" s="130" t="s">
        <v>101</v>
      </c>
      <c r="D146" s="130" t="s">
        <v>187</v>
      </c>
      <c r="E146" s="130" t="s">
        <v>181</v>
      </c>
      <c r="F146" s="130" t="s">
        <v>110</v>
      </c>
      <c r="G146" s="130" t="s">
        <v>175</v>
      </c>
      <c r="H146" s="131">
        <v>44924</v>
      </c>
      <c r="I146" s="131">
        <v>54072</v>
      </c>
      <c r="J146" s="142">
        <v>1.6812000000000001E-2</v>
      </c>
      <c r="K146" s="133">
        <v>14.642136309031534</v>
      </c>
      <c r="L146" s="134" t="s">
        <v>182</v>
      </c>
      <c r="M146" s="135">
        <v>29243704.600000001</v>
      </c>
    </row>
    <row r="147" spans="3:13" x14ac:dyDescent="0.35">
      <c r="C147" s="130" t="s">
        <v>101</v>
      </c>
      <c r="D147" s="130" t="s">
        <v>187</v>
      </c>
      <c r="E147" s="130" t="s">
        <v>181</v>
      </c>
      <c r="F147" s="130" t="s">
        <v>110</v>
      </c>
      <c r="G147" s="130" t="s">
        <v>175</v>
      </c>
      <c r="H147" s="131">
        <v>44924</v>
      </c>
      <c r="I147" s="131">
        <v>54072</v>
      </c>
      <c r="J147" s="142">
        <v>2.0549000000000001E-2</v>
      </c>
      <c r="K147" s="133">
        <v>14.639651904061166</v>
      </c>
      <c r="L147" s="134" t="s">
        <v>182</v>
      </c>
      <c r="M147" s="135">
        <v>106291449.57000001</v>
      </c>
    </row>
    <row r="148" spans="3:13" x14ac:dyDescent="0.35">
      <c r="C148" s="130" t="s">
        <v>101</v>
      </c>
      <c r="D148" s="130" t="s">
        <v>196</v>
      </c>
      <c r="E148" s="130" t="s">
        <v>195</v>
      </c>
      <c r="F148" s="130" t="s">
        <v>174</v>
      </c>
      <c r="G148" s="130" t="s">
        <v>175</v>
      </c>
      <c r="H148" s="131">
        <v>44550</v>
      </c>
      <c r="I148" s="131">
        <v>45458</v>
      </c>
      <c r="J148" s="152">
        <v>0</v>
      </c>
      <c r="K148" s="133">
        <v>0.42376541565354275</v>
      </c>
      <c r="L148" s="134" t="s">
        <v>182</v>
      </c>
      <c r="M148" s="135">
        <v>-820533.9251612915</v>
      </c>
    </row>
    <row r="149" spans="3:13" x14ac:dyDescent="0.35">
      <c r="C149" s="130" t="s">
        <v>101</v>
      </c>
      <c r="D149" s="130" t="s">
        <v>194</v>
      </c>
      <c r="E149" s="130" t="s">
        <v>195</v>
      </c>
      <c r="F149" s="130" t="s">
        <v>174</v>
      </c>
      <c r="G149" s="130" t="s">
        <v>175</v>
      </c>
      <c r="H149" s="131">
        <v>44965</v>
      </c>
      <c r="I149" s="131">
        <v>54072</v>
      </c>
      <c r="J149" s="152">
        <v>0</v>
      </c>
      <c r="K149" s="133">
        <v>12.387372671487375</v>
      </c>
      <c r="L149" s="134" t="s">
        <v>182</v>
      </c>
      <c r="M149" s="135">
        <v>-379657.7</v>
      </c>
    </row>
    <row r="150" spans="3:13" x14ac:dyDescent="0.35">
      <c r="C150" s="130" t="s">
        <v>6</v>
      </c>
      <c r="D150" s="130" t="s">
        <v>183</v>
      </c>
      <c r="E150" s="130" t="s">
        <v>184</v>
      </c>
      <c r="F150" s="130" t="s">
        <v>185</v>
      </c>
      <c r="G150" s="130" t="s">
        <v>186</v>
      </c>
      <c r="H150" s="131">
        <v>44559</v>
      </c>
      <c r="I150" s="131">
        <v>46385</v>
      </c>
      <c r="J150" s="143">
        <v>1.8499999999999999E-2</v>
      </c>
      <c r="K150" s="133">
        <v>2.7773696346657135</v>
      </c>
      <c r="L150" s="134" t="s">
        <v>192</v>
      </c>
      <c r="M150" s="135">
        <v>222846371.5811646</v>
      </c>
    </row>
    <row r="151" spans="3:13" x14ac:dyDescent="0.35">
      <c r="C151" s="130" t="s">
        <v>6</v>
      </c>
      <c r="D151" s="130" t="s">
        <v>183</v>
      </c>
      <c r="E151" s="130" t="s">
        <v>220</v>
      </c>
      <c r="F151" s="130" t="s">
        <v>185</v>
      </c>
      <c r="G151" s="130" t="s">
        <v>186</v>
      </c>
      <c r="H151" s="131">
        <v>44599</v>
      </c>
      <c r="I151" s="131">
        <v>45695</v>
      </c>
      <c r="J151" s="143">
        <v>1.4800000000000001E-2</v>
      </c>
      <c r="K151" s="133">
        <v>1.4315749733050123</v>
      </c>
      <c r="L151" s="134" t="s">
        <v>176</v>
      </c>
      <c r="M151" s="135">
        <v>238709227.75001702</v>
      </c>
    </row>
    <row r="152" spans="3:13" x14ac:dyDescent="0.35">
      <c r="C152" s="130" t="s">
        <v>6</v>
      </c>
      <c r="D152" s="130" t="s">
        <v>190</v>
      </c>
      <c r="E152" s="130" t="s">
        <v>191</v>
      </c>
      <c r="F152" s="130" t="s">
        <v>193</v>
      </c>
      <c r="G152" s="130" t="s">
        <v>175</v>
      </c>
      <c r="H152" s="131">
        <v>44560</v>
      </c>
      <c r="I152" s="131">
        <v>46962</v>
      </c>
      <c r="J152" s="149">
        <v>1.7999999999999999E-2</v>
      </c>
      <c r="K152" s="133">
        <v>3.8045193153545673</v>
      </c>
      <c r="L152" s="134" t="s">
        <v>176</v>
      </c>
      <c r="M152" s="135">
        <v>632286056.52999997</v>
      </c>
    </row>
    <row r="153" spans="3:13" x14ac:dyDescent="0.35">
      <c r="C153" s="130" t="s">
        <v>6</v>
      </c>
      <c r="D153" s="130" t="s">
        <v>183</v>
      </c>
      <c r="E153" s="130" t="s">
        <v>221</v>
      </c>
      <c r="F153" s="130" t="s">
        <v>185</v>
      </c>
      <c r="G153" s="130" t="s">
        <v>186</v>
      </c>
      <c r="H153" s="131">
        <v>44963</v>
      </c>
      <c r="I153" s="131">
        <v>46059</v>
      </c>
      <c r="J153" s="143">
        <v>1.38E-2</v>
      </c>
      <c r="K153" s="133">
        <v>2.4281840897221629</v>
      </c>
      <c r="L153" s="134" t="s">
        <v>176</v>
      </c>
      <c r="M153" s="135">
        <v>183686193.62601599</v>
      </c>
    </row>
    <row r="154" spans="3:13" x14ac:dyDescent="0.35">
      <c r="C154" s="130" t="s">
        <v>6</v>
      </c>
      <c r="D154" s="130" t="s">
        <v>183</v>
      </c>
      <c r="E154" s="130" t="s">
        <v>221</v>
      </c>
      <c r="F154" s="130" t="s">
        <v>185</v>
      </c>
      <c r="G154" s="130" t="s">
        <v>186</v>
      </c>
      <c r="H154" s="131">
        <v>44963</v>
      </c>
      <c r="I154" s="131">
        <v>46059</v>
      </c>
      <c r="J154" s="143">
        <v>1.38E-2</v>
      </c>
      <c r="K154" s="133">
        <v>2.4281840897221829</v>
      </c>
      <c r="L154" s="134" t="s">
        <v>176</v>
      </c>
      <c r="M154" s="135">
        <v>123686955.03525601</v>
      </c>
    </row>
    <row r="155" spans="3:13" x14ac:dyDescent="0.35">
      <c r="C155" s="130" t="s">
        <v>6</v>
      </c>
      <c r="D155" s="130" t="s">
        <v>190</v>
      </c>
      <c r="E155" s="130" t="s">
        <v>191</v>
      </c>
      <c r="F155" s="130" t="s">
        <v>110</v>
      </c>
      <c r="G155" s="130" t="s">
        <v>175</v>
      </c>
      <c r="H155" s="131">
        <v>45145</v>
      </c>
      <c r="I155" s="131">
        <v>47679</v>
      </c>
      <c r="J155" s="138">
        <v>6.5000000000000002E-2</v>
      </c>
      <c r="K155" s="133">
        <v>6.368880637569398</v>
      </c>
      <c r="L155" s="134" t="s">
        <v>225</v>
      </c>
      <c r="M155" s="135">
        <v>197607986.97999999</v>
      </c>
    </row>
    <row r="156" spans="3:13" x14ac:dyDescent="0.35">
      <c r="C156" s="130" t="s">
        <v>96</v>
      </c>
      <c r="D156" s="130" t="s">
        <v>190</v>
      </c>
      <c r="E156" s="130" t="s">
        <v>191</v>
      </c>
      <c r="F156" s="130" t="s">
        <v>110</v>
      </c>
      <c r="G156" s="130" t="s">
        <v>175</v>
      </c>
      <c r="H156" s="131">
        <v>43997</v>
      </c>
      <c r="I156" s="131">
        <v>47649</v>
      </c>
      <c r="J156" s="142">
        <v>6.9000000000000006E-2</v>
      </c>
      <c r="K156" s="133">
        <v>4.2094014401915452</v>
      </c>
      <c r="L156" s="134" t="s">
        <v>178</v>
      </c>
      <c r="M156" s="135">
        <v>226140040.01999998</v>
      </c>
    </row>
    <row r="157" spans="3:13" x14ac:dyDescent="0.35">
      <c r="C157" s="130" t="s">
        <v>96</v>
      </c>
      <c r="D157" s="130" t="s">
        <v>196</v>
      </c>
      <c r="E157" s="130" t="s">
        <v>195</v>
      </c>
      <c r="F157" s="130" t="s">
        <v>174</v>
      </c>
      <c r="G157" s="130" t="s">
        <v>175</v>
      </c>
      <c r="H157" s="131">
        <v>43997</v>
      </c>
      <c r="I157" s="131">
        <v>47649</v>
      </c>
      <c r="J157" s="153">
        <v>0</v>
      </c>
      <c r="K157" s="133">
        <v>3.4676268857642856</v>
      </c>
      <c r="L157" s="134" t="s">
        <v>182</v>
      </c>
      <c r="M157" s="135">
        <v>-8258612.7199999997</v>
      </c>
    </row>
    <row r="158" spans="3:13" x14ac:dyDescent="0.35">
      <c r="C158" s="130" t="s">
        <v>96</v>
      </c>
      <c r="D158" s="130" t="s">
        <v>190</v>
      </c>
      <c r="E158" s="130" t="s">
        <v>191</v>
      </c>
      <c r="F158" s="130" t="s">
        <v>110</v>
      </c>
      <c r="G158" s="130" t="s">
        <v>175</v>
      </c>
      <c r="H158" s="131">
        <v>44172</v>
      </c>
      <c r="I158" s="131">
        <v>47863</v>
      </c>
      <c r="J158" s="142">
        <v>4.7500000000000001E-2</v>
      </c>
      <c r="K158" s="133">
        <v>3.8043377961460365</v>
      </c>
      <c r="L158" s="134" t="s">
        <v>178</v>
      </c>
      <c r="M158" s="135">
        <v>170696018.19</v>
      </c>
    </row>
    <row r="159" spans="3:13" x14ac:dyDescent="0.35">
      <c r="C159" s="130" t="s">
        <v>96</v>
      </c>
      <c r="D159" s="130" t="s">
        <v>196</v>
      </c>
      <c r="E159" s="130" t="s">
        <v>195</v>
      </c>
      <c r="F159" s="130" t="s">
        <v>174</v>
      </c>
      <c r="G159" s="130" t="s">
        <v>175</v>
      </c>
      <c r="H159" s="131">
        <v>44172</v>
      </c>
      <c r="I159" s="131">
        <v>47863</v>
      </c>
      <c r="J159" s="153">
        <v>0</v>
      </c>
      <c r="K159" s="133">
        <v>3.763604792825006</v>
      </c>
      <c r="L159" s="134" t="s">
        <v>182</v>
      </c>
      <c r="M159" s="135">
        <v>-1293832.1299999999</v>
      </c>
    </row>
    <row r="160" spans="3:13" x14ac:dyDescent="0.35">
      <c r="C160" s="130" t="s">
        <v>96</v>
      </c>
      <c r="D160" s="130" t="s">
        <v>190</v>
      </c>
      <c r="E160" s="130" t="s">
        <v>191</v>
      </c>
      <c r="F160" s="130" t="s">
        <v>193</v>
      </c>
      <c r="G160" s="130" t="s">
        <v>175</v>
      </c>
      <c r="H160" s="131">
        <v>44407</v>
      </c>
      <c r="I160" s="131">
        <v>45503</v>
      </c>
      <c r="J160" s="146">
        <v>2.1999999999999999E-2</v>
      </c>
      <c r="K160" s="133">
        <v>0.82862254581254491</v>
      </c>
      <c r="L160" s="134" t="s">
        <v>176</v>
      </c>
      <c r="M160" s="135">
        <v>307514905.02000004</v>
      </c>
    </row>
    <row r="161" spans="3:13" x14ac:dyDescent="0.35">
      <c r="C161" s="130" t="s">
        <v>96</v>
      </c>
      <c r="D161" s="130" t="s">
        <v>196</v>
      </c>
      <c r="E161" s="130" t="s">
        <v>195</v>
      </c>
      <c r="F161" s="130" t="s">
        <v>174</v>
      </c>
      <c r="G161" s="130" t="s">
        <v>175</v>
      </c>
      <c r="H161" s="131">
        <v>44407</v>
      </c>
      <c r="I161" s="131">
        <v>45503</v>
      </c>
      <c r="J161" s="153">
        <v>0</v>
      </c>
      <c r="K161" s="133">
        <v>0.4661111074108501</v>
      </c>
      <c r="L161" s="134" t="s">
        <v>182</v>
      </c>
      <c r="M161" s="135">
        <v>-336312.82999999984</v>
      </c>
    </row>
    <row r="162" spans="3:13" x14ac:dyDescent="0.35">
      <c r="C162" s="130" t="s">
        <v>96</v>
      </c>
      <c r="D162" s="130" t="s">
        <v>190</v>
      </c>
      <c r="E162" s="130" t="s">
        <v>191</v>
      </c>
      <c r="F162" s="130" t="s">
        <v>110</v>
      </c>
      <c r="G162" s="130" t="s">
        <v>175</v>
      </c>
      <c r="H162" s="131">
        <v>42811</v>
      </c>
      <c r="I162" s="131">
        <v>47771</v>
      </c>
      <c r="J162" s="142">
        <v>0.08</v>
      </c>
      <c r="K162" s="133">
        <v>4.053025750039807</v>
      </c>
      <c r="L162" s="134" t="s">
        <v>178</v>
      </c>
      <c r="M162" s="135">
        <v>202728608.78999999</v>
      </c>
    </row>
    <row r="163" spans="3:13" x14ac:dyDescent="0.35">
      <c r="C163" s="130" t="s">
        <v>96</v>
      </c>
      <c r="D163" s="130" t="s">
        <v>196</v>
      </c>
      <c r="E163" s="130" t="s">
        <v>195</v>
      </c>
      <c r="F163" s="130" t="s">
        <v>174</v>
      </c>
      <c r="G163" s="130" t="s">
        <v>175</v>
      </c>
      <c r="H163" s="131">
        <v>42811</v>
      </c>
      <c r="I163" s="131">
        <v>47771</v>
      </c>
      <c r="J163" s="153">
        <v>0</v>
      </c>
      <c r="K163" s="133">
        <v>3.636732998448315</v>
      </c>
      <c r="L163" s="134" t="s">
        <v>182</v>
      </c>
      <c r="M163" s="135">
        <v>-23375.79</v>
      </c>
    </row>
    <row r="164" spans="3:13" x14ac:dyDescent="0.35">
      <c r="C164" s="130" t="s">
        <v>96</v>
      </c>
      <c r="D164" s="130" t="s">
        <v>190</v>
      </c>
      <c r="E164" s="130" t="s">
        <v>191</v>
      </c>
      <c r="F164" s="130" t="s">
        <v>110</v>
      </c>
      <c r="G164" s="130" t="s">
        <v>175</v>
      </c>
      <c r="H164" s="131">
        <v>43927</v>
      </c>
      <c r="I164" s="131">
        <v>47467</v>
      </c>
      <c r="J164" s="142">
        <v>7.059E-2</v>
      </c>
      <c r="K164" s="133">
        <v>3.5007700806060407</v>
      </c>
      <c r="L164" s="134" t="s">
        <v>178</v>
      </c>
      <c r="M164" s="135">
        <v>20437608.839999996</v>
      </c>
    </row>
    <row r="165" spans="3:13" x14ac:dyDescent="0.35">
      <c r="C165" s="130" t="s">
        <v>96</v>
      </c>
      <c r="D165" s="130" t="s">
        <v>196</v>
      </c>
      <c r="E165" s="130" t="s">
        <v>195</v>
      </c>
      <c r="F165" s="130" t="s">
        <v>174</v>
      </c>
      <c r="G165" s="130" t="s">
        <v>175</v>
      </c>
      <c r="H165" s="131">
        <v>43927</v>
      </c>
      <c r="I165" s="131">
        <v>47467</v>
      </c>
      <c r="J165" s="153">
        <v>0</v>
      </c>
      <c r="K165" s="133">
        <v>3.2140746419090647</v>
      </c>
      <c r="L165" s="134" t="s">
        <v>182</v>
      </c>
      <c r="M165" s="135">
        <v>-56165.109999999993</v>
      </c>
    </row>
    <row r="166" spans="3:13" x14ac:dyDescent="0.35">
      <c r="C166" s="130" t="s">
        <v>96</v>
      </c>
      <c r="D166" s="130" t="s">
        <v>190</v>
      </c>
      <c r="E166" s="130" t="s">
        <v>191</v>
      </c>
      <c r="F166" s="130" t="s">
        <v>110</v>
      </c>
      <c r="G166" s="130" t="s">
        <v>175</v>
      </c>
      <c r="H166" s="131">
        <v>42859</v>
      </c>
      <c r="I166" s="131">
        <v>46949</v>
      </c>
      <c r="J166" s="142">
        <v>0.09</v>
      </c>
      <c r="K166" s="133">
        <v>3.0284561385419591</v>
      </c>
      <c r="L166" s="134" t="s">
        <v>178</v>
      </c>
      <c r="M166" s="135">
        <v>66631733.339999996</v>
      </c>
    </row>
    <row r="167" spans="3:13" x14ac:dyDescent="0.35">
      <c r="C167" s="130" t="s">
        <v>96</v>
      </c>
      <c r="D167" s="130" t="s">
        <v>196</v>
      </c>
      <c r="E167" s="130" t="s">
        <v>195</v>
      </c>
      <c r="F167" s="130" t="s">
        <v>174</v>
      </c>
      <c r="G167" s="130" t="s">
        <v>175</v>
      </c>
      <c r="H167" s="131">
        <v>42859</v>
      </c>
      <c r="I167" s="131">
        <v>46949</v>
      </c>
      <c r="J167" s="153">
        <v>0</v>
      </c>
      <c r="K167" s="133">
        <v>2.4952105640063666</v>
      </c>
      <c r="L167" s="134" t="s">
        <v>182</v>
      </c>
      <c r="M167" s="135">
        <v>-44480.39</v>
      </c>
    </row>
    <row r="168" spans="3:13" x14ac:dyDescent="0.35">
      <c r="C168" s="130" t="s">
        <v>96</v>
      </c>
      <c r="D168" s="130" t="s">
        <v>190</v>
      </c>
      <c r="E168" s="130" t="s">
        <v>191</v>
      </c>
      <c r="F168" s="130" t="s">
        <v>110</v>
      </c>
      <c r="G168" s="130" t="s">
        <v>175</v>
      </c>
      <c r="H168" s="131">
        <v>43311</v>
      </c>
      <c r="I168" s="131">
        <v>48426</v>
      </c>
      <c r="J168" s="142">
        <v>7.6399999999999996E-2</v>
      </c>
      <c r="K168" s="133">
        <v>4.3378936837395186</v>
      </c>
      <c r="L168" s="134" t="s">
        <v>178</v>
      </c>
      <c r="M168" s="135">
        <v>47798422.939999998</v>
      </c>
    </row>
    <row r="169" spans="3:13" x14ac:dyDescent="0.35">
      <c r="C169" s="130" t="s">
        <v>96</v>
      </c>
      <c r="D169" s="130" t="s">
        <v>196</v>
      </c>
      <c r="E169" s="130" t="s">
        <v>195</v>
      </c>
      <c r="F169" s="130" t="s">
        <v>174</v>
      </c>
      <c r="G169" s="130" t="s">
        <v>175</v>
      </c>
      <c r="H169" s="131">
        <v>43311</v>
      </c>
      <c r="I169" s="131">
        <v>48426</v>
      </c>
      <c r="J169" s="153">
        <v>0</v>
      </c>
      <c r="K169" s="133">
        <v>4.5243711369658435</v>
      </c>
      <c r="L169" s="134" t="s">
        <v>182</v>
      </c>
      <c r="M169" s="135">
        <v>-404697.13</v>
      </c>
    </row>
    <row r="170" spans="3:13" x14ac:dyDescent="0.35">
      <c r="C170" s="130" t="s">
        <v>96</v>
      </c>
      <c r="D170" s="130" t="s">
        <v>190</v>
      </c>
      <c r="E170" s="130" t="s">
        <v>191</v>
      </c>
      <c r="F170" s="130" t="s">
        <v>110</v>
      </c>
      <c r="G170" s="130" t="s">
        <v>175</v>
      </c>
      <c r="H170" s="131">
        <v>44027</v>
      </c>
      <c r="I170" s="131">
        <v>49490</v>
      </c>
      <c r="J170" s="142">
        <v>5.9499999999999997E-2</v>
      </c>
      <c r="K170" s="133">
        <v>6.5050003556354161</v>
      </c>
      <c r="L170" s="134" t="s">
        <v>178</v>
      </c>
      <c r="M170" s="135">
        <v>37711524.469999999</v>
      </c>
    </row>
    <row r="171" spans="3:13" x14ac:dyDescent="0.35">
      <c r="C171" s="130" t="s">
        <v>96</v>
      </c>
      <c r="D171" s="130" t="s">
        <v>196</v>
      </c>
      <c r="E171" s="130" t="s">
        <v>195</v>
      </c>
      <c r="F171" s="130" t="s">
        <v>174</v>
      </c>
      <c r="G171" s="130" t="s">
        <v>175</v>
      </c>
      <c r="H171" s="131">
        <v>44027</v>
      </c>
      <c r="I171" s="131">
        <v>49490</v>
      </c>
      <c r="J171" s="153">
        <v>0</v>
      </c>
      <c r="K171" s="133">
        <v>6.0039798327280449</v>
      </c>
      <c r="L171" s="134" t="s">
        <v>182</v>
      </c>
      <c r="M171" s="135">
        <v>-218494.55000000002</v>
      </c>
    </row>
    <row r="172" spans="3:13" x14ac:dyDescent="0.35">
      <c r="C172" s="130" t="s">
        <v>96</v>
      </c>
      <c r="D172" s="130" t="s">
        <v>190</v>
      </c>
      <c r="E172" s="130" t="s">
        <v>191</v>
      </c>
      <c r="F172" s="130" t="s">
        <v>110</v>
      </c>
      <c r="G172" s="130" t="s">
        <v>175</v>
      </c>
      <c r="H172" s="131">
        <v>44027</v>
      </c>
      <c r="I172" s="131">
        <v>49490</v>
      </c>
      <c r="J172" s="142">
        <v>5.9499999999999997E-2</v>
      </c>
      <c r="K172" s="133">
        <v>6.3524526118628275</v>
      </c>
      <c r="L172" s="134" t="s">
        <v>178</v>
      </c>
      <c r="M172" s="135">
        <v>39318768.890000008</v>
      </c>
    </row>
    <row r="173" spans="3:13" x14ac:dyDescent="0.35">
      <c r="C173" s="130" t="s">
        <v>96</v>
      </c>
      <c r="D173" s="130" t="s">
        <v>196</v>
      </c>
      <c r="E173" s="130" t="s">
        <v>195</v>
      </c>
      <c r="F173" s="130" t="s">
        <v>174</v>
      </c>
      <c r="G173" s="130" t="s">
        <v>175</v>
      </c>
      <c r="H173" s="131">
        <v>44027</v>
      </c>
      <c r="I173" s="131">
        <v>49490</v>
      </c>
      <c r="J173" s="153">
        <v>0</v>
      </c>
      <c r="K173" s="133">
        <v>6.0039794864147149</v>
      </c>
      <c r="L173" s="134" t="s">
        <v>182</v>
      </c>
      <c r="M173" s="135">
        <v>-204348.46000000002</v>
      </c>
    </row>
    <row r="174" spans="3:13" x14ac:dyDescent="0.35">
      <c r="C174" s="130" t="s">
        <v>96</v>
      </c>
      <c r="D174" s="130" t="s">
        <v>190</v>
      </c>
      <c r="E174" s="130" t="s">
        <v>191</v>
      </c>
      <c r="F174" s="130" t="s">
        <v>110</v>
      </c>
      <c r="G174" s="130" t="s">
        <v>175</v>
      </c>
      <c r="H174" s="131">
        <v>44250</v>
      </c>
      <c r="I174" s="131">
        <v>49658</v>
      </c>
      <c r="J174" s="142">
        <v>5.2900000000000003E-2</v>
      </c>
      <c r="K174" s="133">
        <v>8.9769454258647077</v>
      </c>
      <c r="L174" s="134" t="s">
        <v>178</v>
      </c>
      <c r="M174" s="135">
        <v>129262582.73999999</v>
      </c>
    </row>
    <row r="175" spans="3:13" x14ac:dyDescent="0.35">
      <c r="C175" s="130" t="s">
        <v>96</v>
      </c>
      <c r="D175" s="130" t="s">
        <v>196</v>
      </c>
      <c r="E175" s="130" t="s">
        <v>195</v>
      </c>
      <c r="F175" s="130" t="s">
        <v>174</v>
      </c>
      <c r="G175" s="130" t="s">
        <v>175</v>
      </c>
      <c r="H175" s="131">
        <v>44250</v>
      </c>
      <c r="I175" s="131">
        <v>49658</v>
      </c>
      <c r="J175" s="153">
        <v>0</v>
      </c>
      <c r="K175" s="133">
        <v>6.2576152677424233</v>
      </c>
      <c r="L175" s="134" t="s">
        <v>182</v>
      </c>
      <c r="M175" s="135">
        <v>-5001295.99</v>
      </c>
    </row>
    <row r="176" spans="3:13" x14ac:dyDescent="0.35">
      <c r="C176" s="130" t="s">
        <v>96</v>
      </c>
      <c r="D176" s="130" t="s">
        <v>187</v>
      </c>
      <c r="E176" s="130" t="s">
        <v>189</v>
      </c>
      <c r="F176" s="130" t="s">
        <v>110</v>
      </c>
      <c r="G176" s="130" t="s">
        <v>175</v>
      </c>
      <c r="H176" s="131">
        <v>42353</v>
      </c>
      <c r="I176" s="131" t="s">
        <v>227</v>
      </c>
      <c r="J176" s="142">
        <v>2.5499999999999998E-2</v>
      </c>
      <c r="K176" s="133">
        <v>5.6078081762205123</v>
      </c>
      <c r="L176" s="134" t="s">
        <v>182</v>
      </c>
      <c r="M176" s="135">
        <v>36216962.270000011</v>
      </c>
    </row>
    <row r="177" spans="3:13" x14ac:dyDescent="0.35">
      <c r="C177" s="130" t="s">
        <v>96</v>
      </c>
      <c r="D177" s="130" t="s">
        <v>194</v>
      </c>
      <c r="E177" s="130" t="s">
        <v>195</v>
      </c>
      <c r="F177" s="130" t="s">
        <v>174</v>
      </c>
      <c r="G177" s="130" t="s">
        <v>175</v>
      </c>
      <c r="H177" s="131">
        <v>42353</v>
      </c>
      <c r="I177" s="131" t="s">
        <v>227</v>
      </c>
      <c r="J177" s="153">
        <v>0</v>
      </c>
      <c r="K177" s="133">
        <v>4.9894587090562306</v>
      </c>
      <c r="L177" s="134" t="s">
        <v>182</v>
      </c>
      <c r="M177" s="135">
        <v>-700796.87999999989</v>
      </c>
    </row>
    <row r="178" spans="3:13" x14ac:dyDescent="0.35">
      <c r="C178" s="130" t="s">
        <v>96</v>
      </c>
      <c r="D178" s="130" t="s">
        <v>187</v>
      </c>
      <c r="E178" s="130" t="s">
        <v>189</v>
      </c>
      <c r="F178" s="130" t="s">
        <v>110</v>
      </c>
      <c r="G178" s="130" t="s">
        <v>175</v>
      </c>
      <c r="H178" s="131">
        <v>42353</v>
      </c>
      <c r="I178" s="131" t="s">
        <v>227</v>
      </c>
      <c r="J178" s="142">
        <v>2.5499999999999998E-2</v>
      </c>
      <c r="K178" s="133">
        <v>5.6229019874404713</v>
      </c>
      <c r="L178" s="134" t="s">
        <v>182</v>
      </c>
      <c r="M178" s="135">
        <v>47001689.439999998</v>
      </c>
    </row>
    <row r="179" spans="3:13" x14ac:dyDescent="0.35">
      <c r="C179" s="130" t="s">
        <v>96</v>
      </c>
      <c r="D179" s="130" t="s">
        <v>194</v>
      </c>
      <c r="E179" s="130" t="s">
        <v>195</v>
      </c>
      <c r="F179" s="130" t="s">
        <v>174</v>
      </c>
      <c r="G179" s="130" t="s">
        <v>175</v>
      </c>
      <c r="H179" s="131">
        <v>42353</v>
      </c>
      <c r="I179" s="131" t="s">
        <v>227</v>
      </c>
      <c r="J179" s="153">
        <v>0</v>
      </c>
      <c r="K179" s="133">
        <v>4.9894586955678983</v>
      </c>
      <c r="L179" s="134" t="s">
        <v>182</v>
      </c>
      <c r="M179" s="135">
        <v>-914825.15</v>
      </c>
    </row>
    <row r="180" spans="3:13" x14ac:dyDescent="0.35">
      <c r="C180" s="130" t="s">
        <v>96</v>
      </c>
      <c r="D180" s="130" t="s">
        <v>187</v>
      </c>
      <c r="E180" s="130" t="s">
        <v>189</v>
      </c>
      <c r="F180" s="130" t="s">
        <v>228</v>
      </c>
      <c r="G180" s="130" t="s">
        <v>175</v>
      </c>
      <c r="H180" s="131">
        <v>42353</v>
      </c>
      <c r="I180" s="131" t="s">
        <v>227</v>
      </c>
      <c r="J180" s="154">
        <v>2.5499999999999998E-2</v>
      </c>
      <c r="K180" s="133">
        <v>5.6229019858033604</v>
      </c>
      <c r="L180" s="134" t="s">
        <v>182</v>
      </c>
      <c r="M180" s="135">
        <v>71211454.230000004</v>
      </c>
    </row>
    <row r="181" spans="3:13" x14ac:dyDescent="0.35">
      <c r="C181" s="130" t="s">
        <v>96</v>
      </c>
      <c r="D181" s="130" t="s">
        <v>194</v>
      </c>
      <c r="E181" s="130" t="s">
        <v>195</v>
      </c>
      <c r="F181" s="130" t="s">
        <v>174</v>
      </c>
      <c r="G181" s="130" t="s">
        <v>175</v>
      </c>
      <c r="H181" s="131">
        <v>42353</v>
      </c>
      <c r="I181" s="131" t="s">
        <v>227</v>
      </c>
      <c r="J181" s="153">
        <v>0</v>
      </c>
      <c r="K181" s="133">
        <v>4.9894586626877855</v>
      </c>
      <c r="L181" s="134" t="s">
        <v>182</v>
      </c>
      <c r="M181" s="135">
        <v>-2153721.1799999997</v>
      </c>
    </row>
    <row r="182" spans="3:13" x14ac:dyDescent="0.35">
      <c r="C182" s="130" t="s">
        <v>96</v>
      </c>
      <c r="D182" s="130" t="s">
        <v>187</v>
      </c>
      <c r="E182" s="130" t="s">
        <v>189</v>
      </c>
      <c r="F182" s="130" t="s">
        <v>228</v>
      </c>
      <c r="G182" s="130" t="s">
        <v>175</v>
      </c>
      <c r="H182" s="131">
        <v>42353</v>
      </c>
      <c r="I182" s="131" t="s">
        <v>227</v>
      </c>
      <c r="J182" s="154">
        <v>2.5499999999999998E-2</v>
      </c>
      <c r="K182" s="133">
        <v>5.6229019860579177</v>
      </c>
      <c r="L182" s="134" t="s">
        <v>182</v>
      </c>
      <c r="M182" s="135">
        <v>64854499.530000001</v>
      </c>
    </row>
    <row r="183" spans="3:13" x14ac:dyDescent="0.35">
      <c r="C183" s="130" t="s">
        <v>96</v>
      </c>
      <c r="D183" s="130" t="s">
        <v>194</v>
      </c>
      <c r="E183" s="130" t="s">
        <v>195</v>
      </c>
      <c r="F183" s="130" t="s">
        <v>174</v>
      </c>
      <c r="G183" s="130" t="s">
        <v>175</v>
      </c>
      <c r="H183" s="131">
        <v>42353</v>
      </c>
      <c r="I183" s="131" t="s">
        <v>227</v>
      </c>
      <c r="J183" s="153">
        <v>0</v>
      </c>
      <c r="K183" s="133">
        <v>4.9894586825262905</v>
      </c>
      <c r="L183" s="134" t="s">
        <v>182</v>
      </c>
      <c r="M183" s="135">
        <v>-1405638.92</v>
      </c>
    </row>
    <row r="184" spans="3:13" x14ac:dyDescent="0.35">
      <c r="C184" s="130" t="s">
        <v>96</v>
      </c>
      <c r="D184" s="130" t="s">
        <v>187</v>
      </c>
      <c r="E184" s="130" t="s">
        <v>189</v>
      </c>
      <c r="F184" s="130" t="s">
        <v>228</v>
      </c>
      <c r="G184" s="130" t="s">
        <v>175</v>
      </c>
      <c r="H184" s="131">
        <v>42353</v>
      </c>
      <c r="I184" s="131" t="s">
        <v>227</v>
      </c>
      <c r="J184" s="154">
        <v>2.5499999999999998E-2</v>
      </c>
      <c r="K184" s="133">
        <v>5.6229019939491787</v>
      </c>
      <c r="L184" s="134" t="s">
        <v>182</v>
      </c>
      <c r="M184" s="135">
        <v>50958351.240000002</v>
      </c>
    </row>
    <row r="185" spans="3:13" x14ac:dyDescent="0.35">
      <c r="C185" s="130" t="s">
        <v>96</v>
      </c>
      <c r="D185" s="130" t="s">
        <v>194</v>
      </c>
      <c r="E185" s="130" t="s">
        <v>195</v>
      </c>
      <c r="F185" s="130" t="s">
        <v>174</v>
      </c>
      <c r="G185" s="130" t="s">
        <v>175</v>
      </c>
      <c r="H185" s="131">
        <v>42353</v>
      </c>
      <c r="I185" s="131" t="s">
        <v>227</v>
      </c>
      <c r="J185" s="153">
        <v>0</v>
      </c>
      <c r="K185" s="133">
        <v>4.9894586779773817</v>
      </c>
      <c r="L185" s="134" t="s">
        <v>182</v>
      </c>
      <c r="M185" s="135">
        <v>-1418740.01</v>
      </c>
    </row>
    <row r="186" spans="3:13" x14ac:dyDescent="0.35">
      <c r="C186" s="130" t="s">
        <v>96</v>
      </c>
      <c r="D186" s="130" t="s">
        <v>187</v>
      </c>
      <c r="E186" s="130" t="s">
        <v>189</v>
      </c>
      <c r="F186" s="130" t="s">
        <v>228</v>
      </c>
      <c r="G186" s="130" t="s">
        <v>175</v>
      </c>
      <c r="H186" s="131">
        <v>42353</v>
      </c>
      <c r="I186" s="131" t="s">
        <v>227</v>
      </c>
      <c r="J186" s="154">
        <v>2.5499999999999998E-2</v>
      </c>
      <c r="K186" s="133">
        <v>5.6229019847963073</v>
      </c>
      <c r="L186" s="134" t="s">
        <v>182</v>
      </c>
      <c r="M186" s="135">
        <v>28494690.640000001</v>
      </c>
    </row>
    <row r="187" spans="3:13" x14ac:dyDescent="0.35">
      <c r="C187" s="130" t="s">
        <v>96</v>
      </c>
      <c r="D187" s="130" t="s">
        <v>194</v>
      </c>
      <c r="E187" s="130" t="s">
        <v>195</v>
      </c>
      <c r="F187" s="130" t="s">
        <v>174</v>
      </c>
      <c r="G187" s="130" t="s">
        <v>175</v>
      </c>
      <c r="H187" s="131">
        <v>42353</v>
      </c>
      <c r="I187" s="131" t="s">
        <v>227</v>
      </c>
      <c r="J187" s="153">
        <v>0</v>
      </c>
      <c r="K187" s="133">
        <v>4.9894586601772568</v>
      </c>
      <c r="L187" s="134" t="s">
        <v>182</v>
      </c>
      <c r="M187" s="135">
        <v>-834438.67999999993</v>
      </c>
    </row>
    <row r="188" spans="3:13" x14ac:dyDescent="0.35">
      <c r="C188" s="130" t="s">
        <v>96</v>
      </c>
      <c r="D188" s="130" t="s">
        <v>187</v>
      </c>
      <c r="E188" s="130" t="s">
        <v>189</v>
      </c>
      <c r="F188" s="130" t="s">
        <v>228</v>
      </c>
      <c r="G188" s="130" t="s">
        <v>175</v>
      </c>
      <c r="H188" s="131">
        <v>42353</v>
      </c>
      <c r="I188" s="131" t="s">
        <v>227</v>
      </c>
      <c r="J188" s="154">
        <v>2.5499999999999998E-2</v>
      </c>
      <c r="K188" s="133">
        <v>5.6229019885009013</v>
      </c>
      <c r="L188" s="134" t="s">
        <v>182</v>
      </c>
      <c r="M188" s="135">
        <v>45043089.340000004</v>
      </c>
    </row>
    <row r="189" spans="3:13" x14ac:dyDescent="0.35">
      <c r="C189" s="130" t="s">
        <v>96</v>
      </c>
      <c r="D189" s="130" t="s">
        <v>194</v>
      </c>
      <c r="E189" s="130" t="s">
        <v>195</v>
      </c>
      <c r="F189" s="130" t="s">
        <v>174</v>
      </c>
      <c r="G189" s="130" t="s">
        <v>175</v>
      </c>
      <c r="H189" s="131">
        <v>42353</v>
      </c>
      <c r="I189" s="131" t="s">
        <v>227</v>
      </c>
      <c r="J189" s="153">
        <v>0</v>
      </c>
      <c r="K189" s="133">
        <v>4.9894587004432553</v>
      </c>
      <c r="L189" s="134" t="s">
        <v>182</v>
      </c>
      <c r="M189" s="135">
        <v>-2791822.54</v>
      </c>
    </row>
    <row r="190" spans="3:13" x14ac:dyDescent="0.35">
      <c r="C190" s="130" t="s">
        <v>96</v>
      </c>
      <c r="D190" s="130" t="s">
        <v>187</v>
      </c>
      <c r="E190" s="130" t="s">
        <v>189</v>
      </c>
      <c r="F190" s="130" t="s">
        <v>228</v>
      </c>
      <c r="G190" s="130" t="s">
        <v>175</v>
      </c>
      <c r="H190" s="131">
        <v>42353</v>
      </c>
      <c r="I190" s="131" t="s">
        <v>227</v>
      </c>
      <c r="J190" s="154">
        <v>2.5499999999999998E-2</v>
      </c>
      <c r="K190" s="133">
        <v>5.6229019916091501</v>
      </c>
      <c r="L190" s="134" t="s">
        <v>182</v>
      </c>
      <c r="M190" s="135">
        <v>2410924.2699999996</v>
      </c>
    </row>
    <row r="191" spans="3:13" x14ac:dyDescent="0.35">
      <c r="C191" s="130" t="s">
        <v>96</v>
      </c>
      <c r="D191" s="130" t="s">
        <v>194</v>
      </c>
      <c r="E191" s="130" t="s">
        <v>195</v>
      </c>
      <c r="F191" s="130" t="s">
        <v>174</v>
      </c>
      <c r="G191" s="130" t="s">
        <v>175</v>
      </c>
      <c r="H191" s="131">
        <v>42353</v>
      </c>
      <c r="I191" s="131" t="s">
        <v>227</v>
      </c>
      <c r="J191" s="153">
        <v>0</v>
      </c>
      <c r="K191" s="133">
        <v>4.9892527277124827</v>
      </c>
      <c r="L191" s="134" t="s">
        <v>182</v>
      </c>
      <c r="M191" s="135">
        <v>-64.5</v>
      </c>
    </row>
    <row r="192" spans="3:13" x14ac:dyDescent="0.35">
      <c r="C192" s="130" t="s">
        <v>96</v>
      </c>
      <c r="D192" s="130" t="s">
        <v>187</v>
      </c>
      <c r="E192" s="130" t="s">
        <v>189</v>
      </c>
      <c r="F192" s="130" t="s">
        <v>228</v>
      </c>
      <c r="G192" s="130" t="s">
        <v>175</v>
      </c>
      <c r="H192" s="131">
        <v>42754</v>
      </c>
      <c r="I192" s="131" t="s">
        <v>229</v>
      </c>
      <c r="J192" s="154">
        <v>2.8799999999999999E-2</v>
      </c>
      <c r="K192" s="133">
        <v>4.9299966110924487</v>
      </c>
      <c r="L192" s="134" t="s">
        <v>182</v>
      </c>
      <c r="M192" s="135">
        <v>73620321.670000002</v>
      </c>
    </row>
    <row r="193" spans="3:13" x14ac:dyDescent="0.35">
      <c r="C193" s="130" t="s">
        <v>96</v>
      </c>
      <c r="D193" s="130" t="s">
        <v>194</v>
      </c>
      <c r="E193" s="130" t="s">
        <v>195</v>
      </c>
      <c r="F193" s="130" t="s">
        <v>174</v>
      </c>
      <c r="G193" s="130" t="s">
        <v>175</v>
      </c>
      <c r="H193" s="131">
        <v>42754</v>
      </c>
      <c r="I193" s="131" t="s">
        <v>229</v>
      </c>
      <c r="J193" s="153">
        <v>0</v>
      </c>
      <c r="K193" s="133">
        <v>4.9471982848836182</v>
      </c>
      <c r="L193" s="134" t="s">
        <v>182</v>
      </c>
      <c r="M193" s="135">
        <v>-2001339.33</v>
      </c>
    </row>
    <row r="194" spans="3:13" x14ac:dyDescent="0.35">
      <c r="C194" s="130" t="s">
        <v>96</v>
      </c>
      <c r="D194" s="130" t="s">
        <v>187</v>
      </c>
      <c r="E194" s="130" t="s">
        <v>189</v>
      </c>
      <c r="F194" s="130" t="s">
        <v>228</v>
      </c>
      <c r="G194" s="130" t="s">
        <v>175</v>
      </c>
      <c r="H194" s="131">
        <v>42754</v>
      </c>
      <c r="I194" s="131" t="s">
        <v>229</v>
      </c>
      <c r="J194" s="154">
        <v>2.8799999999999999E-2</v>
      </c>
      <c r="K194" s="133">
        <v>4.9301460315235497</v>
      </c>
      <c r="L194" s="134" t="s">
        <v>182</v>
      </c>
      <c r="M194" s="135">
        <v>75775964.069999993</v>
      </c>
    </row>
    <row r="195" spans="3:13" x14ac:dyDescent="0.35">
      <c r="C195" s="130" t="s">
        <v>96</v>
      </c>
      <c r="D195" s="130" t="s">
        <v>194</v>
      </c>
      <c r="E195" s="130" t="s">
        <v>195</v>
      </c>
      <c r="F195" s="130" t="s">
        <v>174</v>
      </c>
      <c r="G195" s="130" t="s">
        <v>175</v>
      </c>
      <c r="H195" s="131">
        <v>42754</v>
      </c>
      <c r="I195" s="131" t="s">
        <v>229</v>
      </c>
      <c r="J195" s="153">
        <v>0</v>
      </c>
      <c r="K195" s="133">
        <v>4.9471982695878776</v>
      </c>
      <c r="L195" s="134" t="s">
        <v>182</v>
      </c>
      <c r="M195" s="135">
        <v>-2045431.63</v>
      </c>
    </row>
    <row r="196" spans="3:13" x14ac:dyDescent="0.35">
      <c r="C196" s="130" t="s">
        <v>96</v>
      </c>
      <c r="D196" s="130" t="s">
        <v>187</v>
      </c>
      <c r="E196" s="130" t="s">
        <v>189</v>
      </c>
      <c r="F196" s="130" t="s">
        <v>228</v>
      </c>
      <c r="G196" s="130" t="s">
        <v>175</v>
      </c>
      <c r="H196" s="131">
        <v>42754</v>
      </c>
      <c r="I196" s="131" t="s">
        <v>229</v>
      </c>
      <c r="J196" s="154">
        <v>2.8799999999999999E-2</v>
      </c>
      <c r="K196" s="133">
        <v>4.9299966126940689</v>
      </c>
      <c r="L196" s="134" t="s">
        <v>182</v>
      </c>
      <c r="M196" s="135">
        <v>78529128.99000001</v>
      </c>
    </row>
    <row r="197" spans="3:13" x14ac:dyDescent="0.35">
      <c r="C197" s="130" t="s">
        <v>96</v>
      </c>
      <c r="D197" s="130" t="s">
        <v>194</v>
      </c>
      <c r="E197" s="130" t="s">
        <v>195</v>
      </c>
      <c r="F197" s="130" t="s">
        <v>174</v>
      </c>
      <c r="G197" s="130" t="s">
        <v>175</v>
      </c>
      <c r="H197" s="131">
        <v>42754</v>
      </c>
      <c r="I197" s="131" t="s">
        <v>229</v>
      </c>
      <c r="J197" s="153">
        <v>0</v>
      </c>
      <c r="K197" s="133">
        <v>4.947198275879499</v>
      </c>
      <c r="L197" s="134" t="s">
        <v>182</v>
      </c>
      <c r="M197" s="135">
        <v>-3199667.23</v>
      </c>
    </row>
    <row r="198" spans="3:13" x14ac:dyDescent="0.35">
      <c r="C198" s="130" t="s">
        <v>96</v>
      </c>
      <c r="D198" s="130" t="s">
        <v>187</v>
      </c>
      <c r="E198" s="130" t="s">
        <v>189</v>
      </c>
      <c r="F198" s="130" t="s">
        <v>228</v>
      </c>
      <c r="G198" s="130" t="s">
        <v>175</v>
      </c>
      <c r="H198" s="131">
        <v>42754</v>
      </c>
      <c r="I198" s="131" t="s">
        <v>229</v>
      </c>
      <c r="J198" s="154">
        <v>2.8799999999999999E-2</v>
      </c>
      <c r="K198" s="133">
        <v>4.929996612477165</v>
      </c>
      <c r="L198" s="134" t="s">
        <v>182</v>
      </c>
      <c r="M198" s="135">
        <v>73621015.129999995</v>
      </c>
    </row>
    <row r="199" spans="3:13" x14ac:dyDescent="0.35">
      <c r="C199" s="130" t="s">
        <v>96</v>
      </c>
      <c r="D199" s="130" t="s">
        <v>194</v>
      </c>
      <c r="E199" s="130" t="s">
        <v>195</v>
      </c>
      <c r="F199" s="130" t="s">
        <v>174</v>
      </c>
      <c r="G199" s="130" t="s">
        <v>175</v>
      </c>
      <c r="H199" s="131">
        <v>42754</v>
      </c>
      <c r="I199" s="131" t="s">
        <v>229</v>
      </c>
      <c r="J199" s="153">
        <v>0</v>
      </c>
      <c r="K199" s="133">
        <v>4.9471983044454548</v>
      </c>
      <c r="L199" s="134" t="s">
        <v>182</v>
      </c>
      <c r="M199" s="135">
        <v>-2062182.6600000001</v>
      </c>
    </row>
    <row r="200" spans="3:13" x14ac:dyDescent="0.35">
      <c r="C200" s="130" t="s">
        <v>96</v>
      </c>
      <c r="D200" s="130" t="s">
        <v>187</v>
      </c>
      <c r="E200" s="130" t="s">
        <v>189</v>
      </c>
      <c r="F200" s="130" t="s">
        <v>228</v>
      </c>
      <c r="G200" s="130" t="s">
        <v>175</v>
      </c>
      <c r="H200" s="131">
        <v>42754</v>
      </c>
      <c r="I200" s="131" t="s">
        <v>229</v>
      </c>
      <c r="J200" s="154">
        <v>2.8799999999999999E-2</v>
      </c>
      <c r="K200" s="133">
        <v>4.9299966126940689</v>
      </c>
      <c r="L200" s="134" t="s">
        <v>182</v>
      </c>
      <c r="M200" s="135">
        <v>78529128.99000001</v>
      </c>
    </row>
    <row r="201" spans="3:13" x14ac:dyDescent="0.35">
      <c r="C201" s="130" t="s">
        <v>96</v>
      </c>
      <c r="D201" s="130" t="s">
        <v>194</v>
      </c>
      <c r="E201" s="130" t="s">
        <v>195</v>
      </c>
      <c r="F201" s="130" t="s">
        <v>174</v>
      </c>
      <c r="G201" s="130" t="s">
        <v>175</v>
      </c>
      <c r="H201" s="131">
        <v>42754</v>
      </c>
      <c r="I201" s="131" t="s">
        <v>229</v>
      </c>
      <c r="J201" s="153">
        <v>0</v>
      </c>
      <c r="K201" s="133">
        <v>4.9471982758622595</v>
      </c>
      <c r="L201" s="134" t="s">
        <v>182</v>
      </c>
      <c r="M201" s="135">
        <v>-2204574.2000000002</v>
      </c>
    </row>
    <row r="202" spans="3:13" x14ac:dyDescent="0.35">
      <c r="C202" s="130" t="s">
        <v>96</v>
      </c>
      <c r="D202" s="130" t="s">
        <v>187</v>
      </c>
      <c r="E202" s="130" t="s">
        <v>179</v>
      </c>
      <c r="F202" s="130" t="s">
        <v>174</v>
      </c>
      <c r="G202" s="130" t="s">
        <v>175</v>
      </c>
      <c r="H202" s="131">
        <v>41421</v>
      </c>
      <c r="I202" s="131" t="s">
        <v>230</v>
      </c>
      <c r="J202" s="155">
        <v>2.5000000000000001E-2</v>
      </c>
      <c r="K202" s="133">
        <v>5.0731685501122126</v>
      </c>
      <c r="L202" s="134" t="s">
        <v>178</v>
      </c>
      <c r="M202" s="135">
        <v>31901579.619999997</v>
      </c>
    </row>
    <row r="203" spans="3:13" x14ac:dyDescent="0.35">
      <c r="C203" s="130" t="s">
        <v>96</v>
      </c>
      <c r="D203" s="130" t="s">
        <v>194</v>
      </c>
      <c r="E203" s="130" t="s">
        <v>195</v>
      </c>
      <c r="F203" s="130" t="s">
        <v>174</v>
      </c>
      <c r="G203" s="130" t="s">
        <v>175</v>
      </c>
      <c r="H203" s="131">
        <v>41421</v>
      </c>
      <c r="I203" s="131" t="s">
        <v>230</v>
      </c>
      <c r="J203" s="153">
        <v>0</v>
      </c>
      <c r="K203" s="133">
        <v>4.4398236772987731</v>
      </c>
      <c r="L203" s="134" t="s">
        <v>182</v>
      </c>
      <c r="M203" s="135">
        <v>-121174.16</v>
      </c>
    </row>
    <row r="204" spans="3:13" x14ac:dyDescent="0.35">
      <c r="C204" s="130" t="s">
        <v>96</v>
      </c>
      <c r="D204" s="130" t="s">
        <v>187</v>
      </c>
      <c r="E204" s="130" t="s">
        <v>179</v>
      </c>
      <c r="F204" s="130" t="s">
        <v>174</v>
      </c>
      <c r="G204" s="130" t="s">
        <v>175</v>
      </c>
      <c r="H204" s="131">
        <v>41421</v>
      </c>
      <c r="I204" s="131" t="s">
        <v>231</v>
      </c>
      <c r="J204" s="155">
        <v>2.5000000000000001E-2</v>
      </c>
      <c r="K204" s="133">
        <v>5.6003885960042679</v>
      </c>
      <c r="L204" s="134" t="s">
        <v>178</v>
      </c>
      <c r="M204" s="135">
        <v>27142452.589999996</v>
      </c>
    </row>
    <row r="205" spans="3:13" x14ac:dyDescent="0.35">
      <c r="C205" s="130" t="s">
        <v>96</v>
      </c>
      <c r="D205" s="130" t="s">
        <v>194</v>
      </c>
      <c r="E205" s="130" t="s">
        <v>195</v>
      </c>
      <c r="F205" s="130" t="s">
        <v>174</v>
      </c>
      <c r="G205" s="130" t="s">
        <v>175</v>
      </c>
      <c r="H205" s="131">
        <v>41421</v>
      </c>
      <c r="I205" s="131" t="s">
        <v>231</v>
      </c>
      <c r="J205" s="153">
        <v>0</v>
      </c>
      <c r="K205" s="133">
        <v>4.9471986679048614</v>
      </c>
      <c r="L205" s="134" t="s">
        <v>182</v>
      </c>
      <c r="M205" s="135">
        <v>-143831.49000000002</v>
      </c>
    </row>
    <row r="206" spans="3:13" x14ac:dyDescent="0.35">
      <c r="C206" s="130" t="s">
        <v>96</v>
      </c>
      <c r="D206" s="130" t="s">
        <v>187</v>
      </c>
      <c r="E206" s="130" t="s">
        <v>179</v>
      </c>
      <c r="F206" s="130" t="s">
        <v>174</v>
      </c>
      <c r="G206" s="130" t="s">
        <v>175</v>
      </c>
      <c r="H206" s="131">
        <v>41421</v>
      </c>
      <c r="I206" s="131" t="s">
        <v>230</v>
      </c>
      <c r="J206" s="155">
        <v>2.5000000000000001E-2</v>
      </c>
      <c r="K206" s="133">
        <v>5.2336870629960481</v>
      </c>
      <c r="L206" s="134" t="s">
        <v>178</v>
      </c>
      <c r="M206" s="135">
        <v>38372195.93999999</v>
      </c>
    </row>
    <row r="207" spans="3:13" x14ac:dyDescent="0.35">
      <c r="C207" s="130" t="s">
        <v>96</v>
      </c>
      <c r="D207" s="130" t="s">
        <v>194</v>
      </c>
      <c r="E207" s="130" t="s">
        <v>195</v>
      </c>
      <c r="F207" s="130" t="s">
        <v>174</v>
      </c>
      <c r="G207" s="130" t="s">
        <v>175</v>
      </c>
      <c r="H207" s="131">
        <v>41421</v>
      </c>
      <c r="I207" s="131" t="s">
        <v>230</v>
      </c>
      <c r="J207" s="153">
        <v>0</v>
      </c>
      <c r="K207" s="133">
        <v>4.4398238991455097</v>
      </c>
      <c r="L207" s="134" t="s">
        <v>182</v>
      </c>
      <c r="M207" s="135">
        <v>-113852.66999999998</v>
      </c>
    </row>
    <row r="208" spans="3:13" x14ac:dyDescent="0.35">
      <c r="C208" s="130" t="s">
        <v>96</v>
      </c>
      <c r="D208" s="130" t="s">
        <v>187</v>
      </c>
      <c r="E208" s="130" t="s">
        <v>179</v>
      </c>
      <c r="F208" s="130" t="s">
        <v>174</v>
      </c>
      <c r="G208" s="130" t="s">
        <v>175</v>
      </c>
      <c r="H208" s="131">
        <v>41421</v>
      </c>
      <c r="I208" s="131" t="s">
        <v>231</v>
      </c>
      <c r="J208" s="155">
        <v>2.5000000000000001E-2</v>
      </c>
      <c r="K208" s="133">
        <v>5.6730054901165605</v>
      </c>
      <c r="L208" s="134" t="s">
        <v>178</v>
      </c>
      <c r="M208" s="135">
        <v>19847816.489999998</v>
      </c>
    </row>
    <row r="209" spans="3:13" x14ac:dyDescent="0.35">
      <c r="C209" s="130" t="s">
        <v>96</v>
      </c>
      <c r="D209" s="130" t="s">
        <v>194</v>
      </c>
      <c r="E209" s="130" t="s">
        <v>195</v>
      </c>
      <c r="F209" s="130" t="s">
        <v>174</v>
      </c>
      <c r="G209" s="130" t="s">
        <v>175</v>
      </c>
      <c r="H209" s="131">
        <v>41421</v>
      </c>
      <c r="I209" s="131" t="s">
        <v>231</v>
      </c>
      <c r="J209" s="153">
        <v>0</v>
      </c>
      <c r="K209" s="133">
        <v>4.947198443360584</v>
      </c>
      <c r="L209" s="134" t="s">
        <v>182</v>
      </c>
      <c r="M209" s="135">
        <v>-138305.11000000002</v>
      </c>
    </row>
    <row r="210" spans="3:13" x14ac:dyDescent="0.35">
      <c r="C210" s="130" t="s">
        <v>96</v>
      </c>
      <c r="D210" s="130" t="s">
        <v>187</v>
      </c>
      <c r="E210" s="130" t="s">
        <v>189</v>
      </c>
      <c r="F210" s="130" t="s">
        <v>228</v>
      </c>
      <c r="G210" s="130" t="s">
        <v>175</v>
      </c>
      <c r="H210" s="131">
        <v>41352</v>
      </c>
      <c r="I210" s="131" t="s">
        <v>232</v>
      </c>
      <c r="J210" s="154">
        <v>2.0199999999999999E-2</v>
      </c>
      <c r="K210" s="133">
        <v>3.119724539062251</v>
      </c>
      <c r="L210" s="134" t="s">
        <v>182</v>
      </c>
      <c r="M210" s="135">
        <v>7644474.0800000019</v>
      </c>
    </row>
    <row r="211" spans="3:13" x14ac:dyDescent="0.35">
      <c r="C211" s="130" t="s">
        <v>96</v>
      </c>
      <c r="D211" s="130" t="s">
        <v>194</v>
      </c>
      <c r="E211" s="130" t="s">
        <v>195</v>
      </c>
      <c r="F211" s="130" t="s">
        <v>174</v>
      </c>
      <c r="G211" s="130" t="s">
        <v>175</v>
      </c>
      <c r="H211" s="131">
        <v>41352</v>
      </c>
      <c r="I211" s="131" t="s">
        <v>232</v>
      </c>
      <c r="J211" s="153">
        <v>0</v>
      </c>
      <c r="K211" s="133">
        <v>3.1294923231769642</v>
      </c>
      <c r="L211" s="134" t="s">
        <v>182</v>
      </c>
      <c r="M211" s="135">
        <v>-30602.67</v>
      </c>
    </row>
    <row r="212" spans="3:13" x14ac:dyDescent="0.35">
      <c r="C212" s="130" t="s">
        <v>96</v>
      </c>
      <c r="D212" s="130" t="s">
        <v>187</v>
      </c>
      <c r="E212" s="130" t="s">
        <v>189</v>
      </c>
      <c r="F212" s="130" t="s">
        <v>228</v>
      </c>
      <c r="G212" s="130" t="s">
        <v>175</v>
      </c>
      <c r="H212" s="131">
        <v>41352</v>
      </c>
      <c r="I212" s="131" t="s">
        <v>232</v>
      </c>
      <c r="J212" s="154">
        <v>2.0199999999999999E-2</v>
      </c>
      <c r="K212" s="133">
        <v>3.1197245343791007</v>
      </c>
      <c r="L212" s="134" t="s">
        <v>182</v>
      </c>
      <c r="M212" s="135">
        <v>2730812.25</v>
      </c>
    </row>
    <row r="213" spans="3:13" x14ac:dyDescent="0.35">
      <c r="C213" s="130" t="s">
        <v>96</v>
      </c>
      <c r="D213" s="130" t="s">
        <v>194</v>
      </c>
      <c r="E213" s="130" t="s">
        <v>195</v>
      </c>
      <c r="F213" s="130" t="s">
        <v>174</v>
      </c>
      <c r="G213" s="130" t="s">
        <v>175</v>
      </c>
      <c r="H213" s="131">
        <v>41352</v>
      </c>
      <c r="I213" s="131" t="s">
        <v>232</v>
      </c>
      <c r="J213" s="153">
        <v>0</v>
      </c>
      <c r="K213" s="133">
        <v>3.1294912873536709</v>
      </c>
      <c r="L213" s="134" t="s">
        <v>182</v>
      </c>
      <c r="M213" s="135">
        <v>-15149.77</v>
      </c>
    </row>
    <row r="214" spans="3:13" x14ac:dyDescent="0.35">
      <c r="C214" s="130" t="s">
        <v>96</v>
      </c>
      <c r="D214" s="130" t="s">
        <v>187</v>
      </c>
      <c r="E214" s="130" t="s">
        <v>189</v>
      </c>
      <c r="F214" s="130" t="s">
        <v>228</v>
      </c>
      <c r="G214" s="130" t="s">
        <v>175</v>
      </c>
      <c r="H214" s="131">
        <v>41376</v>
      </c>
      <c r="I214" s="131" t="s">
        <v>232</v>
      </c>
      <c r="J214" s="154">
        <v>2.0199999999999999E-2</v>
      </c>
      <c r="K214" s="133">
        <v>3.1197245380958418</v>
      </c>
      <c r="L214" s="134" t="s">
        <v>182</v>
      </c>
      <c r="M214" s="135">
        <v>15737704.140000001</v>
      </c>
    </row>
    <row r="215" spans="3:13" x14ac:dyDescent="0.35">
      <c r="C215" s="130" t="s">
        <v>96</v>
      </c>
      <c r="D215" s="130" t="s">
        <v>194</v>
      </c>
      <c r="E215" s="130" t="s">
        <v>195</v>
      </c>
      <c r="F215" s="130" t="s">
        <v>174</v>
      </c>
      <c r="G215" s="130" t="s">
        <v>175</v>
      </c>
      <c r="H215" s="131">
        <v>41376</v>
      </c>
      <c r="I215" s="131" t="s">
        <v>232</v>
      </c>
      <c r="J215" s="153">
        <v>0</v>
      </c>
      <c r="K215" s="133">
        <v>3.1294904616776167</v>
      </c>
      <c r="L215" s="134" t="s">
        <v>182</v>
      </c>
      <c r="M215" s="135">
        <v>-49716.59</v>
      </c>
    </row>
    <row r="216" spans="3:13" x14ac:dyDescent="0.35">
      <c r="C216" s="130" t="s">
        <v>96</v>
      </c>
      <c r="D216" s="130" t="s">
        <v>187</v>
      </c>
      <c r="E216" s="130" t="s">
        <v>189</v>
      </c>
      <c r="F216" s="130" t="s">
        <v>228</v>
      </c>
      <c r="G216" s="130" t="s">
        <v>175</v>
      </c>
      <c r="H216" s="131">
        <v>41376</v>
      </c>
      <c r="I216" s="131" t="s">
        <v>232</v>
      </c>
      <c r="J216" s="154">
        <v>2.18E-2</v>
      </c>
      <c r="K216" s="133">
        <v>3.1195381823966981</v>
      </c>
      <c r="L216" s="134" t="s">
        <v>182</v>
      </c>
      <c r="M216" s="135">
        <v>4824563.2999999989</v>
      </c>
    </row>
    <row r="217" spans="3:13" x14ac:dyDescent="0.35">
      <c r="C217" s="130" t="s">
        <v>96</v>
      </c>
      <c r="D217" s="130" t="s">
        <v>194</v>
      </c>
      <c r="E217" s="130" t="s">
        <v>195</v>
      </c>
      <c r="F217" s="130" t="s">
        <v>174</v>
      </c>
      <c r="G217" s="130" t="s">
        <v>175</v>
      </c>
      <c r="H217" s="131">
        <v>41376</v>
      </c>
      <c r="I217" s="131" t="s">
        <v>232</v>
      </c>
      <c r="J217" s="153">
        <v>0</v>
      </c>
      <c r="K217" s="133">
        <v>3.1294906129997497</v>
      </c>
      <c r="L217" s="134" t="s">
        <v>182</v>
      </c>
      <c r="M217" s="135">
        <v>-35321.859999999993</v>
      </c>
    </row>
    <row r="218" spans="3:13" x14ac:dyDescent="0.35">
      <c r="C218" s="130" t="s">
        <v>96</v>
      </c>
      <c r="D218" s="130" t="s">
        <v>187</v>
      </c>
      <c r="E218" s="130" t="s">
        <v>189</v>
      </c>
      <c r="F218" s="130" t="s">
        <v>228</v>
      </c>
      <c r="G218" s="130" t="s">
        <v>175</v>
      </c>
      <c r="H218" s="131">
        <v>42354</v>
      </c>
      <c r="I218" s="131" t="s">
        <v>233</v>
      </c>
      <c r="J218" s="154">
        <v>2.6499999999999999E-2</v>
      </c>
      <c r="K218" s="133">
        <v>5.2067673322303056</v>
      </c>
      <c r="L218" s="134" t="s">
        <v>182</v>
      </c>
      <c r="M218" s="135">
        <v>76618403.789999977</v>
      </c>
    </row>
    <row r="219" spans="3:13" x14ac:dyDescent="0.35">
      <c r="C219" s="130" t="s">
        <v>96</v>
      </c>
      <c r="D219" s="130" t="s">
        <v>194</v>
      </c>
      <c r="E219" s="130" t="s">
        <v>195</v>
      </c>
      <c r="F219" s="130" t="s">
        <v>174</v>
      </c>
      <c r="G219" s="130" t="s">
        <v>175</v>
      </c>
      <c r="H219" s="131">
        <v>42354</v>
      </c>
      <c r="I219" s="131" t="s">
        <v>233</v>
      </c>
      <c r="J219" s="153">
        <v>0</v>
      </c>
      <c r="K219" s="133">
        <v>4.6512495337897741</v>
      </c>
      <c r="L219" s="134" t="s">
        <v>182</v>
      </c>
      <c r="M219" s="135">
        <v>-71018.399999999994</v>
      </c>
    </row>
    <row r="220" spans="3:13" x14ac:dyDescent="0.35">
      <c r="C220" s="130" t="s">
        <v>96</v>
      </c>
      <c r="D220" s="130" t="s">
        <v>187</v>
      </c>
      <c r="E220" s="130" t="s">
        <v>189</v>
      </c>
      <c r="F220" s="130" t="s">
        <v>228</v>
      </c>
      <c r="G220" s="130" t="s">
        <v>175</v>
      </c>
      <c r="H220" s="131">
        <v>42354</v>
      </c>
      <c r="I220" s="131" t="s">
        <v>233</v>
      </c>
      <c r="J220" s="154">
        <v>2.6499999999999999E-2</v>
      </c>
      <c r="K220" s="133">
        <v>4.4669265668917433</v>
      </c>
      <c r="L220" s="134" t="s">
        <v>182</v>
      </c>
      <c r="M220" s="135">
        <v>46350014.640000001</v>
      </c>
    </row>
    <row r="221" spans="3:13" x14ac:dyDescent="0.35">
      <c r="C221" s="130" t="s">
        <v>96</v>
      </c>
      <c r="D221" s="130" t="s">
        <v>194</v>
      </c>
      <c r="E221" s="130" t="s">
        <v>195</v>
      </c>
      <c r="F221" s="130" t="s">
        <v>174</v>
      </c>
      <c r="G221" s="130" t="s">
        <v>175</v>
      </c>
      <c r="H221" s="131">
        <v>42354</v>
      </c>
      <c r="I221" s="131" t="s">
        <v>233</v>
      </c>
      <c r="J221" s="153">
        <v>0</v>
      </c>
      <c r="K221" s="133">
        <v>4.4820893090784217</v>
      </c>
      <c r="L221" s="134" t="s">
        <v>182</v>
      </c>
      <c r="M221" s="135">
        <v>-66511.590000000011</v>
      </c>
    </row>
    <row r="222" spans="3:13" x14ac:dyDescent="0.35">
      <c r="C222" s="130" t="s">
        <v>96</v>
      </c>
      <c r="D222" s="130" t="s">
        <v>187</v>
      </c>
      <c r="E222" s="130" t="s">
        <v>189</v>
      </c>
      <c r="F222" s="130" t="s">
        <v>228</v>
      </c>
      <c r="G222" s="130" t="s">
        <v>175</v>
      </c>
      <c r="H222" s="131">
        <v>42354</v>
      </c>
      <c r="I222" s="131" t="s">
        <v>233</v>
      </c>
      <c r="J222" s="154">
        <v>2.6499999999999999E-2</v>
      </c>
      <c r="K222" s="133">
        <v>4.4669265705781882</v>
      </c>
      <c r="L222" s="134" t="s">
        <v>182</v>
      </c>
      <c r="M222" s="135">
        <v>32321177.220000003</v>
      </c>
    </row>
    <row r="223" spans="3:13" x14ac:dyDescent="0.35">
      <c r="C223" s="130" t="s">
        <v>96</v>
      </c>
      <c r="D223" s="130" t="s">
        <v>194</v>
      </c>
      <c r="E223" s="130" t="s">
        <v>195</v>
      </c>
      <c r="F223" s="130" t="s">
        <v>174</v>
      </c>
      <c r="G223" s="130" t="s">
        <v>175</v>
      </c>
      <c r="H223" s="131">
        <v>42354</v>
      </c>
      <c r="I223" s="131" t="s">
        <v>233</v>
      </c>
      <c r="J223" s="153">
        <v>0</v>
      </c>
      <c r="K223" s="133">
        <v>4.4820885957596044</v>
      </c>
      <c r="L223" s="134" t="s">
        <v>182</v>
      </c>
      <c r="M223" s="135">
        <v>-50695.519999999997</v>
      </c>
    </row>
    <row r="224" spans="3:13" x14ac:dyDescent="0.35">
      <c r="C224" s="130" t="s">
        <v>96</v>
      </c>
      <c r="D224" s="130" t="s">
        <v>187</v>
      </c>
      <c r="E224" s="130" t="s">
        <v>189</v>
      </c>
      <c r="F224" s="130" t="s">
        <v>228</v>
      </c>
      <c r="G224" s="130" t="s">
        <v>175</v>
      </c>
      <c r="H224" s="131">
        <v>42354</v>
      </c>
      <c r="I224" s="131" t="s">
        <v>233</v>
      </c>
      <c r="J224" s="154">
        <v>2.6499999999999999E-2</v>
      </c>
      <c r="K224" s="133">
        <v>5.204641986098836</v>
      </c>
      <c r="L224" s="134" t="s">
        <v>182</v>
      </c>
      <c r="M224" s="135">
        <v>76094988.140000001</v>
      </c>
    </row>
    <row r="225" spans="3:13" x14ac:dyDescent="0.35">
      <c r="C225" s="130" t="s">
        <v>96</v>
      </c>
      <c r="D225" s="130" t="s">
        <v>194</v>
      </c>
      <c r="E225" s="130" t="s">
        <v>195</v>
      </c>
      <c r="F225" s="130" t="s">
        <v>174</v>
      </c>
      <c r="G225" s="130" t="s">
        <v>175</v>
      </c>
      <c r="H225" s="131">
        <v>42354</v>
      </c>
      <c r="I225" s="131" t="s">
        <v>233</v>
      </c>
      <c r="J225" s="153">
        <v>0</v>
      </c>
      <c r="K225" s="133">
        <v>4.6512484110360068</v>
      </c>
      <c r="L225" s="134" t="s">
        <v>182</v>
      </c>
      <c r="M225" s="135">
        <v>-69750.69</v>
      </c>
    </row>
    <row r="226" spans="3:13" x14ac:dyDescent="0.35">
      <c r="C226" s="130" t="s">
        <v>96</v>
      </c>
      <c r="D226" s="130" t="s">
        <v>187</v>
      </c>
      <c r="E226" s="130" t="s">
        <v>189</v>
      </c>
      <c r="F226" s="130" t="s">
        <v>228</v>
      </c>
      <c r="G226" s="130" t="s">
        <v>175</v>
      </c>
      <c r="H226" s="131">
        <v>42354</v>
      </c>
      <c r="I226" s="131" t="s">
        <v>233</v>
      </c>
      <c r="J226" s="154">
        <v>2.6499999999999999E-2</v>
      </c>
      <c r="K226" s="133">
        <v>5.2049757294909593</v>
      </c>
      <c r="L226" s="134" t="s">
        <v>182</v>
      </c>
      <c r="M226" s="135">
        <v>48790869.539999999</v>
      </c>
    </row>
    <row r="227" spans="3:13" x14ac:dyDescent="0.35">
      <c r="C227" s="130" t="s">
        <v>96</v>
      </c>
      <c r="D227" s="130" t="s">
        <v>194</v>
      </c>
      <c r="E227" s="130" t="s">
        <v>195</v>
      </c>
      <c r="F227" s="130" t="s">
        <v>174</v>
      </c>
      <c r="G227" s="130" t="s">
        <v>175</v>
      </c>
      <c r="H227" s="131">
        <v>42354</v>
      </c>
      <c r="I227" s="131" t="s">
        <v>233</v>
      </c>
      <c r="J227" s="153">
        <v>0</v>
      </c>
      <c r="K227" s="133">
        <v>4.6512488895116704</v>
      </c>
      <c r="L227" s="134" t="s">
        <v>182</v>
      </c>
      <c r="M227" s="135">
        <v>-51086.549999999996</v>
      </c>
    </row>
    <row r="228" spans="3:13" x14ac:dyDescent="0.35">
      <c r="C228" s="130" t="s">
        <v>96</v>
      </c>
      <c r="D228" s="130" t="s">
        <v>187</v>
      </c>
      <c r="E228" s="130" t="s">
        <v>179</v>
      </c>
      <c r="F228" s="130" t="s">
        <v>110</v>
      </c>
      <c r="G228" s="130" t="s">
        <v>175</v>
      </c>
      <c r="H228" s="131">
        <v>43444</v>
      </c>
      <c r="I228" s="131" t="s">
        <v>234</v>
      </c>
      <c r="J228" s="142">
        <v>2.5700000000000001E-2</v>
      </c>
      <c r="K228" s="133">
        <v>7.9574828426341107</v>
      </c>
      <c r="L228" s="134" t="s">
        <v>182</v>
      </c>
      <c r="M228" s="135">
        <v>76558066.769999996</v>
      </c>
    </row>
    <row r="229" spans="3:13" x14ac:dyDescent="0.35">
      <c r="C229" s="130" t="s">
        <v>96</v>
      </c>
      <c r="D229" s="130" t="s">
        <v>194</v>
      </c>
      <c r="E229" s="130" t="s">
        <v>195</v>
      </c>
      <c r="F229" s="130" t="s">
        <v>174</v>
      </c>
      <c r="G229" s="130" t="s">
        <v>175</v>
      </c>
      <c r="H229" s="131">
        <v>43444</v>
      </c>
      <c r="I229" s="131" t="s">
        <v>234</v>
      </c>
      <c r="J229" s="153">
        <v>0</v>
      </c>
      <c r="K229" s="133">
        <v>7.7795537353918718</v>
      </c>
      <c r="L229" s="134" t="s">
        <v>182</v>
      </c>
      <c r="M229" s="135">
        <v>-201290.53000000003</v>
      </c>
    </row>
    <row r="230" spans="3:13" x14ac:dyDescent="0.35">
      <c r="C230" s="130" t="s">
        <v>96</v>
      </c>
      <c r="D230" s="130" t="s">
        <v>187</v>
      </c>
      <c r="E230" s="130" t="s">
        <v>179</v>
      </c>
      <c r="F230" s="130" t="s">
        <v>110</v>
      </c>
      <c r="G230" s="130" t="s">
        <v>175</v>
      </c>
      <c r="H230" s="131">
        <v>43446</v>
      </c>
      <c r="I230" s="131" t="s">
        <v>234</v>
      </c>
      <c r="J230" s="142">
        <v>2.5700000000000001E-2</v>
      </c>
      <c r="K230" s="133">
        <v>8.3846193014181249</v>
      </c>
      <c r="L230" s="134" t="s">
        <v>182</v>
      </c>
      <c r="M230" s="135">
        <v>120078253.59999999</v>
      </c>
    </row>
    <row r="231" spans="3:13" x14ac:dyDescent="0.35">
      <c r="C231" s="130" t="s">
        <v>96</v>
      </c>
      <c r="D231" s="130" t="s">
        <v>194</v>
      </c>
      <c r="E231" s="130" t="s">
        <v>195</v>
      </c>
      <c r="F231" s="130" t="s">
        <v>174</v>
      </c>
      <c r="G231" s="130" t="s">
        <v>175</v>
      </c>
      <c r="H231" s="131">
        <v>43446</v>
      </c>
      <c r="I231" s="131" t="s">
        <v>234</v>
      </c>
      <c r="J231" s="153">
        <v>0</v>
      </c>
      <c r="K231" s="133">
        <v>7.7795537625460485</v>
      </c>
      <c r="L231" s="134" t="s">
        <v>182</v>
      </c>
      <c r="M231" s="135">
        <v>-278554.99</v>
      </c>
    </row>
    <row r="232" spans="3:13" x14ac:dyDescent="0.35">
      <c r="C232" s="130" t="s">
        <v>96</v>
      </c>
      <c r="D232" s="130" t="s">
        <v>187</v>
      </c>
      <c r="E232" s="130" t="s">
        <v>179</v>
      </c>
      <c r="F232" s="130" t="s">
        <v>110</v>
      </c>
      <c r="G232" s="130" t="s">
        <v>175</v>
      </c>
      <c r="H232" s="131">
        <v>43434</v>
      </c>
      <c r="I232" s="131" t="s">
        <v>234</v>
      </c>
      <c r="J232" s="142">
        <v>2.5700000000000001E-2</v>
      </c>
      <c r="K232" s="133">
        <v>8.8662961861362426</v>
      </c>
      <c r="L232" s="134" t="s">
        <v>182</v>
      </c>
      <c r="M232" s="135">
        <v>130404785.50000001</v>
      </c>
    </row>
    <row r="233" spans="3:13" x14ac:dyDescent="0.35">
      <c r="C233" s="130" t="s">
        <v>96</v>
      </c>
      <c r="D233" s="130" t="s">
        <v>194</v>
      </c>
      <c r="E233" s="130" t="s">
        <v>195</v>
      </c>
      <c r="F233" s="130" t="s">
        <v>174</v>
      </c>
      <c r="G233" s="130" t="s">
        <v>175</v>
      </c>
      <c r="H233" s="131">
        <v>43434</v>
      </c>
      <c r="I233" s="131" t="s">
        <v>234</v>
      </c>
      <c r="J233" s="153">
        <v>0</v>
      </c>
      <c r="K233" s="133">
        <v>7.779553481215852</v>
      </c>
      <c r="L233" s="134" t="s">
        <v>182</v>
      </c>
      <c r="M233" s="135">
        <v>-254796.76</v>
      </c>
    </row>
    <row r="234" spans="3:13" x14ac:dyDescent="0.35">
      <c r="C234" s="130" t="s">
        <v>96</v>
      </c>
      <c r="D234" s="130" t="s">
        <v>187</v>
      </c>
      <c r="E234" s="130" t="s">
        <v>179</v>
      </c>
      <c r="F234" s="130" t="s">
        <v>110</v>
      </c>
      <c r="G234" s="130" t="s">
        <v>175</v>
      </c>
      <c r="H234" s="131">
        <v>43185</v>
      </c>
      <c r="I234" s="131" t="s">
        <v>235</v>
      </c>
      <c r="J234" s="142">
        <v>2.18E-2</v>
      </c>
      <c r="K234" s="133">
        <v>7.9106911586828774</v>
      </c>
      <c r="L234" s="134" t="s">
        <v>182</v>
      </c>
      <c r="M234" s="135">
        <v>94134408.219999999</v>
      </c>
    </row>
    <row r="235" spans="3:13" x14ac:dyDescent="0.35">
      <c r="C235" s="130" t="s">
        <v>96</v>
      </c>
      <c r="D235" s="130" t="s">
        <v>194</v>
      </c>
      <c r="E235" s="130" t="s">
        <v>195</v>
      </c>
      <c r="F235" s="130" t="s">
        <v>174</v>
      </c>
      <c r="G235" s="130" t="s">
        <v>175</v>
      </c>
      <c r="H235" s="131">
        <v>43185</v>
      </c>
      <c r="I235" s="131" t="s">
        <v>235</v>
      </c>
      <c r="J235" s="153">
        <v>0</v>
      </c>
      <c r="K235" s="133">
        <v>6.934066174214685</v>
      </c>
      <c r="L235" s="134" t="s">
        <v>182</v>
      </c>
      <c r="M235" s="135">
        <v>-1323680.0500000003</v>
      </c>
    </row>
    <row r="236" spans="3:13" x14ac:dyDescent="0.35">
      <c r="C236" s="130" t="s">
        <v>96</v>
      </c>
      <c r="D236" s="130" t="s">
        <v>187</v>
      </c>
      <c r="E236" s="130" t="s">
        <v>179</v>
      </c>
      <c r="F236" s="130" t="s">
        <v>110</v>
      </c>
      <c r="G236" s="130" t="s">
        <v>175</v>
      </c>
      <c r="H236" s="131">
        <v>43193</v>
      </c>
      <c r="I236" s="131" t="s">
        <v>235</v>
      </c>
      <c r="J236" s="142">
        <v>2.1100000000000001E-2</v>
      </c>
      <c r="K236" s="133">
        <v>7.8582766573711016</v>
      </c>
      <c r="L236" s="134" t="s">
        <v>182</v>
      </c>
      <c r="M236" s="135">
        <v>58611462.799999997</v>
      </c>
    </row>
    <row r="237" spans="3:13" x14ac:dyDescent="0.35">
      <c r="C237" s="130" t="s">
        <v>96</v>
      </c>
      <c r="D237" s="130" t="s">
        <v>194</v>
      </c>
      <c r="E237" s="130" t="s">
        <v>195</v>
      </c>
      <c r="F237" s="130" t="s">
        <v>174</v>
      </c>
      <c r="G237" s="130" t="s">
        <v>175</v>
      </c>
      <c r="H237" s="131">
        <v>43193</v>
      </c>
      <c r="I237" s="131" t="s">
        <v>235</v>
      </c>
      <c r="J237" s="153">
        <v>0</v>
      </c>
      <c r="K237" s="133">
        <v>6.9340659596853991</v>
      </c>
      <c r="L237" s="134" t="s">
        <v>182</v>
      </c>
      <c r="M237" s="135">
        <v>-385570.57999999996</v>
      </c>
    </row>
    <row r="238" spans="3:13" x14ac:dyDescent="0.35">
      <c r="C238" s="130" t="s">
        <v>96</v>
      </c>
      <c r="D238" s="130" t="s">
        <v>187</v>
      </c>
      <c r="E238" s="130" t="s">
        <v>179</v>
      </c>
      <c r="F238" s="130" t="s">
        <v>110</v>
      </c>
      <c r="G238" s="130" t="s">
        <v>175</v>
      </c>
      <c r="H238" s="131">
        <v>43201</v>
      </c>
      <c r="I238" s="131" t="s">
        <v>236</v>
      </c>
      <c r="J238" s="142">
        <v>2.1100000000000001E-2</v>
      </c>
      <c r="K238" s="133">
        <v>8.3090478001665051</v>
      </c>
      <c r="L238" s="134" t="s">
        <v>182</v>
      </c>
      <c r="M238" s="135">
        <v>80601015.37000002</v>
      </c>
    </row>
    <row r="239" spans="3:13" x14ac:dyDescent="0.35">
      <c r="C239" s="130" t="s">
        <v>96</v>
      </c>
      <c r="D239" s="130" t="s">
        <v>194</v>
      </c>
      <c r="E239" s="130" t="s">
        <v>195</v>
      </c>
      <c r="F239" s="130" t="s">
        <v>174</v>
      </c>
      <c r="G239" s="130" t="s">
        <v>175</v>
      </c>
      <c r="H239" s="131">
        <v>43201</v>
      </c>
      <c r="I239" s="131" t="s">
        <v>236</v>
      </c>
      <c r="J239" s="153">
        <v>0</v>
      </c>
      <c r="K239" s="133">
        <v>7.1877219283731595</v>
      </c>
      <c r="L239" s="134" t="s">
        <v>182</v>
      </c>
      <c r="M239" s="135">
        <v>-1376540.3900000001</v>
      </c>
    </row>
    <row r="240" spans="3:13" x14ac:dyDescent="0.35">
      <c r="C240" s="130" t="s">
        <v>96</v>
      </c>
      <c r="D240" s="130" t="s">
        <v>187</v>
      </c>
      <c r="E240" s="130" t="s">
        <v>179</v>
      </c>
      <c r="F240" s="130" t="s">
        <v>110</v>
      </c>
      <c r="G240" s="130" t="s">
        <v>175</v>
      </c>
      <c r="H240" s="131">
        <v>43208</v>
      </c>
      <c r="I240" s="131" t="s">
        <v>237</v>
      </c>
      <c r="J240" s="142">
        <v>2.1100000000000001E-2</v>
      </c>
      <c r="K240" s="133">
        <v>8.1709420357578182</v>
      </c>
      <c r="L240" s="134" t="s">
        <v>182</v>
      </c>
      <c r="M240" s="135">
        <v>68726264.180000007</v>
      </c>
    </row>
    <row r="241" spans="3:13" x14ac:dyDescent="0.35">
      <c r="C241" s="130" t="s">
        <v>96</v>
      </c>
      <c r="D241" s="130" t="s">
        <v>194</v>
      </c>
      <c r="E241" s="130" t="s">
        <v>195</v>
      </c>
      <c r="F241" s="130" t="s">
        <v>174</v>
      </c>
      <c r="G241" s="130" t="s">
        <v>175</v>
      </c>
      <c r="H241" s="131">
        <v>43208</v>
      </c>
      <c r="I241" s="131" t="s">
        <v>237</v>
      </c>
      <c r="J241" s="153">
        <v>0</v>
      </c>
      <c r="K241" s="133">
        <v>7.229999987647675</v>
      </c>
      <c r="L241" s="134" t="s">
        <v>182</v>
      </c>
      <c r="M241" s="135">
        <v>-1241321.24</v>
      </c>
    </row>
    <row r="242" spans="3:13" x14ac:dyDescent="0.35">
      <c r="C242" s="130" t="s">
        <v>96</v>
      </c>
      <c r="D242" s="130" t="s">
        <v>187</v>
      </c>
      <c r="E242" s="130" t="s">
        <v>179</v>
      </c>
      <c r="F242" s="130" t="s">
        <v>110</v>
      </c>
      <c r="G242" s="130" t="s">
        <v>175</v>
      </c>
      <c r="H242" s="131">
        <v>43168</v>
      </c>
      <c r="I242" s="131" t="s">
        <v>238</v>
      </c>
      <c r="J242" s="142">
        <v>2.18E-2</v>
      </c>
      <c r="K242" s="133">
        <v>8.657661741027793</v>
      </c>
      <c r="L242" s="134" t="s">
        <v>182</v>
      </c>
      <c r="M242" s="135">
        <v>93050852.75</v>
      </c>
    </row>
    <row r="243" spans="3:13" x14ac:dyDescent="0.35">
      <c r="C243" s="130" t="s">
        <v>96</v>
      </c>
      <c r="D243" s="130" t="s">
        <v>194</v>
      </c>
      <c r="E243" s="130" t="s">
        <v>195</v>
      </c>
      <c r="F243" s="130" t="s">
        <v>174</v>
      </c>
      <c r="G243" s="130" t="s">
        <v>175</v>
      </c>
      <c r="H243" s="131">
        <v>43168</v>
      </c>
      <c r="I243" s="131" t="s">
        <v>238</v>
      </c>
      <c r="J243" s="153">
        <v>0</v>
      </c>
      <c r="K243" s="133">
        <v>7.3991059848612268</v>
      </c>
      <c r="L243" s="134" t="s">
        <v>182</v>
      </c>
      <c r="M243" s="135">
        <v>-777656.1</v>
      </c>
    </row>
    <row r="244" spans="3:13" x14ac:dyDescent="0.35">
      <c r="C244" s="130" t="s">
        <v>96</v>
      </c>
      <c r="D244" s="130" t="s">
        <v>187</v>
      </c>
      <c r="E244" s="130" t="s">
        <v>179</v>
      </c>
      <c r="F244" s="130" t="s">
        <v>110</v>
      </c>
      <c r="G244" s="130" t="s">
        <v>175</v>
      </c>
      <c r="H244" s="131">
        <v>43175</v>
      </c>
      <c r="I244" s="131" t="s">
        <v>238</v>
      </c>
      <c r="J244" s="142">
        <v>2.18E-2</v>
      </c>
      <c r="K244" s="133">
        <v>8.5794642172400923</v>
      </c>
      <c r="L244" s="134" t="s">
        <v>182</v>
      </c>
      <c r="M244" s="135">
        <v>67967358.789999992</v>
      </c>
    </row>
    <row r="245" spans="3:13" x14ac:dyDescent="0.35">
      <c r="C245" s="130" t="s">
        <v>96</v>
      </c>
      <c r="D245" s="130" t="s">
        <v>194</v>
      </c>
      <c r="E245" s="130" t="s">
        <v>195</v>
      </c>
      <c r="F245" s="130" t="s">
        <v>174</v>
      </c>
      <c r="G245" s="130" t="s">
        <v>175</v>
      </c>
      <c r="H245" s="131">
        <v>43175</v>
      </c>
      <c r="I245" s="131" t="s">
        <v>238</v>
      </c>
      <c r="J245" s="153">
        <v>0</v>
      </c>
      <c r="K245" s="133">
        <v>7.3991059941247332</v>
      </c>
      <c r="L245" s="134" t="s">
        <v>182</v>
      </c>
      <c r="M245" s="135">
        <v>-979853.74000000011</v>
      </c>
    </row>
    <row r="246" spans="3:13" x14ac:dyDescent="0.35">
      <c r="C246" s="130" t="s">
        <v>96</v>
      </c>
      <c r="D246" s="130" t="s">
        <v>187</v>
      </c>
      <c r="E246" s="130" t="s">
        <v>179</v>
      </c>
      <c r="F246" s="130" t="s">
        <v>110</v>
      </c>
      <c r="G246" s="130" t="s">
        <v>175</v>
      </c>
      <c r="H246" s="131">
        <v>43440</v>
      </c>
      <c r="I246" s="131" t="s">
        <v>239</v>
      </c>
      <c r="J246" s="142">
        <v>2.5700000000000001E-2</v>
      </c>
      <c r="K246" s="133">
        <v>6.98164032728174</v>
      </c>
      <c r="L246" s="134" t="s">
        <v>182</v>
      </c>
      <c r="M246" s="135">
        <v>117909028.15000001</v>
      </c>
    </row>
    <row r="247" spans="3:13" x14ac:dyDescent="0.35">
      <c r="C247" s="130" t="s">
        <v>96</v>
      </c>
      <c r="D247" s="130" t="s">
        <v>194</v>
      </c>
      <c r="E247" s="130" t="s">
        <v>195</v>
      </c>
      <c r="F247" s="130" t="s">
        <v>174</v>
      </c>
      <c r="G247" s="130" t="s">
        <v>175</v>
      </c>
      <c r="H247" s="131">
        <v>43440</v>
      </c>
      <c r="I247" s="131" t="s">
        <v>239</v>
      </c>
      <c r="J247" s="153">
        <v>0</v>
      </c>
      <c r="K247" s="133">
        <v>6.2576150558640116</v>
      </c>
      <c r="L247" s="134" t="s">
        <v>182</v>
      </c>
      <c r="M247" s="135">
        <v>-256183.06999999998</v>
      </c>
    </row>
    <row r="248" spans="3:13" x14ac:dyDescent="0.35">
      <c r="C248" s="130" t="s">
        <v>96</v>
      </c>
      <c r="D248" s="130" t="s">
        <v>187</v>
      </c>
      <c r="E248" s="130" t="s">
        <v>179</v>
      </c>
      <c r="F248" s="130" t="s">
        <v>110</v>
      </c>
      <c r="G248" s="130" t="s">
        <v>175</v>
      </c>
      <c r="H248" s="131">
        <v>43444</v>
      </c>
      <c r="I248" s="131" t="s">
        <v>239</v>
      </c>
      <c r="J248" s="142">
        <v>2.5700000000000001E-2</v>
      </c>
      <c r="K248" s="133">
        <v>6.8816204074910683</v>
      </c>
      <c r="L248" s="134" t="s">
        <v>182</v>
      </c>
      <c r="M248" s="135">
        <v>103429862.11</v>
      </c>
    </row>
    <row r="249" spans="3:13" x14ac:dyDescent="0.35">
      <c r="C249" s="130" t="s">
        <v>96</v>
      </c>
      <c r="D249" s="130" t="s">
        <v>194</v>
      </c>
      <c r="E249" s="130" t="s">
        <v>195</v>
      </c>
      <c r="F249" s="130" t="s">
        <v>174</v>
      </c>
      <c r="G249" s="130" t="s">
        <v>175</v>
      </c>
      <c r="H249" s="131">
        <v>43444</v>
      </c>
      <c r="I249" s="131" t="s">
        <v>239</v>
      </c>
      <c r="J249" s="153">
        <v>0</v>
      </c>
      <c r="K249" s="133">
        <v>6.257615482640257</v>
      </c>
      <c r="L249" s="134" t="s">
        <v>182</v>
      </c>
      <c r="M249" s="135">
        <v>-337448.57</v>
      </c>
    </row>
    <row r="250" spans="3:13" x14ac:dyDescent="0.35">
      <c r="C250" s="130" t="s">
        <v>96</v>
      </c>
      <c r="D250" s="130" t="s">
        <v>187</v>
      </c>
      <c r="E250" s="130" t="s">
        <v>179</v>
      </c>
      <c r="F250" s="130" t="s">
        <v>110</v>
      </c>
      <c r="G250" s="130" t="s">
        <v>175</v>
      </c>
      <c r="H250" s="131">
        <v>43446</v>
      </c>
      <c r="I250" s="131" t="s">
        <v>239</v>
      </c>
      <c r="J250" s="142">
        <v>2.5700000000000001E-2</v>
      </c>
      <c r="K250" s="133">
        <v>6.7895486339856994</v>
      </c>
      <c r="L250" s="134" t="s">
        <v>182</v>
      </c>
      <c r="M250" s="135">
        <v>47800224.849999994</v>
      </c>
    </row>
    <row r="251" spans="3:13" x14ac:dyDescent="0.35">
      <c r="C251" s="130" t="s">
        <v>96</v>
      </c>
      <c r="D251" s="130" t="s">
        <v>194</v>
      </c>
      <c r="E251" s="130" t="s">
        <v>195</v>
      </c>
      <c r="F251" s="130" t="s">
        <v>174</v>
      </c>
      <c r="G251" s="130" t="s">
        <v>175</v>
      </c>
      <c r="H251" s="131">
        <v>43446</v>
      </c>
      <c r="I251" s="131" t="s">
        <v>239</v>
      </c>
      <c r="J251" s="153">
        <v>0</v>
      </c>
      <c r="K251" s="133">
        <v>6.2576150280031975</v>
      </c>
      <c r="L251" s="134" t="s">
        <v>182</v>
      </c>
      <c r="M251" s="135">
        <v>-182360.92999999996</v>
      </c>
    </row>
    <row r="252" spans="3:13" x14ac:dyDescent="0.35">
      <c r="C252" s="130" t="s">
        <v>96</v>
      </c>
      <c r="D252" s="130" t="s">
        <v>187</v>
      </c>
      <c r="E252" s="130" t="s">
        <v>179</v>
      </c>
      <c r="F252" s="130" t="s">
        <v>110</v>
      </c>
      <c r="G252" s="130" t="s">
        <v>175</v>
      </c>
      <c r="H252" s="131">
        <v>43732</v>
      </c>
      <c r="I252" s="131">
        <v>50983</v>
      </c>
      <c r="J252" s="142">
        <v>1.04E-2</v>
      </c>
      <c r="K252" s="133">
        <v>8.255860923591273</v>
      </c>
      <c r="L252" s="134" t="s">
        <v>178</v>
      </c>
      <c r="M252" s="135">
        <v>82674121.690000013</v>
      </c>
    </row>
    <row r="253" spans="3:13" x14ac:dyDescent="0.35">
      <c r="C253" s="130" t="s">
        <v>96</v>
      </c>
      <c r="D253" s="130" t="s">
        <v>194</v>
      </c>
      <c r="E253" s="130" t="s">
        <v>195</v>
      </c>
      <c r="F253" s="130" t="s">
        <v>174</v>
      </c>
      <c r="G253" s="130" t="s">
        <v>175</v>
      </c>
      <c r="H253" s="131">
        <v>43732</v>
      </c>
      <c r="I253" s="131">
        <v>50983</v>
      </c>
      <c r="J253" s="141">
        <v>0</v>
      </c>
      <c r="K253" s="133">
        <v>8.1176848404313198</v>
      </c>
      <c r="L253" s="134" t="s">
        <v>182</v>
      </c>
      <c r="M253" s="135">
        <v>-925531.72</v>
      </c>
    </row>
    <row r="254" spans="3:13" x14ac:dyDescent="0.35">
      <c r="C254" s="130" t="s">
        <v>96</v>
      </c>
      <c r="D254" s="130" t="s">
        <v>187</v>
      </c>
      <c r="E254" s="130" t="s">
        <v>179</v>
      </c>
      <c r="F254" s="130" t="s">
        <v>110</v>
      </c>
      <c r="G254" s="130" t="s">
        <v>175</v>
      </c>
      <c r="H254" s="131">
        <v>43732</v>
      </c>
      <c r="I254" s="131">
        <v>51014</v>
      </c>
      <c r="J254" s="142">
        <v>1.04E-2</v>
      </c>
      <c r="K254" s="133">
        <v>8.3506295942795372</v>
      </c>
      <c r="L254" s="134" t="s">
        <v>178</v>
      </c>
      <c r="M254" s="135">
        <v>81278981.960000008</v>
      </c>
    </row>
    <row r="255" spans="3:13" x14ac:dyDescent="0.35">
      <c r="C255" s="130" t="s">
        <v>96</v>
      </c>
      <c r="D255" s="130" t="s">
        <v>194</v>
      </c>
      <c r="E255" s="130" t="s">
        <v>195</v>
      </c>
      <c r="F255" s="130" t="s">
        <v>174</v>
      </c>
      <c r="G255" s="130" t="s">
        <v>175</v>
      </c>
      <c r="H255" s="131">
        <v>43732</v>
      </c>
      <c r="I255" s="131">
        <v>51014</v>
      </c>
      <c r="J255" s="153">
        <v>0</v>
      </c>
      <c r="K255" s="133">
        <v>8.1599536717690277</v>
      </c>
      <c r="L255" s="134" t="s">
        <v>182</v>
      </c>
      <c r="M255" s="135">
        <v>-895192.87000000011</v>
      </c>
    </row>
    <row r="256" spans="3:13" x14ac:dyDescent="0.35">
      <c r="C256" s="130" t="s">
        <v>96</v>
      </c>
      <c r="D256" s="130" t="s">
        <v>187</v>
      </c>
      <c r="E256" s="130" t="s">
        <v>180</v>
      </c>
      <c r="F256" s="130" t="s">
        <v>110</v>
      </c>
      <c r="G256" s="130" t="s">
        <v>175</v>
      </c>
      <c r="H256" s="131">
        <v>44194</v>
      </c>
      <c r="I256" s="131">
        <v>51318</v>
      </c>
      <c r="J256" s="142">
        <v>9.5999999999999992E-3</v>
      </c>
      <c r="K256" s="133">
        <v>8.6681960809712919</v>
      </c>
      <c r="L256" s="134" t="s">
        <v>178</v>
      </c>
      <c r="M256" s="135">
        <v>61536401</v>
      </c>
    </row>
    <row r="257" spans="3:13" x14ac:dyDescent="0.35">
      <c r="C257" s="130" t="s">
        <v>96</v>
      </c>
      <c r="D257" s="130" t="s">
        <v>194</v>
      </c>
      <c r="E257" s="130" t="s">
        <v>195</v>
      </c>
      <c r="F257" s="130" t="s">
        <v>174</v>
      </c>
      <c r="G257" s="130" t="s">
        <v>175</v>
      </c>
      <c r="H257" s="131">
        <v>44194</v>
      </c>
      <c r="I257" s="131">
        <v>51318</v>
      </c>
      <c r="J257" s="153">
        <v>0</v>
      </c>
      <c r="K257" s="133">
        <v>8.3780768653488842</v>
      </c>
      <c r="L257" s="134" t="s">
        <v>182</v>
      </c>
      <c r="M257" s="135">
        <v>-201284.59999999992</v>
      </c>
    </row>
    <row r="258" spans="3:13" x14ac:dyDescent="0.35">
      <c r="C258" s="130" t="s">
        <v>96</v>
      </c>
      <c r="D258" s="130" t="s">
        <v>187</v>
      </c>
      <c r="E258" s="130" t="s">
        <v>180</v>
      </c>
      <c r="F258" s="130" t="s">
        <v>110</v>
      </c>
      <c r="G258" s="130" t="s">
        <v>175</v>
      </c>
      <c r="H258" s="131">
        <v>44194</v>
      </c>
      <c r="I258" s="131">
        <v>51318</v>
      </c>
      <c r="J258" s="142">
        <v>9.5999999999999992E-3</v>
      </c>
      <c r="K258" s="133">
        <v>8.6681960818216499</v>
      </c>
      <c r="L258" s="134" t="s">
        <v>178</v>
      </c>
      <c r="M258" s="135">
        <v>115799390.58</v>
      </c>
    </row>
    <row r="259" spans="3:13" x14ac:dyDescent="0.35">
      <c r="C259" s="130" t="s">
        <v>96</v>
      </c>
      <c r="D259" s="130" t="s">
        <v>194</v>
      </c>
      <c r="E259" s="130" t="s">
        <v>195</v>
      </c>
      <c r="F259" s="130" t="s">
        <v>174</v>
      </c>
      <c r="G259" s="130" t="s">
        <v>175</v>
      </c>
      <c r="H259" s="131">
        <v>44194</v>
      </c>
      <c r="I259" s="131">
        <v>51318</v>
      </c>
      <c r="J259" s="153">
        <v>0</v>
      </c>
      <c r="K259" s="133">
        <v>8.5827006278144626</v>
      </c>
      <c r="L259" s="134" t="s">
        <v>182</v>
      </c>
      <c r="M259" s="135">
        <v>-435572.7</v>
      </c>
    </row>
    <row r="260" spans="3:13" x14ac:dyDescent="0.35">
      <c r="C260" s="130" t="s">
        <v>96</v>
      </c>
      <c r="D260" s="130" t="s">
        <v>187</v>
      </c>
      <c r="E260" s="130" t="s">
        <v>180</v>
      </c>
      <c r="F260" s="130" t="s">
        <v>110</v>
      </c>
      <c r="G260" s="130" t="s">
        <v>175</v>
      </c>
      <c r="H260" s="131">
        <v>44194</v>
      </c>
      <c r="I260" s="131">
        <v>51318</v>
      </c>
      <c r="J260" s="142">
        <v>9.5999999999999992E-3</v>
      </c>
      <c r="K260" s="133">
        <v>8.6681960805961964</v>
      </c>
      <c r="L260" s="134" t="s">
        <v>178</v>
      </c>
      <c r="M260" s="135">
        <v>99982375.079999983</v>
      </c>
    </row>
    <row r="261" spans="3:13" x14ac:dyDescent="0.35">
      <c r="C261" s="130" t="s">
        <v>96</v>
      </c>
      <c r="D261" s="130" t="s">
        <v>194</v>
      </c>
      <c r="E261" s="130" t="s">
        <v>195</v>
      </c>
      <c r="F261" s="130" t="s">
        <v>174</v>
      </c>
      <c r="G261" s="130" t="s">
        <v>175</v>
      </c>
      <c r="H261" s="131">
        <v>44194</v>
      </c>
      <c r="I261" s="131">
        <v>51318</v>
      </c>
      <c r="J261" s="153">
        <v>0</v>
      </c>
      <c r="K261" s="133">
        <v>8.5827005540698842</v>
      </c>
      <c r="L261" s="134" t="s">
        <v>182</v>
      </c>
      <c r="M261" s="135">
        <v>-470189.98000000004</v>
      </c>
    </row>
    <row r="262" spans="3:13" x14ac:dyDescent="0.35">
      <c r="C262" s="130" t="s">
        <v>96</v>
      </c>
      <c r="D262" s="130" t="s">
        <v>187</v>
      </c>
      <c r="E262" s="130" t="s">
        <v>179</v>
      </c>
      <c r="F262" s="130" t="s">
        <v>110</v>
      </c>
      <c r="G262" s="130" t="s">
        <v>175</v>
      </c>
      <c r="H262" s="131">
        <v>44012</v>
      </c>
      <c r="I262" s="131">
        <v>51318</v>
      </c>
      <c r="J262" s="142">
        <v>9.5999999999999992E-3</v>
      </c>
      <c r="K262" s="133">
        <v>9.4780011029477667</v>
      </c>
      <c r="L262" s="134" t="s">
        <v>182</v>
      </c>
      <c r="M262" s="135">
        <v>93306821.640000001</v>
      </c>
    </row>
    <row r="263" spans="3:13" x14ac:dyDescent="0.35">
      <c r="C263" s="130" t="s">
        <v>96</v>
      </c>
      <c r="D263" s="130" t="s">
        <v>194</v>
      </c>
      <c r="E263" s="130" t="s">
        <v>195</v>
      </c>
      <c r="F263" s="130" t="s">
        <v>174</v>
      </c>
      <c r="G263" s="130" t="s">
        <v>175</v>
      </c>
      <c r="H263" s="131">
        <v>44012</v>
      </c>
      <c r="I263" s="131">
        <v>51318</v>
      </c>
      <c r="J263" s="153">
        <v>0</v>
      </c>
      <c r="K263" s="133">
        <v>8.5827008626777275</v>
      </c>
      <c r="L263" s="134" t="s">
        <v>182</v>
      </c>
      <c r="M263" s="135">
        <v>-1083132.1400000001</v>
      </c>
    </row>
    <row r="264" spans="3:13" x14ac:dyDescent="0.35">
      <c r="C264" s="130" t="s">
        <v>96</v>
      </c>
      <c r="D264" s="130" t="s">
        <v>187</v>
      </c>
      <c r="E264" s="130" t="s">
        <v>189</v>
      </c>
      <c r="F264" s="130" t="s">
        <v>110</v>
      </c>
      <c r="G264" s="130" t="s">
        <v>175</v>
      </c>
      <c r="H264" s="131">
        <v>45076</v>
      </c>
      <c r="I264" s="131">
        <v>53676</v>
      </c>
      <c r="J264" s="142">
        <v>7.5700000000000003E-2</v>
      </c>
      <c r="K264" s="133">
        <v>12.222804383862684</v>
      </c>
      <c r="L264" s="134" t="s">
        <v>182</v>
      </c>
      <c r="M264" s="135">
        <v>353814918.33999997</v>
      </c>
    </row>
    <row r="265" spans="3:13" x14ac:dyDescent="0.35">
      <c r="C265" s="130" t="s">
        <v>96</v>
      </c>
      <c r="D265" s="130" t="s">
        <v>194</v>
      </c>
      <c r="E265" s="130" t="s">
        <v>195</v>
      </c>
      <c r="F265" s="130" t="s">
        <v>174</v>
      </c>
      <c r="G265" s="130" t="s">
        <v>175</v>
      </c>
      <c r="H265" s="130"/>
      <c r="I265" s="130"/>
      <c r="J265" s="153">
        <v>0</v>
      </c>
      <c r="K265" s="133">
        <v>0.55092592592595291</v>
      </c>
      <c r="L265" s="134"/>
      <c r="M265" s="135">
        <v>-1096808.17</v>
      </c>
    </row>
    <row r="266" spans="3:13" x14ac:dyDescent="0.35">
      <c r="C266" s="130" t="s">
        <v>96</v>
      </c>
      <c r="D266" s="130" t="s">
        <v>194</v>
      </c>
      <c r="E266" s="130" t="s">
        <v>195</v>
      </c>
      <c r="F266" s="130" t="s">
        <v>174</v>
      </c>
      <c r="G266" s="130" t="s">
        <v>175</v>
      </c>
      <c r="H266" s="130"/>
      <c r="I266" s="130"/>
      <c r="J266" s="153">
        <v>0</v>
      </c>
      <c r="K266" s="133">
        <v>11.837863401624256</v>
      </c>
      <c r="L266" s="134"/>
      <c r="M266" s="135">
        <v>-10758268.610000001</v>
      </c>
    </row>
    <row r="267" spans="3:13" x14ac:dyDescent="0.35">
      <c r="C267" s="130" t="s">
        <v>96</v>
      </c>
      <c r="D267" s="130" t="s">
        <v>194</v>
      </c>
      <c r="E267" s="130" t="s">
        <v>195</v>
      </c>
      <c r="F267" s="130" t="s">
        <v>174</v>
      </c>
      <c r="G267" s="130" t="s">
        <v>175</v>
      </c>
      <c r="H267" s="130"/>
      <c r="I267" s="130"/>
      <c r="J267" s="153">
        <v>0</v>
      </c>
      <c r="K267" s="133">
        <v>0.5509259259259327</v>
      </c>
      <c r="L267" s="134"/>
      <c r="M267" s="135">
        <v>-616114</v>
      </c>
    </row>
    <row r="268" spans="3:13" x14ac:dyDescent="0.35">
      <c r="C268" s="130" t="s">
        <v>96</v>
      </c>
      <c r="D268" s="130" t="s">
        <v>150</v>
      </c>
      <c r="E268" s="130" t="s">
        <v>208</v>
      </c>
      <c r="F268" s="130" t="s">
        <v>193</v>
      </c>
      <c r="G268" s="130" t="s">
        <v>175</v>
      </c>
      <c r="H268" s="131">
        <v>45138</v>
      </c>
      <c r="I268" s="131">
        <v>45258</v>
      </c>
      <c r="J268" s="140">
        <v>1.4999999999999999E-2</v>
      </c>
      <c r="K268" s="133">
        <v>0.16944444444444445</v>
      </c>
      <c r="L268" s="134"/>
      <c r="M268" s="135">
        <v>122909715.84171051</v>
      </c>
    </row>
    <row r="269" spans="3:13" x14ac:dyDescent="0.35">
      <c r="C269" s="130" t="s">
        <v>96</v>
      </c>
      <c r="D269" s="130" t="s">
        <v>183</v>
      </c>
      <c r="E269" s="130" t="s">
        <v>240</v>
      </c>
      <c r="F269" s="130" t="s">
        <v>185</v>
      </c>
      <c r="G269" s="130" t="s">
        <v>186</v>
      </c>
      <c r="H269" s="131">
        <v>45135</v>
      </c>
      <c r="I269" s="131">
        <v>45315</v>
      </c>
      <c r="J269" s="140">
        <v>1.7000000000000001E-2</v>
      </c>
      <c r="K269" s="133">
        <v>0.34166666666666667</v>
      </c>
      <c r="L269" s="134"/>
      <c r="M269" s="135">
        <v>48767661.469999999</v>
      </c>
    </row>
    <row r="270" spans="3:13" x14ac:dyDescent="0.35">
      <c r="C270" s="130" t="s">
        <v>96</v>
      </c>
      <c r="D270" s="130" t="s">
        <v>183</v>
      </c>
      <c r="E270" s="130" t="s">
        <v>240</v>
      </c>
      <c r="F270" s="130" t="s">
        <v>185</v>
      </c>
      <c r="G270" s="130" t="s">
        <v>186</v>
      </c>
      <c r="H270" s="131">
        <v>45135</v>
      </c>
      <c r="I270" s="131">
        <v>45315</v>
      </c>
      <c r="J270" s="140">
        <v>1.7000000000000001E-2</v>
      </c>
      <c r="K270" s="133">
        <v>0.34166666666666667</v>
      </c>
      <c r="L270" s="134"/>
      <c r="M270" s="135">
        <v>35762951.719999999</v>
      </c>
    </row>
    <row r="271" spans="3:13" x14ac:dyDescent="0.35">
      <c r="C271" s="130" t="s">
        <v>96</v>
      </c>
      <c r="D271" s="130" t="s">
        <v>183</v>
      </c>
      <c r="E271" s="130" t="s">
        <v>240</v>
      </c>
      <c r="F271" s="130" t="s">
        <v>185</v>
      </c>
      <c r="G271" s="130" t="s">
        <v>186</v>
      </c>
      <c r="H271" s="131">
        <v>45135</v>
      </c>
      <c r="I271" s="131">
        <v>45315</v>
      </c>
      <c r="J271" s="140">
        <v>1.7000000000000001E-2</v>
      </c>
      <c r="K271" s="133">
        <v>0.34166666666666667</v>
      </c>
      <c r="L271" s="134"/>
      <c r="M271" s="135">
        <v>35762951.719999999</v>
      </c>
    </row>
    <row r="272" spans="3:13" x14ac:dyDescent="0.35">
      <c r="C272" s="130" t="s">
        <v>96</v>
      </c>
      <c r="D272" s="130" t="s">
        <v>183</v>
      </c>
      <c r="E272" s="130" t="s">
        <v>240</v>
      </c>
      <c r="F272" s="130" t="s">
        <v>185</v>
      </c>
      <c r="G272" s="130" t="s">
        <v>186</v>
      </c>
      <c r="H272" s="131">
        <v>45135</v>
      </c>
      <c r="I272" s="131">
        <v>45315</v>
      </c>
      <c r="J272" s="140">
        <v>1.7000000000000001E-2</v>
      </c>
      <c r="K272" s="133">
        <v>0.34166666666666667</v>
      </c>
      <c r="L272" s="134"/>
      <c r="M272" s="135">
        <v>42265306.57</v>
      </c>
    </row>
    <row r="273" spans="3:13" x14ac:dyDescent="0.35">
      <c r="C273" s="130" t="s">
        <v>96</v>
      </c>
      <c r="D273" s="130" t="s">
        <v>187</v>
      </c>
      <c r="E273" s="130" t="s">
        <v>224</v>
      </c>
      <c r="F273" s="130" t="s">
        <v>193</v>
      </c>
      <c r="G273" s="130" t="s">
        <v>175</v>
      </c>
      <c r="H273" s="131">
        <v>45146</v>
      </c>
      <c r="I273" s="131">
        <v>45492</v>
      </c>
      <c r="J273" s="140">
        <v>1.6E-2</v>
      </c>
      <c r="K273" s="133">
        <v>0.84722222222222221</v>
      </c>
      <c r="L273" s="134"/>
      <c r="M273" s="135">
        <v>35759607.274999999</v>
      </c>
    </row>
    <row r="274" spans="3:13" x14ac:dyDescent="0.35">
      <c r="C274" s="130" t="s">
        <v>96</v>
      </c>
      <c r="D274" s="130" t="s">
        <v>187</v>
      </c>
      <c r="E274" s="130" t="s">
        <v>224</v>
      </c>
      <c r="F274" s="130" t="s">
        <v>193</v>
      </c>
      <c r="G274" s="130" t="s">
        <v>175</v>
      </c>
      <c r="H274" s="131">
        <v>45146</v>
      </c>
      <c r="I274" s="131">
        <v>45492</v>
      </c>
      <c r="J274" s="140">
        <v>1.6E-2</v>
      </c>
      <c r="K274" s="133">
        <v>0.847222222222202</v>
      </c>
      <c r="L274" s="134"/>
      <c r="M274" s="135">
        <v>56193668.575000003</v>
      </c>
    </row>
    <row r="275" spans="3:13" x14ac:dyDescent="0.35">
      <c r="C275" s="130" t="s">
        <v>96</v>
      </c>
      <c r="D275" s="130" t="s">
        <v>187</v>
      </c>
      <c r="E275" s="130" t="s">
        <v>224</v>
      </c>
      <c r="F275" s="130" t="s">
        <v>193</v>
      </c>
      <c r="G275" s="130" t="s">
        <v>175</v>
      </c>
      <c r="H275" s="131">
        <v>45145</v>
      </c>
      <c r="I275" s="131">
        <v>45492</v>
      </c>
      <c r="J275" s="140">
        <v>1.6E-2</v>
      </c>
      <c r="K275" s="133">
        <v>0.84722222222222221</v>
      </c>
      <c r="L275" s="134"/>
      <c r="M275" s="135">
        <v>10211379.73</v>
      </c>
    </row>
    <row r="276" spans="3:13" x14ac:dyDescent="0.35">
      <c r="C276" s="130" t="s">
        <v>96</v>
      </c>
      <c r="D276" s="130" t="s">
        <v>187</v>
      </c>
      <c r="E276" s="130" t="s">
        <v>224</v>
      </c>
      <c r="F276" s="130" t="s">
        <v>193</v>
      </c>
      <c r="G276" s="130" t="s">
        <v>175</v>
      </c>
      <c r="H276" s="131">
        <v>45146</v>
      </c>
      <c r="I276" s="131">
        <v>45492</v>
      </c>
      <c r="J276" s="140">
        <v>1.6E-2</v>
      </c>
      <c r="K276" s="133">
        <v>0.847222222222202</v>
      </c>
      <c r="L276" s="134"/>
      <c r="M276" s="135">
        <v>56193668.575000003</v>
      </c>
    </row>
    <row r="277" spans="3:13" x14ac:dyDescent="0.35">
      <c r="C277" s="130" t="s">
        <v>96</v>
      </c>
      <c r="D277" s="130" t="s">
        <v>187</v>
      </c>
      <c r="E277" s="130" t="s">
        <v>224</v>
      </c>
      <c r="F277" s="130" t="s">
        <v>193</v>
      </c>
      <c r="G277" s="130" t="s">
        <v>175</v>
      </c>
      <c r="H277" s="131">
        <v>45146</v>
      </c>
      <c r="I277" s="131">
        <v>45492</v>
      </c>
      <c r="J277" s="140">
        <v>1.6E-2</v>
      </c>
      <c r="K277" s="133">
        <v>0.84722222222222221</v>
      </c>
      <c r="L277" s="134"/>
      <c r="M277" s="135">
        <v>67432402.290000007</v>
      </c>
    </row>
    <row r="278" spans="3:13" x14ac:dyDescent="0.35">
      <c r="C278" s="130" t="s">
        <v>96</v>
      </c>
      <c r="D278" s="130" t="s">
        <v>187</v>
      </c>
      <c r="E278" s="130" t="s">
        <v>224</v>
      </c>
      <c r="F278" s="130" t="s">
        <v>193</v>
      </c>
      <c r="G278" s="130" t="s">
        <v>175</v>
      </c>
      <c r="H278" s="131">
        <v>45146</v>
      </c>
      <c r="I278" s="131">
        <v>45492</v>
      </c>
      <c r="J278" s="140">
        <v>1.6E-2</v>
      </c>
      <c r="K278" s="133">
        <v>0.84722222222222221</v>
      </c>
      <c r="L278" s="134"/>
      <c r="M278" s="135">
        <v>51085153.25</v>
      </c>
    </row>
    <row r="279" spans="3:13" x14ac:dyDescent="0.35">
      <c r="C279" s="130" t="s">
        <v>96</v>
      </c>
      <c r="D279" s="130" t="s">
        <v>187</v>
      </c>
      <c r="E279" s="130" t="s">
        <v>224</v>
      </c>
      <c r="F279" s="130" t="s">
        <v>193</v>
      </c>
      <c r="G279" s="130" t="s">
        <v>175</v>
      </c>
      <c r="H279" s="131">
        <v>45146</v>
      </c>
      <c r="I279" s="131">
        <v>45492</v>
      </c>
      <c r="J279" s="140">
        <v>1.6E-2</v>
      </c>
      <c r="K279" s="133">
        <v>0.84722222222222221</v>
      </c>
      <c r="L279" s="134"/>
      <c r="M279" s="135">
        <v>51085153.25</v>
      </c>
    </row>
    <row r="280" spans="3:13" x14ac:dyDescent="0.35">
      <c r="C280" s="130" t="s">
        <v>96</v>
      </c>
      <c r="D280" s="130" t="s">
        <v>187</v>
      </c>
      <c r="E280" s="130" t="s">
        <v>224</v>
      </c>
      <c r="F280" s="130" t="s">
        <v>193</v>
      </c>
      <c r="G280" s="130" t="s">
        <v>175</v>
      </c>
      <c r="H280" s="131">
        <v>45194</v>
      </c>
      <c r="I280" s="131">
        <v>45554</v>
      </c>
      <c r="J280" s="140">
        <v>1.6500000000000001E-2</v>
      </c>
      <c r="K280" s="133">
        <v>1.0166666666666666</v>
      </c>
      <c r="L280" s="134"/>
      <c r="M280" s="135">
        <v>60161503.200000003</v>
      </c>
    </row>
    <row r="281" spans="3:13" x14ac:dyDescent="0.35">
      <c r="C281" s="130" t="s">
        <v>96</v>
      </c>
      <c r="D281" s="130" t="s">
        <v>187</v>
      </c>
      <c r="E281" s="130" t="s">
        <v>224</v>
      </c>
      <c r="F281" s="130" t="s">
        <v>193</v>
      </c>
      <c r="G281" s="130" t="s">
        <v>175</v>
      </c>
      <c r="H281" s="131">
        <v>45194</v>
      </c>
      <c r="I281" s="131">
        <v>45554</v>
      </c>
      <c r="J281" s="140">
        <v>1.6500000000000001E-2</v>
      </c>
      <c r="K281" s="133">
        <v>1.0166666666666666</v>
      </c>
      <c r="L281" s="134"/>
      <c r="M281" s="135">
        <v>100269172</v>
      </c>
    </row>
    <row r="282" spans="3:13" x14ac:dyDescent="0.35">
      <c r="C282" s="130" t="s">
        <v>96</v>
      </c>
      <c r="D282" s="130" t="s">
        <v>187</v>
      </c>
      <c r="E282" s="130" t="s">
        <v>224</v>
      </c>
      <c r="F282" s="130" t="s">
        <v>193</v>
      </c>
      <c r="G282" s="130" t="s">
        <v>175</v>
      </c>
      <c r="H282" s="131">
        <v>45194</v>
      </c>
      <c r="I282" s="131">
        <v>45554</v>
      </c>
      <c r="J282" s="140">
        <v>1.6500000000000001E-2</v>
      </c>
      <c r="K282" s="133">
        <v>1.0166666666666666</v>
      </c>
      <c r="L282" s="134"/>
      <c r="M282" s="135">
        <v>65174961.800000004</v>
      </c>
    </row>
    <row r="283" spans="3:13" x14ac:dyDescent="0.35">
      <c r="C283" s="130" t="s">
        <v>96</v>
      </c>
      <c r="D283" s="130" t="s">
        <v>187</v>
      </c>
      <c r="E283" s="130" t="s">
        <v>224</v>
      </c>
      <c r="F283" s="130" t="s">
        <v>193</v>
      </c>
      <c r="G283" s="130" t="s">
        <v>175</v>
      </c>
      <c r="H283" s="131">
        <v>45194</v>
      </c>
      <c r="I283" s="131">
        <v>45554</v>
      </c>
      <c r="J283" s="140">
        <v>1.6500000000000001E-2</v>
      </c>
      <c r="K283" s="133">
        <v>1.0166666666666666</v>
      </c>
      <c r="L283" s="134"/>
      <c r="M283" s="135">
        <v>100269172</v>
      </c>
    </row>
    <row r="284" spans="3:13" x14ac:dyDescent="0.35">
      <c r="C284" s="130" t="s">
        <v>96</v>
      </c>
      <c r="D284" s="130" t="s">
        <v>187</v>
      </c>
      <c r="E284" s="130" t="s">
        <v>224</v>
      </c>
      <c r="F284" s="130" t="s">
        <v>193</v>
      </c>
      <c r="G284" s="130" t="s">
        <v>175</v>
      </c>
      <c r="H284" s="131">
        <v>45194</v>
      </c>
      <c r="I284" s="131">
        <v>45554</v>
      </c>
      <c r="J284" s="140">
        <v>1.6500000000000001E-2</v>
      </c>
      <c r="K284" s="133">
        <v>1.0166666666666666</v>
      </c>
      <c r="L284" s="134"/>
      <c r="M284" s="135">
        <v>80215337.600000009</v>
      </c>
    </row>
    <row r="285" spans="3:13" x14ac:dyDescent="0.35">
      <c r="C285" s="130" t="s">
        <v>96</v>
      </c>
      <c r="D285" s="130" t="s">
        <v>187</v>
      </c>
      <c r="E285" s="130" t="s">
        <v>224</v>
      </c>
      <c r="F285" s="130" t="s">
        <v>193</v>
      </c>
      <c r="G285" s="130" t="s">
        <v>175</v>
      </c>
      <c r="H285" s="131">
        <v>45194</v>
      </c>
      <c r="I285" s="131">
        <v>45554</v>
      </c>
      <c r="J285" s="140">
        <v>1.6500000000000001E-2</v>
      </c>
      <c r="K285" s="133">
        <v>1.0166666666666666</v>
      </c>
      <c r="L285" s="134"/>
      <c r="M285" s="135">
        <v>75201879</v>
      </c>
    </row>
    <row r="286" spans="3:13" x14ac:dyDescent="0.35">
      <c r="C286" s="130" t="s">
        <v>96</v>
      </c>
      <c r="D286" s="130" t="s">
        <v>187</v>
      </c>
      <c r="E286" s="130" t="s">
        <v>224</v>
      </c>
      <c r="F286" s="130" t="s">
        <v>193</v>
      </c>
      <c r="G286" s="130" t="s">
        <v>175</v>
      </c>
      <c r="H286" s="131">
        <v>45194</v>
      </c>
      <c r="I286" s="131">
        <v>45554</v>
      </c>
      <c r="J286" s="140">
        <v>1.6500000000000001E-2</v>
      </c>
      <c r="K286" s="133">
        <v>1.0166666666666666</v>
      </c>
      <c r="L286" s="134"/>
      <c r="M286" s="135">
        <v>70188420.400000006</v>
      </c>
    </row>
    <row r="287" spans="3:13" x14ac:dyDescent="0.35">
      <c r="C287" s="130" t="s">
        <v>96</v>
      </c>
      <c r="D287" s="130" t="s">
        <v>183</v>
      </c>
      <c r="E287" s="130" t="s">
        <v>203</v>
      </c>
      <c r="F287" s="130" t="s">
        <v>185</v>
      </c>
      <c r="G287" s="130" t="s">
        <v>186</v>
      </c>
      <c r="H287" s="131">
        <v>45195</v>
      </c>
      <c r="I287" s="131">
        <v>45287</v>
      </c>
      <c r="J287" s="137">
        <v>1.6E-2</v>
      </c>
      <c r="K287" s="133">
        <v>0.25555555555555554</v>
      </c>
      <c r="L287" s="134"/>
      <c r="M287" s="135">
        <v>133292178.08</v>
      </c>
    </row>
    <row r="288" spans="3:13" x14ac:dyDescent="0.35">
      <c r="C288" s="130" t="s">
        <v>96</v>
      </c>
      <c r="D288" s="130" t="s">
        <v>183</v>
      </c>
      <c r="E288" s="130" t="s">
        <v>240</v>
      </c>
      <c r="F288" s="130" t="s">
        <v>185</v>
      </c>
      <c r="G288" s="130" t="s">
        <v>186</v>
      </c>
      <c r="H288" s="131">
        <v>45170</v>
      </c>
      <c r="I288" s="131">
        <v>45350</v>
      </c>
      <c r="J288" s="137">
        <v>1.7500000000000002E-2</v>
      </c>
      <c r="K288" s="133">
        <v>0.42222222222222222</v>
      </c>
      <c r="L288" s="134"/>
      <c r="M288" s="135">
        <v>156743309.78999999</v>
      </c>
    </row>
    <row r="289" spans="3:13" x14ac:dyDescent="0.35">
      <c r="C289" s="130" t="s">
        <v>96</v>
      </c>
      <c r="D289" s="130" t="s">
        <v>194</v>
      </c>
      <c r="E289" s="130" t="s">
        <v>195</v>
      </c>
      <c r="F289" s="130" t="s">
        <v>174</v>
      </c>
      <c r="G289" s="130" t="s">
        <v>175</v>
      </c>
      <c r="H289" s="131">
        <v>45146</v>
      </c>
      <c r="I289" s="131">
        <v>45492</v>
      </c>
      <c r="J289" s="153">
        <v>0</v>
      </c>
      <c r="K289" s="133">
        <v>0.5509259259259327</v>
      </c>
      <c r="L289" s="134"/>
      <c r="M289" s="135">
        <v>-398148.72000000003</v>
      </c>
    </row>
    <row r="290" spans="3:13" x14ac:dyDescent="0.35">
      <c r="C290" s="130" t="s">
        <v>96</v>
      </c>
      <c r="D290" s="130" t="s">
        <v>194</v>
      </c>
      <c r="E290" s="130" t="s">
        <v>195</v>
      </c>
      <c r="F290" s="130" t="s">
        <v>174</v>
      </c>
      <c r="G290" s="130" t="s">
        <v>175</v>
      </c>
      <c r="H290" s="131">
        <v>45146</v>
      </c>
      <c r="I290" s="131">
        <v>45492</v>
      </c>
      <c r="J290" s="153">
        <v>0</v>
      </c>
      <c r="K290" s="133">
        <v>0.5509259259259327</v>
      </c>
      <c r="L290" s="134"/>
      <c r="M290" s="135">
        <v>-317355.23000000004</v>
      </c>
    </row>
    <row r="291" spans="3:13" x14ac:dyDescent="0.35">
      <c r="C291" s="130" t="s">
        <v>96</v>
      </c>
      <c r="D291" s="130" t="s">
        <v>194</v>
      </c>
      <c r="E291" s="130" t="s">
        <v>195</v>
      </c>
      <c r="F291" s="130" t="s">
        <v>174</v>
      </c>
      <c r="G291" s="130" t="s">
        <v>175</v>
      </c>
      <c r="H291" s="131">
        <v>45145</v>
      </c>
      <c r="I291" s="131">
        <v>45492</v>
      </c>
      <c r="J291" s="153">
        <v>0</v>
      </c>
      <c r="K291" s="133">
        <v>0.5509259259259125</v>
      </c>
      <c r="L291" s="134"/>
      <c r="M291" s="135">
        <v>-424245.92</v>
      </c>
    </row>
    <row r="292" spans="3:13" x14ac:dyDescent="0.35">
      <c r="C292" s="130" t="s">
        <v>96</v>
      </c>
      <c r="D292" s="130" t="s">
        <v>194</v>
      </c>
      <c r="E292" s="130" t="s">
        <v>195</v>
      </c>
      <c r="F292" s="130" t="s">
        <v>174</v>
      </c>
      <c r="G292" s="130" t="s">
        <v>175</v>
      </c>
      <c r="H292" s="131">
        <v>45146</v>
      </c>
      <c r="I292" s="131">
        <v>45492</v>
      </c>
      <c r="J292" s="153">
        <v>0</v>
      </c>
      <c r="K292" s="133">
        <v>0.5509259259259327</v>
      </c>
      <c r="L292" s="134"/>
      <c r="M292" s="135">
        <v>-502282.53</v>
      </c>
    </row>
    <row r="293" spans="3:13" x14ac:dyDescent="0.35">
      <c r="C293" s="130" t="s">
        <v>96</v>
      </c>
      <c r="D293" s="130" t="s">
        <v>194</v>
      </c>
      <c r="E293" s="130" t="s">
        <v>195</v>
      </c>
      <c r="F293" s="130" t="s">
        <v>174</v>
      </c>
      <c r="G293" s="130" t="s">
        <v>175</v>
      </c>
      <c r="H293" s="131">
        <v>45146</v>
      </c>
      <c r="I293" s="131">
        <v>45492</v>
      </c>
      <c r="J293" s="153">
        <v>0</v>
      </c>
      <c r="K293" s="133">
        <v>0.55092592592595291</v>
      </c>
      <c r="L293" s="134"/>
      <c r="M293" s="135">
        <v>-361670.79000000004</v>
      </c>
    </row>
    <row r="294" spans="3:13" x14ac:dyDescent="0.35">
      <c r="C294" s="130" t="s">
        <v>96</v>
      </c>
      <c r="D294" s="130" t="s">
        <v>194</v>
      </c>
      <c r="E294" s="130" t="s">
        <v>195</v>
      </c>
      <c r="F294" s="130" t="s">
        <v>174</v>
      </c>
      <c r="G294" s="130" t="s">
        <v>175</v>
      </c>
      <c r="H294" s="131">
        <v>45146</v>
      </c>
      <c r="I294" s="131">
        <v>45492</v>
      </c>
      <c r="J294" s="153">
        <v>0</v>
      </c>
      <c r="K294" s="133">
        <v>0.55092592592589229</v>
      </c>
      <c r="L294" s="134"/>
      <c r="M294" s="135">
        <v>-1357953.6</v>
      </c>
    </row>
    <row r="295" spans="3:13" x14ac:dyDescent="0.35">
      <c r="C295" s="130" t="s">
        <v>96</v>
      </c>
      <c r="D295" s="130" t="s">
        <v>194</v>
      </c>
      <c r="E295" s="130" t="s">
        <v>195</v>
      </c>
      <c r="F295" s="130" t="s">
        <v>174</v>
      </c>
      <c r="G295" s="130" t="s">
        <v>175</v>
      </c>
      <c r="H295" s="131">
        <v>45146</v>
      </c>
      <c r="I295" s="131">
        <v>45492</v>
      </c>
      <c r="J295" s="153">
        <v>0</v>
      </c>
      <c r="K295" s="133">
        <v>0.5509259259259327</v>
      </c>
      <c r="L295" s="134"/>
      <c r="M295" s="135">
        <v>-497855.30000000005</v>
      </c>
    </row>
    <row r="296" spans="3:13" x14ac:dyDescent="0.35">
      <c r="C296" s="130" t="s">
        <v>140</v>
      </c>
      <c r="D296" s="130" t="s">
        <v>187</v>
      </c>
      <c r="E296" s="130" t="s">
        <v>241</v>
      </c>
      <c r="F296" s="130" t="s">
        <v>174</v>
      </c>
      <c r="G296" s="130" t="s">
        <v>175</v>
      </c>
      <c r="H296" s="131">
        <v>41899</v>
      </c>
      <c r="I296" s="131">
        <v>46675</v>
      </c>
      <c r="J296" s="144">
        <v>6.8000000000000005E-2</v>
      </c>
      <c r="K296" s="133">
        <v>2.2014823896794646</v>
      </c>
      <c r="L296" s="134" t="s">
        <v>182</v>
      </c>
      <c r="M296" s="135">
        <v>64951891.969999999</v>
      </c>
    </row>
    <row r="297" spans="3:13" x14ac:dyDescent="0.35">
      <c r="C297" s="130" t="s">
        <v>140</v>
      </c>
      <c r="D297" s="130" t="s">
        <v>190</v>
      </c>
      <c r="E297" s="130" t="s">
        <v>191</v>
      </c>
      <c r="F297" s="130" t="s">
        <v>193</v>
      </c>
      <c r="G297" s="130" t="s">
        <v>175</v>
      </c>
      <c r="H297" s="131">
        <v>44952</v>
      </c>
      <c r="I297" s="131">
        <v>46042</v>
      </c>
      <c r="J297" s="143">
        <v>1.4999999999999999E-2</v>
      </c>
      <c r="K297" s="133">
        <v>2.3170713220548147</v>
      </c>
      <c r="L297" s="134" t="s">
        <v>176</v>
      </c>
      <c r="M297" s="135">
        <v>7195431503.1701565</v>
      </c>
    </row>
    <row r="298" spans="3:13" x14ac:dyDescent="0.35">
      <c r="C298" s="130" t="s">
        <v>140</v>
      </c>
      <c r="D298" s="130" t="s">
        <v>190</v>
      </c>
      <c r="E298" s="130" t="s">
        <v>191</v>
      </c>
      <c r="F298" s="130" t="s">
        <v>110</v>
      </c>
      <c r="G298" s="130" t="s">
        <v>175</v>
      </c>
      <c r="H298" s="131">
        <v>45054</v>
      </c>
      <c r="I298" s="131">
        <v>47953</v>
      </c>
      <c r="J298" s="145">
        <v>7.0999999999999994E-2</v>
      </c>
      <c r="K298" s="133">
        <v>6.4972855635250504</v>
      </c>
      <c r="L298" s="134"/>
      <c r="M298" s="135">
        <v>1036236688.8</v>
      </c>
    </row>
    <row r="299" spans="3:13" x14ac:dyDescent="0.35">
      <c r="C299" s="130" t="s">
        <v>140</v>
      </c>
      <c r="D299" s="130" t="s">
        <v>196</v>
      </c>
      <c r="E299" s="130" t="s">
        <v>195</v>
      </c>
      <c r="F299" s="130" t="s">
        <v>174</v>
      </c>
      <c r="G299" s="130" t="s">
        <v>175</v>
      </c>
      <c r="H299" s="131">
        <v>44952</v>
      </c>
      <c r="I299" s="131">
        <v>46042</v>
      </c>
      <c r="J299" s="156">
        <v>0</v>
      </c>
      <c r="K299" s="133">
        <v>1.2698275862069042</v>
      </c>
      <c r="L299" s="134"/>
      <c r="M299" s="135">
        <v>-91501653.797583014</v>
      </c>
    </row>
    <row r="300" spans="3:13" x14ac:dyDescent="0.35">
      <c r="C300" s="130" t="s">
        <v>140</v>
      </c>
      <c r="D300" s="130" t="s">
        <v>196</v>
      </c>
      <c r="E300" s="130" t="s">
        <v>195</v>
      </c>
      <c r="F300" s="130" t="s">
        <v>174</v>
      </c>
      <c r="G300" s="130" t="s">
        <v>175</v>
      </c>
      <c r="H300" s="131">
        <v>45054</v>
      </c>
      <c r="I300" s="131">
        <v>47953</v>
      </c>
      <c r="J300" s="156">
        <v>0</v>
      </c>
      <c r="K300" s="133">
        <v>3.8903235653233423</v>
      </c>
      <c r="L300" s="134"/>
      <c r="M300" s="135">
        <v>-34558689.884315789</v>
      </c>
    </row>
    <row r="301" spans="3:13" x14ac:dyDescent="0.35">
      <c r="C301" s="130" t="s">
        <v>140</v>
      </c>
      <c r="D301" s="130" t="s">
        <v>187</v>
      </c>
      <c r="E301" s="130" t="s">
        <v>242</v>
      </c>
      <c r="F301" s="130" t="s">
        <v>193</v>
      </c>
      <c r="G301" s="130" t="s">
        <v>175</v>
      </c>
      <c r="H301" s="131">
        <v>44922</v>
      </c>
      <c r="I301" s="131">
        <v>45290</v>
      </c>
      <c r="J301" s="143">
        <v>1.4E-2</v>
      </c>
      <c r="K301" s="133">
        <v>0.25555555555555554</v>
      </c>
      <c r="L301" s="134" t="s">
        <v>176</v>
      </c>
      <c r="M301" s="135">
        <v>627310085.57000005</v>
      </c>
    </row>
    <row r="302" spans="3:13" x14ac:dyDescent="0.35">
      <c r="C302" s="157" t="s">
        <v>140</v>
      </c>
      <c r="D302" s="157" t="s">
        <v>197</v>
      </c>
      <c r="E302" s="157" t="s">
        <v>195</v>
      </c>
      <c r="F302" s="157" t="s">
        <v>174</v>
      </c>
      <c r="G302" s="157"/>
      <c r="H302" s="158">
        <v>41899</v>
      </c>
      <c r="I302" s="158">
        <v>46675</v>
      </c>
      <c r="J302" s="159">
        <v>0</v>
      </c>
      <c r="K302" s="160">
        <v>2.2072889061285927</v>
      </c>
      <c r="L302" s="161" t="s">
        <v>243</v>
      </c>
      <c r="M302" s="162">
        <v>-12181235.609999985</v>
      </c>
    </row>
  </sheetData>
  <mergeCells count="10">
    <mergeCell ref="J7:J8"/>
    <mergeCell ref="K7:K8"/>
    <mergeCell ref="L7:L8"/>
    <mergeCell ref="M7:M8"/>
    <mergeCell ref="C7:C8"/>
    <mergeCell ref="E7:E8"/>
    <mergeCell ref="F7:F8"/>
    <mergeCell ref="G7:G8"/>
    <mergeCell ref="H7:H8"/>
    <mergeCell ref="I7:I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93B5C-85E3-4770-A195-EA220784E170}">
  <sheetPr>
    <tabColor theme="9" tint="0.79998168889431442"/>
  </sheetPr>
  <dimension ref="B1:AD118"/>
  <sheetViews>
    <sheetView zoomScale="80" zoomScaleNormal="80" workbookViewId="0">
      <pane xSplit="2" ySplit="7" topLeftCell="C8" activePane="bottomRight" state="frozen"/>
      <selection activeCell="D26" sqref="D26"/>
      <selection pane="topRight" activeCell="D26" sqref="D26"/>
      <selection pane="bottomLeft" activeCell="D26" sqref="D26"/>
      <selection pane="bottomRight"/>
    </sheetView>
  </sheetViews>
  <sheetFormatPr defaultColWidth="9.1796875" defaultRowHeight="14.5" outlineLevelCol="1" x14ac:dyDescent="0.35"/>
  <cols>
    <col min="1" max="1" width="9.1796875" style="37"/>
    <col min="2" max="2" width="28.7265625" style="37" customWidth="1"/>
    <col min="3" max="3" width="1.54296875" style="37" customWidth="1"/>
    <col min="4" max="7" width="9.1796875" style="38" hidden="1" customWidth="1" outlineLevel="1"/>
    <col min="8" max="8" width="9.08984375" style="39" hidden="1" customWidth="1" outlineLevel="1"/>
    <col min="9" max="11" width="9.1796875" style="39" hidden="1" customWidth="1" outlineLevel="1"/>
    <col min="12" max="23" width="9.1796875" style="37" hidden="1" customWidth="1" outlineLevel="1"/>
    <col min="24" max="24" width="9.1796875" style="37" customWidth="1" collapsed="1"/>
    <col min="25" max="27" width="9.1796875" style="37" customWidth="1"/>
    <col min="28" max="16384" width="9.1796875" style="37"/>
  </cols>
  <sheetData>
    <row r="1" spans="2:30" x14ac:dyDescent="0.35">
      <c r="Z1" s="40"/>
      <c r="AA1" s="40"/>
      <c r="AB1" s="40"/>
      <c r="AC1" s="40"/>
      <c r="AD1" s="40"/>
    </row>
    <row r="2" spans="2:30" x14ac:dyDescent="0.35">
      <c r="Z2" s="40"/>
      <c r="AA2" s="40"/>
      <c r="AB2" s="40"/>
      <c r="AC2" s="40"/>
      <c r="AD2" s="40"/>
    </row>
    <row r="3" spans="2:30" x14ac:dyDescent="0.35">
      <c r="Z3" s="40"/>
      <c r="AA3" s="40"/>
      <c r="AB3" s="40"/>
      <c r="AC3" s="40"/>
      <c r="AD3" s="40"/>
    </row>
    <row r="4" spans="2:30" x14ac:dyDescent="0.35">
      <c r="Z4" s="40"/>
      <c r="AA4" s="40"/>
      <c r="AB4" s="40"/>
      <c r="AC4" s="40"/>
      <c r="AD4" s="40"/>
    </row>
    <row r="5" spans="2:30" x14ac:dyDescent="0.35">
      <c r="Z5" s="40"/>
      <c r="AA5" s="40"/>
      <c r="AB5" s="40"/>
      <c r="AC5" s="40"/>
      <c r="AD5" s="40"/>
    </row>
    <row r="6" spans="2:30" x14ac:dyDescent="0.35">
      <c r="Z6" s="40"/>
      <c r="AA6" s="40"/>
      <c r="AB6" s="40"/>
      <c r="AC6" s="40"/>
      <c r="AD6" s="40"/>
    </row>
    <row r="7" spans="2:30" x14ac:dyDescent="0.35">
      <c r="B7" s="163" t="s">
        <v>56</v>
      </c>
      <c r="D7" s="164" t="s">
        <v>57</v>
      </c>
      <c r="E7" s="164" t="s">
        <v>58</v>
      </c>
      <c r="F7" s="164" t="s">
        <v>59</v>
      </c>
      <c r="G7" s="164" t="s">
        <v>60</v>
      </c>
      <c r="H7" s="165" t="s">
        <v>61</v>
      </c>
      <c r="I7" s="165" t="s">
        <v>62</v>
      </c>
      <c r="J7" s="165" t="s">
        <v>63</v>
      </c>
      <c r="K7" s="165" t="s">
        <v>64</v>
      </c>
      <c r="L7" s="165" t="s">
        <v>65</v>
      </c>
      <c r="M7" s="165" t="s">
        <v>66</v>
      </c>
      <c r="N7" s="166" t="s">
        <v>67</v>
      </c>
      <c r="O7" s="166" t="s">
        <v>68</v>
      </c>
      <c r="P7" s="166" t="s">
        <v>69</v>
      </c>
      <c r="Q7" s="166" t="s">
        <v>70</v>
      </c>
      <c r="R7" s="166" t="s">
        <v>71</v>
      </c>
      <c r="S7" s="166" t="s">
        <v>72</v>
      </c>
      <c r="T7" s="166" t="s">
        <v>73</v>
      </c>
      <c r="U7" s="166" t="s">
        <v>74</v>
      </c>
      <c r="V7" s="166" t="s">
        <v>75</v>
      </c>
      <c r="W7" s="166" t="s">
        <v>76</v>
      </c>
      <c r="X7" s="166" t="s">
        <v>77</v>
      </c>
      <c r="Y7" s="166" t="s">
        <v>78</v>
      </c>
      <c r="Z7" s="166" t="s">
        <v>79</v>
      </c>
      <c r="AA7" s="166" t="s">
        <v>80</v>
      </c>
      <c r="AB7" s="166" t="s">
        <v>81</v>
      </c>
      <c r="AC7" s="166" t="s">
        <v>82</v>
      </c>
      <c r="AD7" s="166" t="s">
        <v>83</v>
      </c>
    </row>
    <row r="8" spans="2:30" x14ac:dyDescent="0.35">
      <c r="B8" s="41" t="s">
        <v>1</v>
      </c>
      <c r="D8" s="42"/>
      <c r="E8" s="42"/>
      <c r="F8" s="42"/>
      <c r="G8" s="42"/>
      <c r="H8" s="43"/>
      <c r="I8" s="43"/>
      <c r="J8" s="43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2:30" x14ac:dyDescent="0.35">
      <c r="B9" s="45" t="s">
        <v>84</v>
      </c>
      <c r="D9" s="46">
        <v>96</v>
      </c>
      <c r="E9" s="46">
        <v>60</v>
      </c>
      <c r="F9" s="46">
        <v>69</v>
      </c>
      <c r="G9" s="46">
        <v>84</v>
      </c>
      <c r="H9" s="47">
        <v>49</v>
      </c>
      <c r="I9" s="47">
        <v>73</v>
      </c>
      <c r="J9" s="47">
        <v>66</v>
      </c>
      <c r="K9" s="47">
        <v>77</v>
      </c>
      <c r="L9" s="46">
        <v>55</v>
      </c>
      <c r="M9" s="46">
        <v>73</v>
      </c>
      <c r="N9" s="46">
        <v>67</v>
      </c>
      <c r="O9" s="46">
        <v>104.46841546536238</v>
      </c>
      <c r="P9" s="46">
        <v>95.364845699084697</v>
      </c>
      <c r="Q9" s="46">
        <v>89.146019206331786</v>
      </c>
      <c r="R9" s="46">
        <v>88.844957441120499</v>
      </c>
      <c r="S9" s="46">
        <v>159.59506640406497</v>
      </c>
      <c r="T9" s="46">
        <v>123.1594957720167</v>
      </c>
      <c r="U9" s="46">
        <v>58.84020273919193</v>
      </c>
      <c r="V9" s="46">
        <v>139.669389</v>
      </c>
      <c r="W9" s="46">
        <v>130.46975078446599</v>
      </c>
      <c r="X9" s="46">
        <v>113.89663555851203</v>
      </c>
      <c r="Y9" s="46">
        <v>206.06306611000107</v>
      </c>
      <c r="Z9" s="46">
        <v>250.31138707042891</v>
      </c>
      <c r="AA9" s="46">
        <v>224.52380130515513</v>
      </c>
      <c r="AB9" s="46">
        <v>179.31565297612525</v>
      </c>
      <c r="AC9" s="46">
        <v>197.19350523250168</v>
      </c>
      <c r="AD9" s="46">
        <v>175.74303670199998</v>
      </c>
    </row>
    <row r="10" spans="2:30" x14ac:dyDescent="0.35">
      <c r="B10" s="45" t="s">
        <v>85</v>
      </c>
      <c r="D10" s="46">
        <v>27</v>
      </c>
      <c r="E10" s="46">
        <v>13</v>
      </c>
      <c r="F10" s="46">
        <v>11</v>
      </c>
      <c r="G10" s="46">
        <v>9</v>
      </c>
      <c r="H10" s="47">
        <v>8</v>
      </c>
      <c r="I10" s="47">
        <v>18</v>
      </c>
      <c r="J10" s="47">
        <v>15</v>
      </c>
      <c r="K10" s="47">
        <v>23</v>
      </c>
      <c r="L10" s="46">
        <v>21</v>
      </c>
      <c r="M10" s="46">
        <v>15</v>
      </c>
      <c r="N10" s="46">
        <v>22</v>
      </c>
      <c r="O10" s="46">
        <v>22.482088220000133</v>
      </c>
      <c r="P10" s="46">
        <v>19.842214920000018</v>
      </c>
      <c r="Q10" s="46">
        <v>24.203259429999942</v>
      </c>
      <c r="R10" s="46">
        <v>4.4164028245000075</v>
      </c>
      <c r="S10" s="46">
        <v>9.7861058939999683</v>
      </c>
      <c r="T10" s="46">
        <v>7.1152895739999993</v>
      </c>
      <c r="U10" s="46">
        <v>6.5211451590000094</v>
      </c>
      <c r="V10" s="46">
        <v>10.950634000000001</v>
      </c>
      <c r="W10" s="46">
        <v>11.770364744500007</v>
      </c>
      <c r="X10" s="46">
        <v>17.760598165000001</v>
      </c>
      <c r="Y10" s="46">
        <v>21.471118650000086</v>
      </c>
      <c r="Z10" s="46">
        <v>13.768502686360769</v>
      </c>
      <c r="AA10" s="46">
        <v>20.816778915</v>
      </c>
      <c r="AB10" s="46">
        <v>8.709117599000006</v>
      </c>
      <c r="AC10" s="46">
        <v>20.9363355475001</v>
      </c>
      <c r="AD10" s="46">
        <v>3.2091994320000019</v>
      </c>
    </row>
    <row r="11" spans="2:30" x14ac:dyDescent="0.35">
      <c r="B11" s="48" t="s">
        <v>86</v>
      </c>
      <c r="D11" s="49">
        <v>17</v>
      </c>
      <c r="E11" s="49">
        <v>12</v>
      </c>
      <c r="F11" s="49">
        <v>9</v>
      </c>
      <c r="G11" s="49">
        <v>17</v>
      </c>
      <c r="H11" s="50">
        <v>13</v>
      </c>
      <c r="I11" s="50">
        <v>11</v>
      </c>
      <c r="J11" s="50">
        <v>21</v>
      </c>
      <c r="K11" s="50">
        <v>11</v>
      </c>
      <c r="L11" s="49">
        <v>4</v>
      </c>
      <c r="M11" s="49">
        <v>13</v>
      </c>
      <c r="N11" s="49">
        <v>4</v>
      </c>
      <c r="O11" s="49">
        <v>8.2137164046375002</v>
      </c>
      <c r="P11" s="49">
        <v>19.25839868890008</v>
      </c>
      <c r="Q11" s="49">
        <v>16.890761873668207</v>
      </c>
      <c r="R11" s="49">
        <v>14.993139183829735</v>
      </c>
      <c r="S11" s="49">
        <v>18.403828434500113</v>
      </c>
      <c r="T11" s="49">
        <v>6.566214653983284</v>
      </c>
      <c r="U11" s="49">
        <v>7.0886521018080808</v>
      </c>
      <c r="V11" s="49">
        <v>8.5636349999999997</v>
      </c>
      <c r="W11" s="49">
        <v>32.918778551033981</v>
      </c>
      <c r="X11" s="49">
        <v>8.9807662164879858</v>
      </c>
      <c r="Y11" s="49">
        <v>15.235814629999997</v>
      </c>
      <c r="Z11" s="49">
        <v>21.817899913209043</v>
      </c>
      <c r="AA11" s="49">
        <v>37.991573969845071</v>
      </c>
      <c r="AB11" s="49">
        <v>9.8715017148746895</v>
      </c>
      <c r="AC11" s="49">
        <v>14.042153409999999</v>
      </c>
      <c r="AD11" s="49">
        <v>44.069572479999998</v>
      </c>
    </row>
    <row r="12" spans="2:30" x14ac:dyDescent="0.35">
      <c r="B12" s="51" t="s">
        <v>87</v>
      </c>
      <c r="D12" s="52">
        <f>SUM(D9:D11)</f>
        <v>140</v>
      </c>
      <c r="E12" s="52">
        <f t="shared" ref="E12:AD12" si="0">SUM(E9:E11)</f>
        <v>85</v>
      </c>
      <c r="F12" s="52">
        <f t="shared" si="0"/>
        <v>89</v>
      </c>
      <c r="G12" s="52">
        <f t="shared" si="0"/>
        <v>110</v>
      </c>
      <c r="H12" s="52">
        <f t="shared" si="0"/>
        <v>70</v>
      </c>
      <c r="I12" s="52">
        <f t="shared" si="0"/>
        <v>102</v>
      </c>
      <c r="J12" s="52">
        <f t="shared" si="0"/>
        <v>102</v>
      </c>
      <c r="K12" s="52">
        <f t="shared" si="0"/>
        <v>111</v>
      </c>
      <c r="L12" s="52">
        <f t="shared" si="0"/>
        <v>80</v>
      </c>
      <c r="M12" s="52">
        <f t="shared" si="0"/>
        <v>101</v>
      </c>
      <c r="N12" s="52">
        <f t="shared" si="0"/>
        <v>93</v>
      </c>
      <c r="O12" s="52">
        <f t="shared" si="0"/>
        <v>135.16422009000001</v>
      </c>
      <c r="P12" s="52">
        <f t="shared" si="0"/>
        <v>134.46545930798479</v>
      </c>
      <c r="Q12" s="52">
        <f t="shared" si="0"/>
        <v>130.24004050999994</v>
      </c>
      <c r="R12" s="52">
        <f t="shared" si="0"/>
        <v>108.25449944945025</v>
      </c>
      <c r="S12" s="52">
        <f t="shared" si="0"/>
        <v>187.78500073256504</v>
      </c>
      <c r="T12" s="52">
        <f t="shared" si="0"/>
        <v>136.84099999999998</v>
      </c>
      <c r="U12" s="52">
        <f t="shared" si="0"/>
        <v>72.450000000000017</v>
      </c>
      <c r="V12" s="52">
        <f t="shared" si="0"/>
        <v>159.18365800000001</v>
      </c>
      <c r="W12" s="52">
        <f t="shared" si="0"/>
        <v>175.15889407999998</v>
      </c>
      <c r="X12" s="52">
        <f t="shared" si="0"/>
        <v>140.63799994000001</v>
      </c>
      <c r="Y12" s="52">
        <f t="shared" si="0"/>
        <v>242.76999939000115</v>
      </c>
      <c r="Z12" s="52">
        <f t="shared" si="0"/>
        <v>285.8977896699987</v>
      </c>
      <c r="AA12" s="52">
        <f t="shared" si="0"/>
        <v>283.33215419000021</v>
      </c>
      <c r="AB12" s="52">
        <f t="shared" si="0"/>
        <v>197.89627228999993</v>
      </c>
      <c r="AC12" s="52">
        <f t="shared" si="0"/>
        <v>232.17199419000178</v>
      </c>
      <c r="AD12" s="52">
        <f t="shared" si="0"/>
        <v>223.02180861399998</v>
      </c>
    </row>
    <row r="13" spans="2:30" x14ac:dyDescent="0.35">
      <c r="D13" s="46"/>
      <c r="E13" s="46"/>
      <c r="F13" s="46"/>
      <c r="G13" s="46"/>
      <c r="H13" s="47"/>
      <c r="I13" s="47"/>
      <c r="J13" s="47"/>
      <c r="K13" s="47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2:30" x14ac:dyDescent="0.35">
      <c r="B14" s="41" t="s">
        <v>2</v>
      </c>
      <c r="D14" s="53"/>
      <c r="E14" s="53"/>
      <c r="F14" s="53"/>
      <c r="G14" s="53"/>
      <c r="H14" s="54"/>
      <c r="I14" s="54"/>
      <c r="J14" s="54"/>
      <c r="K14" s="54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2:30" x14ac:dyDescent="0.35">
      <c r="B15" s="45" t="s">
        <v>84</v>
      </c>
      <c r="D15" s="46">
        <v>128</v>
      </c>
      <c r="E15" s="46">
        <v>142</v>
      </c>
      <c r="F15" s="46">
        <v>156</v>
      </c>
      <c r="G15" s="46">
        <v>255</v>
      </c>
      <c r="H15" s="47">
        <v>143</v>
      </c>
      <c r="I15" s="47">
        <v>155</v>
      </c>
      <c r="J15" s="47">
        <v>137</v>
      </c>
      <c r="K15" s="47">
        <v>171</v>
      </c>
      <c r="L15" s="46">
        <v>183</v>
      </c>
      <c r="M15" s="46">
        <v>99</v>
      </c>
      <c r="N15" s="46">
        <v>111</v>
      </c>
      <c r="O15" s="46">
        <v>166.99032960999975</v>
      </c>
      <c r="P15" s="46">
        <v>83.842555169999983</v>
      </c>
      <c r="Q15" s="46">
        <v>92.839179369999997</v>
      </c>
      <c r="R15" s="46">
        <v>105.31711408599881</v>
      </c>
      <c r="S15" s="46">
        <v>117.69100631748562</v>
      </c>
      <c r="T15" s="46">
        <v>139.52010496399996</v>
      </c>
      <c r="U15" s="46">
        <v>165.24612886244935</v>
      </c>
      <c r="V15" s="46">
        <v>275.49819489005063</v>
      </c>
      <c r="W15" s="46">
        <v>308.75830371998603</v>
      </c>
      <c r="X15" s="46">
        <v>174.05547469787979</v>
      </c>
      <c r="Y15" s="46">
        <v>302.84574810000527</v>
      </c>
      <c r="Z15" s="46">
        <v>344.4181562804726</v>
      </c>
      <c r="AA15" s="46">
        <v>412.41912048491463</v>
      </c>
      <c r="AB15" s="46">
        <v>455.88645255001774</v>
      </c>
      <c r="AC15" s="46">
        <v>318.83306208997072</v>
      </c>
      <c r="AD15" s="46">
        <v>304.78141817003132</v>
      </c>
    </row>
    <row r="16" spans="2:30" x14ac:dyDescent="0.35">
      <c r="B16" s="45" t="s">
        <v>85</v>
      </c>
      <c r="D16" s="46">
        <v>39</v>
      </c>
      <c r="E16" s="46">
        <v>39</v>
      </c>
      <c r="F16" s="46">
        <v>43</v>
      </c>
      <c r="G16" s="46">
        <v>23</v>
      </c>
      <c r="H16" s="47">
        <v>25</v>
      </c>
      <c r="I16" s="47">
        <v>30</v>
      </c>
      <c r="J16" s="47">
        <v>59</v>
      </c>
      <c r="K16" s="47">
        <v>42</v>
      </c>
      <c r="L16" s="46">
        <v>1</v>
      </c>
      <c r="M16" s="46">
        <v>50</v>
      </c>
      <c r="N16" s="46">
        <v>76</v>
      </c>
      <c r="O16" s="46">
        <v>43.825146609999997</v>
      </c>
      <c r="P16" s="46">
        <v>60.562057259999989</v>
      </c>
      <c r="Q16" s="46">
        <v>34.143632229999916</v>
      </c>
      <c r="R16" s="46">
        <v>32.762534623999969</v>
      </c>
      <c r="S16" s="46">
        <v>86.633186182499969</v>
      </c>
      <c r="T16" s="46">
        <v>29.980615676000024</v>
      </c>
      <c r="U16" s="46">
        <v>54.957152327499983</v>
      </c>
      <c r="V16" s="46">
        <v>59.419368860000013</v>
      </c>
      <c r="W16" s="46">
        <v>64.413387019999988</v>
      </c>
      <c r="X16" s="46">
        <v>123.50721390999999</v>
      </c>
      <c r="Y16" s="46">
        <v>118.51523322999937</v>
      </c>
      <c r="Z16" s="46">
        <v>137.6080994594999</v>
      </c>
      <c r="AA16" s="46">
        <v>115.95925981081459</v>
      </c>
      <c r="AB16" s="46">
        <v>129.84959649999999</v>
      </c>
      <c r="AC16" s="46">
        <v>134.09267495</v>
      </c>
      <c r="AD16" s="46">
        <v>281.44468195000002</v>
      </c>
    </row>
    <row r="17" spans="2:30" x14ac:dyDescent="0.35">
      <c r="B17" s="48" t="str">
        <f>B11</f>
        <v>Ativos não elétricos</v>
      </c>
      <c r="D17" s="49">
        <v>33</v>
      </c>
      <c r="E17" s="49">
        <v>31</v>
      </c>
      <c r="F17" s="49">
        <v>1</v>
      </c>
      <c r="G17" s="49">
        <v>-6</v>
      </c>
      <c r="H17" s="50">
        <v>2</v>
      </c>
      <c r="I17" s="50">
        <v>19</v>
      </c>
      <c r="J17" s="50">
        <v>-2</v>
      </c>
      <c r="K17" s="50">
        <v>32</v>
      </c>
      <c r="L17" s="49">
        <v>10</v>
      </c>
      <c r="M17" s="49">
        <v>11</v>
      </c>
      <c r="N17" s="49">
        <v>16</v>
      </c>
      <c r="O17" s="49">
        <v>11.375147430000181</v>
      </c>
      <c r="P17" s="49">
        <v>16.214937869999815</v>
      </c>
      <c r="Q17" s="49">
        <v>9.5364326600000027</v>
      </c>
      <c r="R17" s="49">
        <v>10.727524510000011</v>
      </c>
      <c r="S17" s="49">
        <v>30.482199879999399</v>
      </c>
      <c r="T17" s="49">
        <v>16.503804500000026</v>
      </c>
      <c r="U17" s="49">
        <v>2.8480725899999979</v>
      </c>
      <c r="V17" s="49">
        <v>7.5805573300000004</v>
      </c>
      <c r="W17" s="49">
        <v>16.680971950000004</v>
      </c>
      <c r="X17" s="49">
        <v>7.0371431799999993</v>
      </c>
      <c r="Y17" s="49">
        <v>16.674844139999998</v>
      </c>
      <c r="Z17" s="49">
        <v>15.321790359999994</v>
      </c>
      <c r="AA17" s="49">
        <v>68.036650236314571</v>
      </c>
      <c r="AB17" s="49">
        <v>27.541975999999998</v>
      </c>
      <c r="AC17" s="49">
        <v>24.770872000000001</v>
      </c>
      <c r="AD17" s="49">
        <v>17.572108999999998</v>
      </c>
    </row>
    <row r="18" spans="2:30" x14ac:dyDescent="0.35">
      <c r="B18" s="51" t="s">
        <v>87</v>
      </c>
      <c r="D18" s="52">
        <f>SUM(D15:D17)</f>
        <v>200</v>
      </c>
      <c r="E18" s="52">
        <f t="shared" ref="E18:AD18" si="1">SUM(E15:E17)</f>
        <v>212</v>
      </c>
      <c r="F18" s="52">
        <f t="shared" si="1"/>
        <v>200</v>
      </c>
      <c r="G18" s="52">
        <f t="shared" si="1"/>
        <v>272</v>
      </c>
      <c r="H18" s="52">
        <f t="shared" si="1"/>
        <v>170</v>
      </c>
      <c r="I18" s="52">
        <f t="shared" si="1"/>
        <v>204</v>
      </c>
      <c r="J18" s="52">
        <f t="shared" si="1"/>
        <v>194</v>
      </c>
      <c r="K18" s="52">
        <f t="shared" si="1"/>
        <v>245</v>
      </c>
      <c r="L18" s="52">
        <f t="shared" si="1"/>
        <v>194</v>
      </c>
      <c r="M18" s="52">
        <f t="shared" si="1"/>
        <v>160</v>
      </c>
      <c r="N18" s="52">
        <f t="shared" si="1"/>
        <v>203</v>
      </c>
      <c r="O18" s="52">
        <f t="shared" si="1"/>
        <v>222.19062364999991</v>
      </c>
      <c r="P18" s="52">
        <f t="shared" si="1"/>
        <v>160.61955029999979</v>
      </c>
      <c r="Q18" s="52">
        <f t="shared" si="1"/>
        <v>136.51924425999991</v>
      </c>
      <c r="R18" s="52">
        <f t="shared" si="1"/>
        <v>148.80717321999879</v>
      </c>
      <c r="S18" s="52">
        <f t="shared" si="1"/>
        <v>234.806392379985</v>
      </c>
      <c r="T18" s="52">
        <f t="shared" si="1"/>
        <v>186.00452514</v>
      </c>
      <c r="U18" s="52">
        <f t="shared" si="1"/>
        <v>223.05135377994932</v>
      </c>
      <c r="V18" s="52">
        <f t="shared" si="1"/>
        <v>342.49812108005062</v>
      </c>
      <c r="W18" s="52">
        <f t="shared" si="1"/>
        <v>389.85266268998606</v>
      </c>
      <c r="X18" s="52">
        <f t="shared" si="1"/>
        <v>304.59983178787974</v>
      </c>
      <c r="Y18" s="52">
        <f t="shared" si="1"/>
        <v>438.03582547000462</v>
      </c>
      <c r="Z18" s="52">
        <f t="shared" si="1"/>
        <v>497.34804609997252</v>
      </c>
      <c r="AA18" s="52">
        <f t="shared" si="1"/>
        <v>596.41503053204383</v>
      </c>
      <c r="AB18" s="52">
        <f t="shared" si="1"/>
        <v>613.27802505001773</v>
      </c>
      <c r="AC18" s="52">
        <f t="shared" si="1"/>
        <v>477.69660903997072</v>
      </c>
      <c r="AD18" s="52">
        <f t="shared" si="1"/>
        <v>603.79820912003129</v>
      </c>
    </row>
    <row r="19" spans="2:30" x14ac:dyDescent="0.35">
      <c r="D19" s="46"/>
      <c r="E19" s="46"/>
      <c r="F19" s="46"/>
      <c r="G19" s="46"/>
      <c r="H19" s="47"/>
      <c r="I19" s="47"/>
      <c r="J19" s="47"/>
      <c r="K19" s="47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2:30" x14ac:dyDescent="0.35">
      <c r="B20" s="41" t="s">
        <v>3</v>
      </c>
      <c r="D20" s="53"/>
      <c r="E20" s="53"/>
      <c r="F20" s="53"/>
      <c r="G20" s="53"/>
      <c r="H20" s="54"/>
      <c r="I20" s="54"/>
      <c r="J20" s="54"/>
      <c r="K20" s="54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2:30" x14ac:dyDescent="0.35">
      <c r="B21" s="45" t="s">
        <v>84</v>
      </c>
      <c r="D21" s="46"/>
      <c r="E21" s="46"/>
      <c r="F21" s="46"/>
      <c r="G21" s="46"/>
      <c r="H21" s="47"/>
      <c r="I21" s="47"/>
      <c r="J21" s="47"/>
      <c r="K21" s="47"/>
      <c r="L21" s="46">
        <v>9</v>
      </c>
      <c r="M21" s="46">
        <v>262</v>
      </c>
      <c r="N21" s="46">
        <v>47</v>
      </c>
      <c r="O21" s="46">
        <v>43.672655839999891</v>
      </c>
      <c r="P21" s="46">
        <v>40.799971230000011</v>
      </c>
      <c r="Q21" s="46">
        <v>64.105012519999988</v>
      </c>
      <c r="R21" s="46">
        <v>66.012458557404045</v>
      </c>
      <c r="S21" s="46">
        <v>105.74948137814052</v>
      </c>
      <c r="T21" s="46">
        <v>54.07866602499999</v>
      </c>
      <c r="U21" s="46">
        <v>51.100565979999992</v>
      </c>
      <c r="V21" s="46">
        <v>114.001780803</v>
      </c>
      <c r="W21" s="46">
        <v>118.58106483800003</v>
      </c>
      <c r="X21" s="46">
        <v>70.417172044467463</v>
      </c>
      <c r="Y21" s="46">
        <v>140.15428201539802</v>
      </c>
      <c r="Z21" s="46">
        <v>173.74348686493241</v>
      </c>
      <c r="AA21" s="46">
        <v>197.46753788799012</v>
      </c>
      <c r="AB21" s="46">
        <v>141.2162241169996</v>
      </c>
      <c r="AC21" s="46">
        <v>218.68934320599908</v>
      </c>
      <c r="AD21" s="46">
        <v>117.7814664190002</v>
      </c>
    </row>
    <row r="22" spans="2:30" x14ac:dyDescent="0.35">
      <c r="B22" s="45" t="s">
        <v>85</v>
      </c>
      <c r="D22" s="46"/>
      <c r="E22" s="46"/>
      <c r="F22" s="46"/>
      <c r="G22" s="46"/>
      <c r="H22" s="47"/>
      <c r="I22" s="47"/>
      <c r="J22" s="47"/>
      <c r="K22" s="47"/>
      <c r="L22" s="46">
        <v>12</v>
      </c>
      <c r="M22" s="46">
        <v>21</v>
      </c>
      <c r="N22" s="46">
        <v>17</v>
      </c>
      <c r="O22" s="46">
        <v>27.698670120000003</v>
      </c>
      <c r="P22" s="46">
        <v>20.887042829999995</v>
      </c>
      <c r="Q22" s="46">
        <v>24.088909719999993</v>
      </c>
      <c r="R22" s="46">
        <v>14.120175102595971</v>
      </c>
      <c r="S22" s="46">
        <v>16.939863691859447</v>
      </c>
      <c r="T22" s="46">
        <v>8.3860750550000134</v>
      </c>
      <c r="U22" s="46">
        <v>14.652865699999991</v>
      </c>
      <c r="V22" s="46">
        <v>14.668599987000016</v>
      </c>
      <c r="W22" s="46">
        <v>17.194146741999997</v>
      </c>
      <c r="X22" s="46">
        <v>11.199528345532535</v>
      </c>
      <c r="Y22" s="46">
        <v>19.98686245460166</v>
      </c>
      <c r="Z22" s="46">
        <v>27.002937985066783</v>
      </c>
      <c r="AA22" s="46">
        <v>36.234261592008977</v>
      </c>
      <c r="AB22" s="46">
        <v>30.929678703000068</v>
      </c>
      <c r="AC22" s="46">
        <v>49.384154484000142</v>
      </c>
      <c r="AD22" s="46">
        <v>22.769053040999964</v>
      </c>
    </row>
    <row r="23" spans="2:30" x14ac:dyDescent="0.35">
      <c r="B23" s="48" t="str">
        <f>B17</f>
        <v>Ativos não elétricos</v>
      </c>
      <c r="D23" s="49"/>
      <c r="E23" s="49"/>
      <c r="F23" s="49"/>
      <c r="G23" s="49"/>
      <c r="H23" s="50"/>
      <c r="I23" s="50"/>
      <c r="J23" s="50"/>
      <c r="K23" s="50"/>
      <c r="L23" s="49">
        <v>14</v>
      </c>
      <c r="M23" s="49">
        <v>12</v>
      </c>
      <c r="N23" s="49">
        <v>12</v>
      </c>
      <c r="O23" s="49">
        <v>42.61967404</v>
      </c>
      <c r="P23" s="49">
        <v>12.573985940000002</v>
      </c>
      <c r="Q23" s="49">
        <v>6.9566499200000003</v>
      </c>
      <c r="R23" s="49">
        <v>11.315794179999999</v>
      </c>
      <c r="S23" s="49">
        <v>19.790654929999995</v>
      </c>
      <c r="T23" s="49">
        <v>14.839258920000001</v>
      </c>
      <c r="U23" s="49">
        <v>7.5975683200000006</v>
      </c>
      <c r="V23" s="49">
        <v>9.4246192099999977</v>
      </c>
      <c r="W23" s="49">
        <v>13.142788420000002</v>
      </c>
      <c r="X23" s="49">
        <v>9.3842996099999993</v>
      </c>
      <c r="Y23" s="49">
        <v>12.45862655</v>
      </c>
      <c r="Z23" s="49">
        <v>16.842503030000003</v>
      </c>
      <c r="AA23" s="49">
        <v>17.28270294</v>
      </c>
      <c r="AB23" s="49">
        <v>7.6219584399999993</v>
      </c>
      <c r="AC23" s="49">
        <v>6.93710644</v>
      </c>
      <c r="AD23" s="49">
        <v>9.8731896499999987</v>
      </c>
    </row>
    <row r="24" spans="2:30" x14ac:dyDescent="0.35">
      <c r="B24" s="51" t="s">
        <v>87</v>
      </c>
      <c r="D24" s="52">
        <f>SUM(D21:D23)</f>
        <v>0</v>
      </c>
      <c r="E24" s="52">
        <f t="shared" ref="E24:AD24" si="2">SUM(E21:E23)</f>
        <v>0</v>
      </c>
      <c r="F24" s="52">
        <f t="shared" si="2"/>
        <v>0</v>
      </c>
      <c r="G24" s="52">
        <f t="shared" si="2"/>
        <v>0</v>
      </c>
      <c r="H24" s="52">
        <f t="shared" si="2"/>
        <v>0</v>
      </c>
      <c r="I24" s="52">
        <f t="shared" si="2"/>
        <v>0</v>
      </c>
      <c r="J24" s="52">
        <f t="shared" si="2"/>
        <v>0</v>
      </c>
      <c r="K24" s="52">
        <f t="shared" si="2"/>
        <v>0</v>
      </c>
      <c r="L24" s="52">
        <f t="shared" si="2"/>
        <v>35</v>
      </c>
      <c r="M24" s="52">
        <f t="shared" si="2"/>
        <v>295</v>
      </c>
      <c r="N24" s="52">
        <f t="shared" si="2"/>
        <v>76</v>
      </c>
      <c r="O24" s="52">
        <f t="shared" si="2"/>
        <v>113.9909999999999</v>
      </c>
      <c r="P24" s="52">
        <f t="shared" si="2"/>
        <v>74.26100000000001</v>
      </c>
      <c r="Q24" s="52">
        <f t="shared" si="2"/>
        <v>95.150572159999982</v>
      </c>
      <c r="R24" s="52">
        <f t="shared" si="2"/>
        <v>91.448427840000008</v>
      </c>
      <c r="S24" s="52">
        <f t="shared" si="2"/>
        <v>142.47999999999996</v>
      </c>
      <c r="T24" s="52">
        <f t="shared" si="2"/>
        <v>77.304000000000002</v>
      </c>
      <c r="U24" s="52">
        <f t="shared" si="2"/>
        <v>73.350999999999971</v>
      </c>
      <c r="V24" s="52">
        <f t="shared" si="2"/>
        <v>138.09500000000003</v>
      </c>
      <c r="W24" s="52">
        <f t="shared" si="2"/>
        <v>148.91800000000001</v>
      </c>
      <c r="X24" s="52">
        <f t="shared" si="2"/>
        <v>91.001000000000005</v>
      </c>
      <c r="Y24" s="52">
        <f t="shared" si="2"/>
        <v>172.59977101999968</v>
      </c>
      <c r="Z24" s="52">
        <f t="shared" si="2"/>
        <v>217.58892787999918</v>
      </c>
      <c r="AA24" s="52">
        <f t="shared" si="2"/>
        <v>250.9845024199991</v>
      </c>
      <c r="AB24" s="52">
        <f t="shared" si="2"/>
        <v>179.76786125999965</v>
      </c>
      <c r="AC24" s="52">
        <f t="shared" si="2"/>
        <v>275.01060412999919</v>
      </c>
      <c r="AD24" s="52">
        <f t="shared" si="2"/>
        <v>150.42370911000015</v>
      </c>
    </row>
    <row r="25" spans="2:30" x14ac:dyDescent="0.35">
      <c r="D25" s="46"/>
      <c r="E25" s="46"/>
      <c r="F25" s="46"/>
      <c r="G25" s="46"/>
      <c r="H25" s="47"/>
      <c r="I25" s="47"/>
      <c r="J25" s="47"/>
      <c r="K25" s="47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2:30" x14ac:dyDescent="0.35">
      <c r="B26" s="41" t="s">
        <v>4</v>
      </c>
      <c r="D26" s="53"/>
      <c r="E26" s="53"/>
      <c r="F26" s="53"/>
      <c r="G26" s="53"/>
      <c r="H26" s="54"/>
      <c r="I26" s="54"/>
      <c r="J26" s="54"/>
      <c r="K26" s="54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</row>
    <row r="27" spans="2:30" x14ac:dyDescent="0.35">
      <c r="B27" s="45" t="s">
        <v>84</v>
      </c>
      <c r="D27" s="46"/>
      <c r="E27" s="46"/>
      <c r="F27" s="46"/>
      <c r="G27" s="46"/>
      <c r="H27" s="47"/>
      <c r="I27" s="47"/>
      <c r="J27" s="47"/>
      <c r="K27" s="47"/>
      <c r="L27" s="46"/>
      <c r="M27" s="46">
        <v>16</v>
      </c>
      <c r="N27" s="46">
        <v>37</v>
      </c>
      <c r="O27" s="46">
        <v>66.523681609999983</v>
      </c>
      <c r="P27" s="46">
        <v>30.418543579999987</v>
      </c>
      <c r="Q27" s="46">
        <v>41.586033670000035</v>
      </c>
      <c r="R27" s="46">
        <v>33.948352880000009</v>
      </c>
      <c r="S27" s="46">
        <v>62.261696839999971</v>
      </c>
      <c r="T27" s="46">
        <v>38.471585539999985</v>
      </c>
      <c r="U27" s="46">
        <v>52.96314071999997</v>
      </c>
      <c r="V27" s="46">
        <v>76.313072000000005</v>
      </c>
      <c r="W27" s="46">
        <v>94.338921840000012</v>
      </c>
      <c r="X27" s="46">
        <v>65.948067259999974</v>
      </c>
      <c r="Y27" s="46">
        <v>94.060595880000179</v>
      </c>
      <c r="Z27" s="46">
        <v>91.13067243999879</v>
      </c>
      <c r="AA27" s="46">
        <v>150.60394858000049</v>
      </c>
      <c r="AB27" s="46">
        <v>116.79680941999948</v>
      </c>
      <c r="AC27" s="46">
        <v>153.152431970002</v>
      </c>
      <c r="AD27" s="46">
        <v>160.59700000000001</v>
      </c>
    </row>
    <row r="28" spans="2:30" x14ac:dyDescent="0.35">
      <c r="B28" s="45" t="s">
        <v>85</v>
      </c>
      <c r="D28" s="46"/>
      <c r="E28" s="46"/>
      <c r="F28" s="46"/>
      <c r="G28" s="46"/>
      <c r="H28" s="47"/>
      <c r="I28" s="47"/>
      <c r="J28" s="47"/>
      <c r="K28" s="47"/>
      <c r="L28" s="46"/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0.32185559000000002</v>
      </c>
      <c r="AC28" s="46">
        <v>3.1612649099999999</v>
      </c>
      <c r="AD28" s="46">
        <v>0.878</v>
      </c>
    </row>
    <row r="29" spans="2:30" x14ac:dyDescent="0.35">
      <c r="B29" s="48" t="str">
        <f>B23</f>
        <v>Ativos não elétricos</v>
      </c>
      <c r="D29" s="49"/>
      <c r="E29" s="49"/>
      <c r="F29" s="49"/>
      <c r="G29" s="49"/>
      <c r="H29" s="50"/>
      <c r="I29" s="50"/>
      <c r="J29" s="50"/>
      <c r="K29" s="50"/>
      <c r="L29" s="49"/>
      <c r="M29" s="49">
        <v>11</v>
      </c>
      <c r="N29" s="49">
        <v>19</v>
      </c>
      <c r="O29" s="49">
        <v>7.1605568899999978</v>
      </c>
      <c r="P29" s="49">
        <v>3.9550589999999999</v>
      </c>
      <c r="Q29" s="49">
        <v>3.1231</v>
      </c>
      <c r="R29" s="49">
        <v>5.8552749999999998</v>
      </c>
      <c r="S29" s="49">
        <v>17.147469999999998</v>
      </c>
      <c r="T29" s="49">
        <v>10.957217999999999</v>
      </c>
      <c r="U29" s="49">
        <v>5.7209099999999999</v>
      </c>
      <c r="V29" s="49">
        <v>6.842536</v>
      </c>
      <c r="W29" s="49">
        <v>8.7634992599999979</v>
      </c>
      <c r="X29" s="49">
        <v>4.24772587</v>
      </c>
      <c r="Y29" s="49">
        <v>10.427542429999999</v>
      </c>
      <c r="Z29" s="49">
        <v>18.814729899999939</v>
      </c>
      <c r="AA29" s="49">
        <v>-9.1187431199997562</v>
      </c>
      <c r="AB29" s="49">
        <v>3.0796196399999984</v>
      </c>
      <c r="AC29" s="49">
        <v>11.88904256</v>
      </c>
      <c r="AD29" s="49">
        <v>4.4939999999999998</v>
      </c>
    </row>
    <row r="30" spans="2:30" x14ac:dyDescent="0.35">
      <c r="B30" s="51" t="s">
        <v>87</v>
      </c>
      <c r="D30" s="52">
        <f>SUM(D27:D29)</f>
        <v>0</v>
      </c>
      <c r="E30" s="52">
        <f t="shared" ref="E30:AD30" si="3">SUM(E27:E29)</f>
        <v>0</v>
      </c>
      <c r="F30" s="52">
        <f t="shared" si="3"/>
        <v>0</v>
      </c>
      <c r="G30" s="52">
        <f t="shared" si="3"/>
        <v>0</v>
      </c>
      <c r="H30" s="52">
        <f t="shared" si="3"/>
        <v>0</v>
      </c>
      <c r="I30" s="52">
        <f t="shared" si="3"/>
        <v>0</v>
      </c>
      <c r="J30" s="52">
        <f t="shared" si="3"/>
        <v>0</v>
      </c>
      <c r="K30" s="52">
        <f t="shared" si="3"/>
        <v>0</v>
      </c>
      <c r="L30" s="52">
        <f t="shared" si="3"/>
        <v>0</v>
      </c>
      <c r="M30" s="52">
        <f t="shared" si="3"/>
        <v>27</v>
      </c>
      <c r="N30" s="52">
        <f t="shared" si="3"/>
        <v>56</v>
      </c>
      <c r="O30" s="52">
        <f t="shared" si="3"/>
        <v>73.684238499999978</v>
      </c>
      <c r="P30" s="52">
        <f t="shared" si="3"/>
        <v>34.373602579999989</v>
      </c>
      <c r="Q30" s="52">
        <f t="shared" si="3"/>
        <v>44.709133670000035</v>
      </c>
      <c r="R30" s="52">
        <f t="shared" si="3"/>
        <v>39.803627880000008</v>
      </c>
      <c r="S30" s="52">
        <f t="shared" si="3"/>
        <v>79.409166839999969</v>
      </c>
      <c r="T30" s="52">
        <f t="shared" si="3"/>
        <v>49.428803539999983</v>
      </c>
      <c r="U30" s="52">
        <f t="shared" si="3"/>
        <v>58.684050719999973</v>
      </c>
      <c r="V30" s="52">
        <f t="shared" si="3"/>
        <v>83.155608000000001</v>
      </c>
      <c r="W30" s="52">
        <f t="shared" si="3"/>
        <v>103.10242110000002</v>
      </c>
      <c r="X30" s="52">
        <f t="shared" si="3"/>
        <v>70.19579312999997</v>
      </c>
      <c r="Y30" s="52">
        <f t="shared" si="3"/>
        <v>104.48813831000018</v>
      </c>
      <c r="Z30" s="52">
        <f t="shared" si="3"/>
        <v>109.94540233999874</v>
      </c>
      <c r="AA30" s="52">
        <f t="shared" si="3"/>
        <v>141.48520546000074</v>
      </c>
      <c r="AB30" s="52">
        <f t="shared" si="3"/>
        <v>120.19828464999948</v>
      </c>
      <c r="AC30" s="52">
        <f t="shared" si="3"/>
        <v>168.20273944000201</v>
      </c>
      <c r="AD30" s="52">
        <f t="shared" si="3"/>
        <v>165.96899999999999</v>
      </c>
    </row>
    <row r="31" spans="2:30" x14ac:dyDescent="0.35">
      <c r="B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2:30" x14ac:dyDescent="0.35">
      <c r="B32" s="41" t="s">
        <v>5</v>
      </c>
      <c r="D32" s="53"/>
      <c r="E32" s="53"/>
      <c r="F32" s="53"/>
      <c r="G32" s="53"/>
      <c r="H32" s="54"/>
      <c r="I32" s="54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</row>
    <row r="33" spans="2:30" x14ac:dyDescent="0.35">
      <c r="B33" s="45" t="s">
        <v>84</v>
      </c>
      <c r="D33" s="46"/>
      <c r="E33" s="46"/>
      <c r="F33" s="46"/>
      <c r="G33" s="46"/>
      <c r="H33" s="47"/>
      <c r="I33" s="47"/>
      <c r="J33" s="47"/>
      <c r="K33" s="47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>
        <v>60.148325119999704</v>
      </c>
      <c r="W33" s="46">
        <v>60.949689120000009</v>
      </c>
      <c r="X33" s="46">
        <v>62.602916220000012</v>
      </c>
      <c r="Y33" s="46">
        <v>59.898631979999912</v>
      </c>
      <c r="Z33" s="46">
        <v>291.37523237000005</v>
      </c>
      <c r="AA33" s="46">
        <v>231.31458005000002</v>
      </c>
      <c r="AB33" s="46">
        <v>188.29408105000007</v>
      </c>
      <c r="AC33" s="46">
        <v>188.02021411000001</v>
      </c>
      <c r="AD33" s="46">
        <v>153.75846698000001</v>
      </c>
    </row>
    <row r="34" spans="2:30" x14ac:dyDescent="0.35">
      <c r="B34" s="45" t="s">
        <v>85</v>
      </c>
      <c r="D34" s="46"/>
      <c r="E34" s="46"/>
      <c r="F34" s="46"/>
      <c r="G34" s="46"/>
      <c r="H34" s="47"/>
      <c r="I34" s="47"/>
      <c r="J34" s="47"/>
      <c r="K34" s="47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>
        <v>0</v>
      </c>
      <c r="W34" s="46">
        <v>1.4259202</v>
      </c>
      <c r="X34" s="46">
        <v>0.7727851899999999</v>
      </c>
      <c r="Y34" s="46">
        <v>11.938904229999999</v>
      </c>
      <c r="Z34" s="46">
        <v>19.548000260000002</v>
      </c>
      <c r="AA34" s="46">
        <v>0.74118633999999994</v>
      </c>
      <c r="AB34" s="46">
        <v>0.45465657999999998</v>
      </c>
      <c r="AC34" s="46">
        <v>1.3695862999999999</v>
      </c>
      <c r="AD34" s="46">
        <v>2.3545698200000005</v>
      </c>
    </row>
    <row r="35" spans="2:30" x14ac:dyDescent="0.35">
      <c r="B35" s="48" t="str">
        <f>B29</f>
        <v>Ativos não elétricos</v>
      </c>
      <c r="D35" s="49"/>
      <c r="E35" s="49"/>
      <c r="F35" s="49"/>
      <c r="G35" s="49"/>
      <c r="H35" s="50"/>
      <c r="I35" s="50"/>
      <c r="J35" s="50"/>
      <c r="K35" s="50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>
        <v>7.462408999999999E-2</v>
      </c>
      <c r="W35" s="49">
        <v>2.1813906799999994</v>
      </c>
      <c r="X35" s="49">
        <v>5.9202985899999998</v>
      </c>
      <c r="Y35" s="49">
        <v>10.754541370000005</v>
      </c>
      <c r="Z35" s="49">
        <v>31.226689369999988</v>
      </c>
      <c r="AA35" s="49">
        <v>24.833233610000001</v>
      </c>
      <c r="AB35" s="49">
        <v>19.018262369999999</v>
      </c>
      <c r="AC35" s="49">
        <v>21.321199589999999</v>
      </c>
      <c r="AD35" s="49">
        <v>19.008963200000004</v>
      </c>
    </row>
    <row r="36" spans="2:30" x14ac:dyDescent="0.35">
      <c r="B36" s="51" t="s">
        <v>87</v>
      </c>
      <c r="D36" s="52">
        <f>SUM(D33:D35)</f>
        <v>0</v>
      </c>
      <c r="E36" s="52">
        <f t="shared" ref="E36:AD36" si="4">SUM(E33:E35)</f>
        <v>0</v>
      </c>
      <c r="F36" s="52">
        <f t="shared" si="4"/>
        <v>0</v>
      </c>
      <c r="G36" s="52">
        <f t="shared" si="4"/>
        <v>0</v>
      </c>
      <c r="H36" s="52">
        <f t="shared" si="4"/>
        <v>0</v>
      </c>
      <c r="I36" s="52">
        <f t="shared" si="4"/>
        <v>0</v>
      </c>
      <c r="J36" s="52">
        <f t="shared" si="4"/>
        <v>0</v>
      </c>
      <c r="K36" s="52">
        <f t="shared" si="4"/>
        <v>0</v>
      </c>
      <c r="L36" s="52">
        <f t="shared" si="4"/>
        <v>0</v>
      </c>
      <c r="M36" s="52">
        <f t="shared" si="4"/>
        <v>0</v>
      </c>
      <c r="N36" s="52">
        <f t="shared" si="4"/>
        <v>0</v>
      </c>
      <c r="O36" s="52">
        <f t="shared" si="4"/>
        <v>0</v>
      </c>
      <c r="P36" s="52">
        <f t="shared" si="4"/>
        <v>0</v>
      </c>
      <c r="Q36" s="52">
        <f t="shared" si="4"/>
        <v>0</v>
      </c>
      <c r="R36" s="52">
        <f t="shared" si="4"/>
        <v>0</v>
      </c>
      <c r="S36" s="52">
        <f t="shared" si="4"/>
        <v>0</v>
      </c>
      <c r="T36" s="52">
        <f t="shared" si="4"/>
        <v>0</v>
      </c>
      <c r="U36" s="52">
        <f t="shared" si="4"/>
        <v>0</v>
      </c>
      <c r="V36" s="52">
        <f t="shared" si="4"/>
        <v>60.222949209999705</v>
      </c>
      <c r="W36" s="52">
        <f t="shared" si="4"/>
        <v>64.557000000000002</v>
      </c>
      <c r="X36" s="52">
        <f t="shared" si="4"/>
        <v>69.296000000000006</v>
      </c>
      <c r="Y36" s="52">
        <f t="shared" si="4"/>
        <v>82.592077579999909</v>
      </c>
      <c r="Z36" s="52">
        <f t="shared" si="4"/>
        <v>342.149922</v>
      </c>
      <c r="AA36" s="52">
        <f t="shared" si="4"/>
        <v>256.88900000000001</v>
      </c>
      <c r="AB36" s="52">
        <f t="shared" si="4"/>
        <v>207.76700000000008</v>
      </c>
      <c r="AC36" s="52">
        <f t="shared" si="4"/>
        <v>210.71100000000001</v>
      </c>
      <c r="AD36" s="52">
        <f t="shared" si="4"/>
        <v>175.12200000000001</v>
      </c>
    </row>
    <row r="37" spans="2:30" x14ac:dyDescent="0.35">
      <c r="D37" s="46"/>
      <c r="E37" s="46"/>
      <c r="F37" s="46"/>
      <c r="G37" s="46"/>
      <c r="H37" s="47"/>
      <c r="I37" s="47"/>
      <c r="J37" s="47"/>
      <c r="K37" s="47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spans="2:30" x14ac:dyDescent="0.35">
      <c r="B38" s="41" t="s">
        <v>6</v>
      </c>
      <c r="D38" s="53"/>
      <c r="E38" s="53"/>
      <c r="F38" s="53"/>
      <c r="G38" s="53"/>
      <c r="H38" s="54"/>
      <c r="I38" s="54"/>
      <c r="J38" s="54"/>
      <c r="K38" s="54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</row>
    <row r="39" spans="2:30" x14ac:dyDescent="0.35">
      <c r="B39" s="45" t="s">
        <v>84</v>
      </c>
      <c r="D39" s="46"/>
      <c r="E39" s="46"/>
      <c r="F39" s="46"/>
      <c r="G39" s="46"/>
      <c r="H39" s="47"/>
      <c r="I39" s="47"/>
      <c r="J39" s="47"/>
      <c r="K39" s="47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>
        <v>94.879679849999988</v>
      </c>
      <c r="Z39" s="46">
        <v>130.20509097000007</v>
      </c>
      <c r="AA39" s="46">
        <v>78.668828640000015</v>
      </c>
      <c r="AB39" s="46">
        <v>84.116924040000299</v>
      </c>
      <c r="AC39" s="46">
        <v>132.11493401999988</v>
      </c>
      <c r="AD39" s="46">
        <v>66.993620437006996</v>
      </c>
    </row>
    <row r="40" spans="2:30" x14ac:dyDescent="0.35">
      <c r="B40" s="45" t="s">
        <v>85</v>
      </c>
      <c r="D40" s="46"/>
      <c r="E40" s="46"/>
      <c r="F40" s="46"/>
      <c r="G40" s="46"/>
      <c r="H40" s="47"/>
      <c r="I40" s="47"/>
      <c r="J40" s="47"/>
      <c r="K40" s="47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>
        <v>-0.37043746</v>
      </c>
      <c r="Z40" s="46">
        <v>1.6962571000000002</v>
      </c>
      <c r="AA40" s="46">
        <v>1.5338515299999993</v>
      </c>
      <c r="AB40" s="46">
        <v>18.689098749999971</v>
      </c>
      <c r="AC40" s="46">
        <v>12.064766700000007</v>
      </c>
      <c r="AD40" s="46">
        <v>26.001340783000003</v>
      </c>
    </row>
    <row r="41" spans="2:30" x14ac:dyDescent="0.35">
      <c r="B41" s="48" t="str">
        <f>B35</f>
        <v>Ativos não elétricos</v>
      </c>
      <c r="D41" s="49"/>
      <c r="E41" s="49"/>
      <c r="F41" s="49"/>
      <c r="G41" s="49"/>
      <c r="H41" s="50"/>
      <c r="I41" s="50"/>
      <c r="J41" s="50"/>
      <c r="K41" s="50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>
        <v>14.588474479999984</v>
      </c>
      <c r="Z41" s="49">
        <v>52.280697499999974</v>
      </c>
      <c r="AA41" s="49">
        <v>14.428974919999993</v>
      </c>
      <c r="AB41" s="49">
        <v>4.2330304500000011</v>
      </c>
      <c r="AC41" s="49">
        <v>5.3312311199999938</v>
      </c>
      <c r="AD41" s="49">
        <v>5.8595842199999906</v>
      </c>
    </row>
    <row r="42" spans="2:30" x14ac:dyDescent="0.35">
      <c r="B42" s="51" t="s">
        <v>87</v>
      </c>
      <c r="D42" s="52">
        <f>SUM(D39:D41)</f>
        <v>0</v>
      </c>
      <c r="E42" s="52">
        <f t="shared" ref="E42:AD42" si="5">SUM(E39:E41)</f>
        <v>0</v>
      </c>
      <c r="F42" s="52">
        <f t="shared" si="5"/>
        <v>0</v>
      </c>
      <c r="G42" s="52">
        <f t="shared" si="5"/>
        <v>0</v>
      </c>
      <c r="H42" s="52">
        <f t="shared" si="5"/>
        <v>0</v>
      </c>
      <c r="I42" s="52">
        <f t="shared" si="5"/>
        <v>0</v>
      </c>
      <c r="J42" s="52">
        <f t="shared" si="5"/>
        <v>0</v>
      </c>
      <c r="K42" s="52">
        <f t="shared" si="5"/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52">
        <f t="shared" si="5"/>
        <v>0</v>
      </c>
      <c r="P42" s="52">
        <f t="shared" si="5"/>
        <v>0</v>
      </c>
      <c r="Q42" s="52">
        <f t="shared" si="5"/>
        <v>0</v>
      </c>
      <c r="R42" s="52">
        <f t="shared" si="5"/>
        <v>0</v>
      </c>
      <c r="S42" s="52">
        <f t="shared" si="5"/>
        <v>0</v>
      </c>
      <c r="T42" s="52">
        <f t="shared" si="5"/>
        <v>0</v>
      </c>
      <c r="U42" s="52">
        <f t="shared" si="5"/>
        <v>0</v>
      </c>
      <c r="V42" s="52">
        <f t="shared" si="5"/>
        <v>0</v>
      </c>
      <c r="W42" s="52">
        <f t="shared" si="5"/>
        <v>0</v>
      </c>
      <c r="X42" s="52">
        <f t="shared" si="5"/>
        <v>0</v>
      </c>
      <c r="Y42" s="52">
        <f t="shared" si="5"/>
        <v>109.09771686999997</v>
      </c>
      <c r="Z42" s="52">
        <f t="shared" si="5"/>
        <v>184.18204557000004</v>
      </c>
      <c r="AA42" s="52">
        <f t="shared" si="5"/>
        <v>94.631655089999995</v>
      </c>
      <c r="AB42" s="52">
        <f t="shared" si="5"/>
        <v>107.03905324000027</v>
      </c>
      <c r="AC42" s="52">
        <f t="shared" si="5"/>
        <v>149.51093183999987</v>
      </c>
      <c r="AD42" s="52">
        <f t="shared" si="5"/>
        <v>98.854545440006987</v>
      </c>
    </row>
    <row r="43" spans="2:30" x14ac:dyDescent="0.35">
      <c r="D43" s="46"/>
      <c r="E43" s="46"/>
      <c r="F43" s="46"/>
      <c r="G43" s="46"/>
      <c r="H43" s="47"/>
      <c r="I43" s="47"/>
      <c r="J43" s="47"/>
      <c r="K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2:30" x14ac:dyDescent="0.35">
      <c r="B44" s="41" t="s">
        <v>7</v>
      </c>
      <c r="D44" s="53"/>
      <c r="E44" s="53"/>
      <c r="F44" s="53"/>
      <c r="G44" s="53"/>
      <c r="H44" s="54"/>
      <c r="I44" s="54"/>
      <c r="J44" s="54"/>
      <c r="K44" s="54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</row>
    <row r="45" spans="2:30" x14ac:dyDescent="0.35">
      <c r="B45" s="45" t="s">
        <v>84</v>
      </c>
      <c r="D45" s="46"/>
      <c r="E45" s="46"/>
      <c r="F45" s="46"/>
      <c r="G45" s="46"/>
      <c r="H45" s="47"/>
      <c r="I45" s="47"/>
      <c r="J45" s="47"/>
      <c r="K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>
        <v>887.35068996999996</v>
      </c>
      <c r="AC45" s="46">
        <v>417.59843761000013</v>
      </c>
      <c r="AD45" s="46">
        <v>331.49490078000002</v>
      </c>
    </row>
    <row r="46" spans="2:30" x14ac:dyDescent="0.35">
      <c r="B46" s="45" t="s">
        <v>85</v>
      </c>
      <c r="D46" s="46"/>
      <c r="E46" s="46"/>
      <c r="F46" s="46"/>
      <c r="G46" s="46"/>
      <c r="H46" s="47"/>
      <c r="I46" s="47"/>
      <c r="J46" s="47"/>
      <c r="K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>
        <v>-47.069095980000007</v>
      </c>
      <c r="AC46" s="46">
        <v>-24.051163129999971</v>
      </c>
      <c r="AD46" s="46">
        <v>-4.0625264400000001</v>
      </c>
    </row>
    <row r="47" spans="2:30" x14ac:dyDescent="0.35">
      <c r="B47" s="48" t="str">
        <f>B41</f>
        <v>Ativos não elétricos</v>
      </c>
      <c r="D47" s="49"/>
      <c r="E47" s="49"/>
      <c r="F47" s="49"/>
      <c r="G47" s="49"/>
      <c r="H47" s="50"/>
      <c r="I47" s="50"/>
      <c r="J47" s="50"/>
      <c r="K47" s="50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>
        <v>61.852406009999982</v>
      </c>
      <c r="AC47" s="49">
        <v>81.864533550000019</v>
      </c>
      <c r="AD47" s="49">
        <v>79.044480539999967</v>
      </c>
    </row>
    <row r="48" spans="2:30" x14ac:dyDescent="0.35">
      <c r="B48" s="51" t="s">
        <v>87</v>
      </c>
      <c r="D48" s="52">
        <f>SUM(D45:D47)</f>
        <v>0</v>
      </c>
      <c r="E48" s="52">
        <f t="shared" ref="E48:AD48" si="6">SUM(E45:E47)</f>
        <v>0</v>
      </c>
      <c r="F48" s="52">
        <f t="shared" si="6"/>
        <v>0</v>
      </c>
      <c r="G48" s="52">
        <f t="shared" si="6"/>
        <v>0</v>
      </c>
      <c r="H48" s="52">
        <f t="shared" si="6"/>
        <v>0</v>
      </c>
      <c r="I48" s="52">
        <f t="shared" si="6"/>
        <v>0</v>
      </c>
      <c r="J48" s="52">
        <f t="shared" si="6"/>
        <v>0</v>
      </c>
      <c r="K48" s="52">
        <f t="shared" si="6"/>
        <v>0</v>
      </c>
      <c r="L48" s="52">
        <f t="shared" si="6"/>
        <v>0</v>
      </c>
      <c r="M48" s="52">
        <f t="shared" si="6"/>
        <v>0</v>
      </c>
      <c r="N48" s="52">
        <f t="shared" si="6"/>
        <v>0</v>
      </c>
      <c r="O48" s="52">
        <f t="shared" si="6"/>
        <v>0</v>
      </c>
      <c r="P48" s="52">
        <f t="shared" si="6"/>
        <v>0</v>
      </c>
      <c r="Q48" s="52">
        <f t="shared" si="6"/>
        <v>0</v>
      </c>
      <c r="R48" s="52">
        <f t="shared" si="6"/>
        <v>0</v>
      </c>
      <c r="S48" s="52">
        <f t="shared" si="6"/>
        <v>0</v>
      </c>
      <c r="T48" s="52">
        <f t="shared" si="6"/>
        <v>0</v>
      </c>
      <c r="U48" s="52">
        <f t="shared" si="6"/>
        <v>0</v>
      </c>
      <c r="V48" s="52">
        <f t="shared" si="6"/>
        <v>0</v>
      </c>
      <c r="W48" s="52">
        <f t="shared" si="6"/>
        <v>0</v>
      </c>
      <c r="X48" s="52">
        <f t="shared" si="6"/>
        <v>0</v>
      </c>
      <c r="Y48" s="52">
        <f t="shared" si="6"/>
        <v>0</v>
      </c>
      <c r="Z48" s="52">
        <f t="shared" si="6"/>
        <v>0</v>
      </c>
      <c r="AA48" s="52">
        <f t="shared" si="6"/>
        <v>0</v>
      </c>
      <c r="AB48" s="52">
        <f t="shared" si="6"/>
        <v>902.1339999999999</v>
      </c>
      <c r="AC48" s="52">
        <f t="shared" si="6"/>
        <v>475.4118080300002</v>
      </c>
      <c r="AD48" s="52">
        <f t="shared" si="6"/>
        <v>406.47685488000002</v>
      </c>
    </row>
    <row r="49" spans="2:30" x14ac:dyDescent="0.35">
      <c r="D49" s="46"/>
      <c r="E49" s="46"/>
      <c r="F49" s="46"/>
      <c r="G49" s="46"/>
      <c r="H49" s="47"/>
      <c r="I49" s="47"/>
      <c r="J49" s="47"/>
      <c r="K49" s="4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</row>
    <row r="50" spans="2:30" x14ac:dyDescent="0.35">
      <c r="B50" s="55" t="s">
        <v>88</v>
      </c>
      <c r="D50" s="56"/>
      <c r="E50" s="56"/>
      <c r="F50" s="56"/>
      <c r="G50" s="56"/>
      <c r="H50" s="57"/>
      <c r="I50" s="57"/>
      <c r="J50" s="57"/>
      <c r="K50" s="57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</row>
    <row r="51" spans="2:30" x14ac:dyDescent="0.35">
      <c r="B51" s="48" t="s">
        <v>89</v>
      </c>
      <c r="D51" s="49">
        <v>1</v>
      </c>
      <c r="E51" s="49">
        <v>1</v>
      </c>
      <c r="F51" s="49">
        <v>0</v>
      </c>
      <c r="G51" s="49">
        <v>0</v>
      </c>
      <c r="H51" s="50">
        <v>2</v>
      </c>
      <c r="I51" s="50">
        <v>2</v>
      </c>
      <c r="J51" s="50">
        <v>1</v>
      </c>
      <c r="K51" s="50">
        <v>1</v>
      </c>
      <c r="L51" s="49">
        <v>1</v>
      </c>
      <c r="M51" s="49">
        <v>2</v>
      </c>
      <c r="N51" s="49">
        <v>0</v>
      </c>
      <c r="O51" s="49">
        <v>0</v>
      </c>
      <c r="P51" s="49">
        <v>0</v>
      </c>
      <c r="Q51" s="49">
        <v>3.3034985800000003</v>
      </c>
      <c r="R51" s="49">
        <v>0.20582987</v>
      </c>
      <c r="S51" s="49">
        <v>0.20204969</v>
      </c>
      <c r="T51" s="49">
        <v>7.0943050000000021E-2</v>
      </c>
      <c r="U51" s="49">
        <v>1.1787434500000002</v>
      </c>
      <c r="V51" s="49">
        <v>7.0943050000000021E-2</v>
      </c>
      <c r="W51" s="49">
        <v>2.8377680499998332</v>
      </c>
      <c r="X51" s="49">
        <v>5.2548748100000617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</row>
    <row r="52" spans="2:30" x14ac:dyDescent="0.35">
      <c r="B52" s="51" t="s">
        <v>87</v>
      </c>
      <c r="D52" s="52">
        <f>D51</f>
        <v>1</v>
      </c>
      <c r="E52" s="52">
        <f t="shared" ref="E52:Z52" si="7">E51</f>
        <v>1</v>
      </c>
      <c r="F52" s="52">
        <f t="shared" si="7"/>
        <v>0</v>
      </c>
      <c r="G52" s="52">
        <f t="shared" si="7"/>
        <v>0</v>
      </c>
      <c r="H52" s="52">
        <f t="shared" si="7"/>
        <v>2</v>
      </c>
      <c r="I52" s="52">
        <f t="shared" si="7"/>
        <v>2</v>
      </c>
      <c r="J52" s="52">
        <f t="shared" si="7"/>
        <v>1</v>
      </c>
      <c r="K52" s="52">
        <f t="shared" si="7"/>
        <v>1</v>
      </c>
      <c r="L52" s="52">
        <f t="shared" si="7"/>
        <v>1</v>
      </c>
      <c r="M52" s="52">
        <f t="shared" si="7"/>
        <v>2</v>
      </c>
      <c r="N52" s="52">
        <f t="shared" si="7"/>
        <v>0</v>
      </c>
      <c r="O52" s="52">
        <f t="shared" si="7"/>
        <v>0</v>
      </c>
      <c r="P52" s="52">
        <f t="shared" si="7"/>
        <v>0</v>
      </c>
      <c r="Q52" s="52">
        <f t="shared" si="7"/>
        <v>3.3034985800000003</v>
      </c>
      <c r="R52" s="52">
        <f t="shared" si="7"/>
        <v>0.20582987</v>
      </c>
      <c r="S52" s="52">
        <f t="shared" si="7"/>
        <v>0.20204969</v>
      </c>
      <c r="T52" s="52">
        <f t="shared" si="7"/>
        <v>7.0943050000000021E-2</v>
      </c>
      <c r="U52" s="52">
        <f t="shared" si="7"/>
        <v>1.1787434500000002</v>
      </c>
      <c r="V52" s="52">
        <f t="shared" si="7"/>
        <v>7.0943050000000021E-2</v>
      </c>
      <c r="W52" s="52">
        <f t="shared" si="7"/>
        <v>2.8377680499998332</v>
      </c>
      <c r="X52" s="52">
        <f t="shared" si="7"/>
        <v>5.2548748100000617</v>
      </c>
      <c r="Y52" s="52">
        <f t="shared" si="7"/>
        <v>0</v>
      </c>
      <c r="Z52" s="52">
        <f t="shared" si="7"/>
        <v>0</v>
      </c>
      <c r="AA52" s="52">
        <v>0</v>
      </c>
      <c r="AB52" s="52">
        <v>0</v>
      </c>
      <c r="AC52" s="52">
        <v>0</v>
      </c>
      <c r="AD52" s="52">
        <f>+AC52</f>
        <v>0</v>
      </c>
    </row>
    <row r="53" spans="2:30" x14ac:dyDescent="0.35">
      <c r="D53" s="46"/>
      <c r="E53" s="46"/>
      <c r="F53" s="46"/>
      <c r="G53" s="46"/>
      <c r="H53" s="47"/>
      <c r="I53" s="47"/>
      <c r="J53" s="47"/>
      <c r="K53" s="47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</row>
    <row r="54" spans="2:30" x14ac:dyDescent="0.35">
      <c r="B54" s="41" t="s">
        <v>90</v>
      </c>
      <c r="D54" s="53"/>
      <c r="E54" s="53"/>
      <c r="F54" s="53"/>
      <c r="G54" s="53"/>
      <c r="H54" s="54"/>
      <c r="I54" s="54"/>
      <c r="J54" s="54"/>
      <c r="K54" s="54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</row>
    <row r="55" spans="2:30" x14ac:dyDescent="0.35">
      <c r="B55" s="45" t="s">
        <v>91</v>
      </c>
      <c r="D55" s="46"/>
      <c r="E55" s="46"/>
      <c r="F55" s="46">
        <v>25</v>
      </c>
      <c r="G55" s="46">
        <v>104</v>
      </c>
      <c r="H55" s="47">
        <v>124</v>
      </c>
      <c r="I55" s="47">
        <v>123</v>
      </c>
      <c r="J55" s="47">
        <v>193</v>
      </c>
      <c r="K55" s="47">
        <v>338</v>
      </c>
      <c r="L55" s="46">
        <v>600</v>
      </c>
      <c r="M55" s="46">
        <v>687</v>
      </c>
      <c r="N55" s="46">
        <v>1023</v>
      </c>
      <c r="O55" s="46">
        <v>577.95859102000031</v>
      </c>
      <c r="P55" s="46">
        <v>401.23710040000003</v>
      </c>
      <c r="Q55" s="46">
        <v>179.3653357499999</v>
      </c>
      <c r="R55" s="46">
        <v>185.77535340000026</v>
      </c>
      <c r="S55" s="46">
        <v>261.22210652000007</v>
      </c>
      <c r="T55" s="46">
        <v>178.22353462000001</v>
      </c>
      <c r="U55" s="46">
        <v>43.179429290000002</v>
      </c>
      <c r="V55" s="46">
        <v>31.545454660000001</v>
      </c>
      <c r="W55" s="46">
        <v>77.912912657999996</v>
      </c>
      <c r="X55" s="46">
        <v>5.8105297600000005</v>
      </c>
      <c r="Y55" s="46">
        <v>7.6362745199999988</v>
      </c>
      <c r="Z55" s="46">
        <v>3.133933589999959</v>
      </c>
      <c r="AA55" s="46">
        <v>9.8480355900000411</v>
      </c>
      <c r="AB55" s="46">
        <v>5.2013183699999992</v>
      </c>
      <c r="AC55" s="46">
        <v>15.417274490000002</v>
      </c>
      <c r="AD55" s="46">
        <v>53.58645912999998</v>
      </c>
    </row>
    <row r="56" spans="2:30" x14ac:dyDescent="0.35">
      <c r="B56" s="48" t="s">
        <v>92</v>
      </c>
      <c r="D56" s="49"/>
      <c r="E56" s="49"/>
      <c r="F56" s="49"/>
      <c r="G56" s="49">
        <v>8</v>
      </c>
      <c r="H56" s="50">
        <v>6</v>
      </c>
      <c r="I56" s="50">
        <v>6</v>
      </c>
      <c r="J56" s="50">
        <v>15</v>
      </c>
      <c r="K56" s="50">
        <v>13</v>
      </c>
      <c r="L56" s="49">
        <v>26</v>
      </c>
      <c r="M56" s="49">
        <v>5</v>
      </c>
      <c r="N56" s="49">
        <v>18</v>
      </c>
      <c r="O56" s="49">
        <v>-7.8797971300000018</v>
      </c>
      <c r="P56" s="49">
        <v>9.1900872900000081</v>
      </c>
      <c r="Q56" s="49">
        <v>11.586275540000001</v>
      </c>
      <c r="R56" s="49">
        <v>1.2165108300000003</v>
      </c>
      <c r="S56" s="49">
        <v>11.226126339999997</v>
      </c>
      <c r="T56" s="49">
        <v>3.1274636899999995</v>
      </c>
      <c r="U56" s="49">
        <v>1.15039234</v>
      </c>
      <c r="V56" s="49">
        <v>0.46363064999999998</v>
      </c>
      <c r="W56" s="49">
        <v>1.9610294800000001</v>
      </c>
      <c r="X56" s="49">
        <v>0.19904063999999999</v>
      </c>
      <c r="Y56" s="49">
        <v>0.40443847000000011</v>
      </c>
      <c r="Z56" s="49">
        <v>2.70236695</v>
      </c>
      <c r="AA56" s="49">
        <v>2.5142308799999999</v>
      </c>
      <c r="AB56" s="49">
        <v>0.77546482000000005</v>
      </c>
      <c r="AC56" s="49">
        <v>0.12206424999999999</v>
      </c>
      <c r="AD56" s="49">
        <v>0.14529311999999389</v>
      </c>
    </row>
    <row r="57" spans="2:30" x14ac:dyDescent="0.35">
      <c r="B57" s="51" t="s">
        <v>87</v>
      </c>
      <c r="D57" s="52">
        <f>SUM(D55:D56)</f>
        <v>0</v>
      </c>
      <c r="E57" s="52">
        <f t="shared" ref="E57:AD57" si="8">SUM(E55:E56)</f>
        <v>0</v>
      </c>
      <c r="F57" s="52">
        <f t="shared" si="8"/>
        <v>25</v>
      </c>
      <c r="G57" s="52">
        <f t="shared" si="8"/>
        <v>112</v>
      </c>
      <c r="H57" s="52">
        <f t="shared" si="8"/>
        <v>130</v>
      </c>
      <c r="I57" s="52">
        <f t="shared" si="8"/>
        <v>129</v>
      </c>
      <c r="J57" s="52">
        <f t="shared" si="8"/>
        <v>208</v>
      </c>
      <c r="K57" s="52">
        <f t="shared" si="8"/>
        <v>351</v>
      </c>
      <c r="L57" s="52">
        <f t="shared" si="8"/>
        <v>626</v>
      </c>
      <c r="M57" s="52">
        <f t="shared" si="8"/>
        <v>692</v>
      </c>
      <c r="N57" s="52">
        <f t="shared" si="8"/>
        <v>1041</v>
      </c>
      <c r="O57" s="52">
        <f t="shared" si="8"/>
        <v>570.07879389000027</v>
      </c>
      <c r="P57" s="52">
        <f t="shared" si="8"/>
        <v>410.42718769000004</v>
      </c>
      <c r="Q57" s="52">
        <f t="shared" si="8"/>
        <v>190.9516112899999</v>
      </c>
      <c r="R57" s="52">
        <f t="shared" si="8"/>
        <v>186.99186423000026</v>
      </c>
      <c r="S57" s="52">
        <f t="shared" si="8"/>
        <v>272.44823286000008</v>
      </c>
      <c r="T57" s="52">
        <f t="shared" si="8"/>
        <v>181.35099831000002</v>
      </c>
      <c r="U57" s="52">
        <f t="shared" si="8"/>
        <v>44.329821630000005</v>
      </c>
      <c r="V57" s="52">
        <f t="shared" si="8"/>
        <v>32.009085310000003</v>
      </c>
      <c r="W57" s="52">
        <f t="shared" si="8"/>
        <v>79.87394213799999</v>
      </c>
      <c r="X57" s="52">
        <f t="shared" si="8"/>
        <v>6.0095704000000003</v>
      </c>
      <c r="Y57" s="52">
        <f t="shared" si="8"/>
        <v>8.0407129899999994</v>
      </c>
      <c r="Z57" s="52">
        <f t="shared" si="8"/>
        <v>5.836300539999959</v>
      </c>
      <c r="AA57" s="52">
        <f t="shared" si="8"/>
        <v>12.362266470000041</v>
      </c>
      <c r="AB57" s="52">
        <f t="shared" si="8"/>
        <v>5.976783189999999</v>
      </c>
      <c r="AC57" s="52">
        <f t="shared" si="8"/>
        <v>15.539338740000002</v>
      </c>
      <c r="AD57" s="52">
        <f t="shared" si="8"/>
        <v>53.731752249999971</v>
      </c>
    </row>
    <row r="58" spans="2:30" x14ac:dyDescent="0.35">
      <c r="B58" s="45"/>
      <c r="D58" s="46"/>
      <c r="E58" s="46"/>
      <c r="F58" s="46"/>
      <c r="G58" s="46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</row>
    <row r="59" spans="2:30" x14ac:dyDescent="0.35">
      <c r="B59" s="41" t="s">
        <v>93</v>
      </c>
      <c r="D59" s="53"/>
      <c r="E59" s="53"/>
      <c r="F59" s="53"/>
      <c r="G59" s="53"/>
      <c r="H59" s="54"/>
      <c r="I59" s="54"/>
      <c r="J59" s="54"/>
      <c r="K59" s="54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</row>
    <row r="60" spans="2:30" x14ac:dyDescent="0.35">
      <c r="B60" s="45" t="s">
        <v>94</v>
      </c>
      <c r="D60" s="46"/>
      <c r="E60" s="46"/>
      <c r="F60" s="46"/>
      <c r="G60" s="46"/>
      <c r="H60" s="58"/>
      <c r="I60" s="58"/>
      <c r="J60" s="58"/>
      <c r="K60" s="58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>
        <v>0</v>
      </c>
      <c r="Y60" s="46">
        <v>6.4705154387399988</v>
      </c>
      <c r="Z60" s="46">
        <v>3.8429066499999998</v>
      </c>
      <c r="AA60" s="46">
        <v>0</v>
      </c>
      <c r="AB60" s="46">
        <v>2.3504277700000005</v>
      </c>
      <c r="AC60" s="46">
        <v>3.397265</v>
      </c>
      <c r="AD60" s="46">
        <v>2.9</v>
      </c>
    </row>
    <row r="61" spans="2:30" x14ac:dyDescent="0.35">
      <c r="B61" s="45" t="s">
        <v>95</v>
      </c>
      <c r="D61" s="46"/>
      <c r="E61" s="46"/>
      <c r="F61" s="46"/>
      <c r="G61" s="46"/>
      <c r="H61" s="58"/>
      <c r="I61" s="58"/>
      <c r="J61" s="58"/>
      <c r="K61" s="58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>
        <v>0</v>
      </c>
      <c r="Y61" s="46">
        <v>2.3320972800000002</v>
      </c>
      <c r="Z61" s="46">
        <v>0.44659300000000002</v>
      </c>
      <c r="AA61" s="46">
        <v>0</v>
      </c>
      <c r="AB61" s="46">
        <v>9.2149831000000013</v>
      </c>
      <c r="AC61" s="46">
        <v>15.72636528</v>
      </c>
      <c r="AD61" s="46">
        <v>21.01</v>
      </c>
    </row>
    <row r="62" spans="2:30" x14ac:dyDescent="0.35">
      <c r="B62" s="48" t="s">
        <v>93</v>
      </c>
      <c r="D62" s="49"/>
      <c r="E62" s="49"/>
      <c r="F62" s="49"/>
      <c r="G62" s="49"/>
      <c r="H62" s="50"/>
      <c r="I62" s="50"/>
      <c r="J62" s="50"/>
      <c r="K62" s="50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>
        <v>13.92295015</v>
      </c>
      <c r="Y62" s="49">
        <v>0</v>
      </c>
      <c r="Z62" s="49">
        <v>0.32340741000000001</v>
      </c>
      <c r="AA62" s="49">
        <v>8.8274114500000014</v>
      </c>
      <c r="AB62" s="49">
        <v>9.0081220000000004E-2</v>
      </c>
      <c r="AC62" s="49">
        <v>7.6499999999999999E-2</v>
      </c>
      <c r="AD62" s="49">
        <v>8.6999999999999993</v>
      </c>
    </row>
    <row r="63" spans="2:30" x14ac:dyDescent="0.35">
      <c r="B63" s="51" t="s">
        <v>87</v>
      </c>
      <c r="D63" s="52">
        <f>D60</f>
        <v>0</v>
      </c>
      <c r="E63" s="52">
        <f t="shared" ref="E63:K63" si="9">E60</f>
        <v>0</v>
      </c>
      <c r="F63" s="52">
        <f t="shared" si="9"/>
        <v>0</v>
      </c>
      <c r="G63" s="52">
        <f t="shared" si="9"/>
        <v>0</v>
      </c>
      <c r="H63" s="52">
        <f t="shared" si="9"/>
        <v>0</v>
      </c>
      <c r="I63" s="52">
        <f t="shared" si="9"/>
        <v>0</v>
      </c>
      <c r="J63" s="52">
        <f t="shared" si="9"/>
        <v>0</v>
      </c>
      <c r="K63" s="52">
        <f t="shared" si="9"/>
        <v>0</v>
      </c>
      <c r="L63" s="52">
        <f t="shared" ref="L63:AC63" si="10">SUM(L60:L62)</f>
        <v>0</v>
      </c>
      <c r="M63" s="52">
        <f t="shared" si="10"/>
        <v>0</v>
      </c>
      <c r="N63" s="52">
        <f t="shared" si="10"/>
        <v>0</v>
      </c>
      <c r="O63" s="52">
        <f t="shared" si="10"/>
        <v>0</v>
      </c>
      <c r="P63" s="52">
        <f t="shared" si="10"/>
        <v>0</v>
      </c>
      <c r="Q63" s="52">
        <f t="shared" si="10"/>
        <v>0</v>
      </c>
      <c r="R63" s="52">
        <f t="shared" si="10"/>
        <v>0</v>
      </c>
      <c r="S63" s="52">
        <f t="shared" si="10"/>
        <v>0</v>
      </c>
      <c r="T63" s="52">
        <f t="shared" si="10"/>
        <v>0</v>
      </c>
      <c r="U63" s="52">
        <f t="shared" si="10"/>
        <v>0</v>
      </c>
      <c r="V63" s="52">
        <f t="shared" si="10"/>
        <v>0</v>
      </c>
      <c r="W63" s="52">
        <f t="shared" si="10"/>
        <v>0</v>
      </c>
      <c r="X63" s="52">
        <f t="shared" si="10"/>
        <v>13.92295015</v>
      </c>
      <c r="Y63" s="52">
        <f t="shared" si="10"/>
        <v>8.802612718739999</v>
      </c>
      <c r="Z63" s="52">
        <f t="shared" si="10"/>
        <v>4.6129070599999995</v>
      </c>
      <c r="AA63" s="52">
        <f t="shared" si="10"/>
        <v>8.8274114500000014</v>
      </c>
      <c r="AB63" s="52">
        <f t="shared" si="10"/>
        <v>11.655492090000001</v>
      </c>
      <c r="AC63" s="52">
        <f t="shared" si="10"/>
        <v>19.20013028</v>
      </c>
      <c r="AD63" s="52">
        <f>SUM(AD60:AD62)</f>
        <v>32.61</v>
      </c>
    </row>
    <row r="64" spans="2:30" x14ac:dyDescent="0.35">
      <c r="B64" s="45"/>
      <c r="D64" s="46"/>
      <c r="E64" s="46"/>
      <c r="F64" s="46"/>
      <c r="G64" s="46"/>
      <c r="H64" s="47"/>
      <c r="I64" s="47"/>
      <c r="J64" s="47"/>
      <c r="K64" s="47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</row>
    <row r="65" spans="2:30" x14ac:dyDescent="0.35">
      <c r="B65" s="41" t="s">
        <v>96</v>
      </c>
      <c r="D65" s="53"/>
      <c r="E65" s="53"/>
      <c r="F65" s="53"/>
      <c r="G65" s="53"/>
      <c r="H65" s="54"/>
      <c r="I65" s="54"/>
      <c r="J65" s="54"/>
      <c r="K65" s="54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</row>
    <row r="66" spans="2:30" x14ac:dyDescent="0.35">
      <c r="B66" s="45" t="s">
        <v>97</v>
      </c>
      <c r="D66" s="46"/>
      <c r="E66" s="46"/>
      <c r="F66" s="46"/>
      <c r="G66" s="46"/>
      <c r="H66" s="58"/>
      <c r="I66" s="58"/>
      <c r="J66" s="58"/>
      <c r="K66" s="58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>
        <v>1.39782121</v>
      </c>
      <c r="Y66" s="46">
        <v>6.7925673699999995</v>
      </c>
      <c r="Z66" s="46">
        <v>12.030800779999998</v>
      </c>
      <c r="AA66" s="46">
        <v>12.552561290000003</v>
      </c>
      <c r="AB66" s="46">
        <v>173.21340207999992</v>
      </c>
      <c r="AC66" s="46">
        <v>624.72038019000047</v>
      </c>
      <c r="AD66" s="46">
        <v>1074.0891355999993</v>
      </c>
    </row>
    <row r="67" spans="2:30" x14ac:dyDescent="0.35">
      <c r="B67" s="45" t="s">
        <v>98</v>
      </c>
      <c r="D67" s="46"/>
      <c r="E67" s="46"/>
      <c r="F67" s="46"/>
      <c r="G67" s="46"/>
      <c r="H67" s="58"/>
      <c r="I67" s="58"/>
      <c r="J67" s="58"/>
      <c r="K67" s="58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>
        <v>17.695191389999984</v>
      </c>
      <c r="Y67" s="46">
        <v>18.705192600000018</v>
      </c>
      <c r="Z67" s="46">
        <v>18.705192600000004</v>
      </c>
      <c r="AA67" s="46">
        <v>5.3485488000000005</v>
      </c>
      <c r="AB67" s="46">
        <v>7.1832351200000009</v>
      </c>
      <c r="AC67" s="46">
        <v>11.289639589999998</v>
      </c>
      <c r="AD67" s="46">
        <v>22.928847080000001</v>
      </c>
    </row>
    <row r="68" spans="2:30" x14ac:dyDescent="0.35">
      <c r="B68" s="48" t="s">
        <v>99</v>
      </c>
      <c r="D68" s="49"/>
      <c r="E68" s="49"/>
      <c r="F68" s="49"/>
      <c r="G68" s="49"/>
      <c r="H68" s="50"/>
      <c r="I68" s="50"/>
      <c r="J68" s="50"/>
      <c r="K68" s="50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>
        <v>6.7802210000000057E-2</v>
      </c>
      <c r="Y68" s="49">
        <v>0.63154052999999988</v>
      </c>
      <c r="Z68" s="49">
        <v>0.63154052999999999</v>
      </c>
      <c r="AA68" s="49">
        <v>8.0907032399999999</v>
      </c>
      <c r="AB68" s="49">
        <v>1.2568484900000001</v>
      </c>
      <c r="AC68" s="49">
        <v>5.5386565000000001</v>
      </c>
      <c r="AD68" s="49">
        <v>-2.0616887300000002</v>
      </c>
    </row>
    <row r="69" spans="2:30" x14ac:dyDescent="0.35">
      <c r="B69" s="51" t="s">
        <v>87</v>
      </c>
      <c r="D69" s="52">
        <f>D66</f>
        <v>0</v>
      </c>
      <c r="E69" s="52">
        <f t="shared" ref="E69:K69" si="11">E66</f>
        <v>0</v>
      </c>
      <c r="F69" s="52">
        <f t="shared" si="11"/>
        <v>0</v>
      </c>
      <c r="G69" s="52">
        <f t="shared" si="11"/>
        <v>0</v>
      </c>
      <c r="H69" s="52">
        <f t="shared" si="11"/>
        <v>0</v>
      </c>
      <c r="I69" s="52">
        <f t="shared" si="11"/>
        <v>0</v>
      </c>
      <c r="J69" s="52">
        <f t="shared" si="11"/>
        <v>0</v>
      </c>
      <c r="K69" s="52">
        <f t="shared" si="11"/>
        <v>0</v>
      </c>
      <c r="L69" s="52">
        <f t="shared" ref="L69:AC69" si="12">SUM(L66:L68)</f>
        <v>0</v>
      </c>
      <c r="M69" s="52">
        <f t="shared" si="12"/>
        <v>0</v>
      </c>
      <c r="N69" s="52">
        <f t="shared" si="12"/>
        <v>0</v>
      </c>
      <c r="O69" s="52">
        <f t="shared" si="12"/>
        <v>0</v>
      </c>
      <c r="P69" s="52">
        <f t="shared" si="12"/>
        <v>0</v>
      </c>
      <c r="Q69" s="52">
        <f t="shared" si="12"/>
        <v>0</v>
      </c>
      <c r="R69" s="52">
        <f t="shared" si="12"/>
        <v>0</v>
      </c>
      <c r="S69" s="52">
        <f t="shared" si="12"/>
        <v>0</v>
      </c>
      <c r="T69" s="52">
        <f t="shared" si="12"/>
        <v>0</v>
      </c>
      <c r="U69" s="52">
        <f t="shared" si="12"/>
        <v>0</v>
      </c>
      <c r="V69" s="52">
        <f t="shared" si="12"/>
        <v>0</v>
      </c>
      <c r="W69" s="52">
        <f t="shared" si="12"/>
        <v>0</v>
      </c>
      <c r="X69" s="52">
        <f t="shared" si="12"/>
        <v>19.160814809999984</v>
      </c>
      <c r="Y69" s="52">
        <f t="shared" si="12"/>
        <v>26.129300500000017</v>
      </c>
      <c r="Z69" s="52">
        <f t="shared" si="12"/>
        <v>31.367533910000002</v>
      </c>
      <c r="AA69" s="52">
        <f t="shared" si="12"/>
        <v>25.991813330000003</v>
      </c>
      <c r="AB69" s="52">
        <f t="shared" si="12"/>
        <v>181.65348568999994</v>
      </c>
      <c r="AC69" s="52">
        <f t="shared" si="12"/>
        <v>641.54867628000045</v>
      </c>
      <c r="AD69" s="52">
        <f>SUM(AD66:AD68)</f>
        <v>1094.9562939499992</v>
      </c>
    </row>
    <row r="70" spans="2:30" x14ac:dyDescent="0.35">
      <c r="B70" s="45"/>
      <c r="D70" s="46"/>
      <c r="E70" s="46"/>
      <c r="F70" s="46"/>
      <c r="G70" s="46"/>
      <c r="H70" s="47"/>
      <c r="I70" s="47"/>
      <c r="J70" s="47"/>
      <c r="K70" s="47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</row>
    <row r="71" spans="2:30" x14ac:dyDescent="0.35">
      <c r="B71" s="41" t="s">
        <v>100</v>
      </c>
      <c r="D71" s="53"/>
      <c r="E71" s="53"/>
      <c r="F71" s="53"/>
      <c r="G71" s="53"/>
      <c r="H71" s="54"/>
      <c r="I71" s="54"/>
      <c r="J71" s="54"/>
      <c r="K71" s="54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</row>
    <row r="72" spans="2:30" x14ac:dyDescent="0.35">
      <c r="B72" s="45" t="s">
        <v>101</v>
      </c>
      <c r="D72" s="46"/>
      <c r="E72" s="46"/>
      <c r="F72" s="46"/>
      <c r="G72" s="46"/>
      <c r="H72" s="58"/>
      <c r="I72" s="58"/>
      <c r="J72" s="58"/>
      <c r="K72" s="58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>
        <v>2.2766121000000004</v>
      </c>
      <c r="AA72" s="46">
        <v>5.3485487999999979</v>
      </c>
      <c r="AB72" s="46">
        <v>3.96374709</v>
      </c>
      <c r="AC72" s="46">
        <v>13.011926939999997</v>
      </c>
      <c r="AD72" s="46">
        <v>10.31309362</v>
      </c>
    </row>
    <row r="73" spans="2:30" x14ac:dyDescent="0.35">
      <c r="B73" s="45"/>
      <c r="D73" s="46"/>
      <c r="E73" s="46"/>
      <c r="F73" s="46"/>
      <c r="G73" s="46"/>
      <c r="H73" s="58"/>
      <c r="I73" s="58"/>
      <c r="J73" s="58"/>
      <c r="K73" s="58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>
        <v>6.3496337300000008</v>
      </c>
      <c r="AA73" s="46">
        <v>21.004908010000005</v>
      </c>
      <c r="AB73" s="46">
        <v>4.7314949199999958</v>
      </c>
      <c r="AC73" s="46">
        <v>-0.12848553666665569</v>
      </c>
      <c r="AD73" s="46">
        <v>2.6332080800000002</v>
      </c>
    </row>
    <row r="74" spans="2:30" x14ac:dyDescent="0.35">
      <c r="B74" s="48"/>
      <c r="D74" s="49"/>
      <c r="E74" s="49"/>
      <c r="F74" s="49"/>
      <c r="G74" s="49"/>
      <c r="H74" s="50"/>
      <c r="I74" s="50"/>
      <c r="J74" s="50"/>
      <c r="K74" s="50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>
        <v>13.923736069999997</v>
      </c>
      <c r="AA74" s="49">
        <v>12.552561290000003</v>
      </c>
      <c r="AB74" s="49">
        <v>6.5238137600000039</v>
      </c>
      <c r="AC74" s="49">
        <v>11.688166303333341</v>
      </c>
      <c r="AD74" s="49">
        <v>5.1367106400000102</v>
      </c>
    </row>
    <row r="75" spans="2:30" x14ac:dyDescent="0.35">
      <c r="B75" s="51" t="s">
        <v>87</v>
      </c>
      <c r="D75" s="52">
        <f>D72</f>
        <v>0</v>
      </c>
      <c r="E75" s="52">
        <f t="shared" ref="E75:K75" si="13">E72</f>
        <v>0</v>
      </c>
      <c r="F75" s="52">
        <f t="shared" si="13"/>
        <v>0</v>
      </c>
      <c r="G75" s="52">
        <f t="shared" si="13"/>
        <v>0</v>
      </c>
      <c r="H75" s="52">
        <f t="shared" si="13"/>
        <v>0</v>
      </c>
      <c r="I75" s="52">
        <f t="shared" si="13"/>
        <v>0</v>
      </c>
      <c r="J75" s="52">
        <f t="shared" si="13"/>
        <v>0</v>
      </c>
      <c r="K75" s="52">
        <f t="shared" si="13"/>
        <v>0</v>
      </c>
      <c r="L75" s="52">
        <f t="shared" ref="L75:AC75" si="14">SUM(L72:L74)</f>
        <v>0</v>
      </c>
      <c r="M75" s="52">
        <f t="shared" si="14"/>
        <v>0</v>
      </c>
      <c r="N75" s="52">
        <f t="shared" si="14"/>
        <v>0</v>
      </c>
      <c r="O75" s="52">
        <f t="shared" si="14"/>
        <v>0</v>
      </c>
      <c r="P75" s="52">
        <f t="shared" si="14"/>
        <v>0</v>
      </c>
      <c r="Q75" s="52">
        <f t="shared" si="14"/>
        <v>0</v>
      </c>
      <c r="R75" s="52">
        <f t="shared" si="14"/>
        <v>0</v>
      </c>
      <c r="S75" s="52">
        <f t="shared" si="14"/>
        <v>0</v>
      </c>
      <c r="T75" s="52">
        <f t="shared" si="14"/>
        <v>0</v>
      </c>
      <c r="U75" s="52">
        <f t="shared" si="14"/>
        <v>0</v>
      </c>
      <c r="V75" s="52">
        <f t="shared" si="14"/>
        <v>0</v>
      </c>
      <c r="W75" s="52">
        <f t="shared" si="14"/>
        <v>0</v>
      </c>
      <c r="X75" s="52">
        <f t="shared" si="14"/>
        <v>0</v>
      </c>
      <c r="Y75" s="52">
        <f t="shared" si="14"/>
        <v>0</v>
      </c>
      <c r="Z75" s="52">
        <f t="shared" si="14"/>
        <v>22.549981899999999</v>
      </c>
      <c r="AA75" s="52">
        <f t="shared" si="14"/>
        <v>38.906018100000011</v>
      </c>
      <c r="AB75" s="52">
        <f t="shared" si="14"/>
        <v>15.219055770000001</v>
      </c>
      <c r="AC75" s="52">
        <f t="shared" si="14"/>
        <v>24.571607706666683</v>
      </c>
      <c r="AD75" s="52">
        <f>SUM(AD72:AD74)</f>
        <v>18.08301234000001</v>
      </c>
    </row>
    <row r="76" spans="2:30" x14ac:dyDescent="0.35">
      <c r="B76" s="45"/>
      <c r="D76" s="46"/>
      <c r="E76" s="46"/>
      <c r="F76" s="46"/>
      <c r="G76" s="46"/>
      <c r="H76" s="47"/>
      <c r="I76" s="47"/>
      <c r="J76" s="47"/>
      <c r="K76" s="47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</row>
    <row r="77" spans="2:30" x14ac:dyDescent="0.35">
      <c r="B77" s="45"/>
      <c r="D77" s="46"/>
      <c r="E77" s="46"/>
      <c r="F77" s="46"/>
      <c r="G77" s="46"/>
      <c r="H77" s="47"/>
      <c r="I77" s="47"/>
      <c r="J77" s="47"/>
      <c r="K77" s="47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</row>
    <row r="78" spans="2:30" x14ac:dyDescent="0.35">
      <c r="B78" s="167"/>
      <c r="D78" s="167">
        <f t="shared" ref="D78:Y78" si="15">+SUM(D12,D18,D24,D30,D36,D42,D52,D57,D63,D69)+D75</f>
        <v>341</v>
      </c>
      <c r="E78" s="167">
        <f t="shared" si="15"/>
        <v>298</v>
      </c>
      <c r="F78" s="167">
        <f t="shared" si="15"/>
        <v>314</v>
      </c>
      <c r="G78" s="167">
        <f t="shared" si="15"/>
        <v>494</v>
      </c>
      <c r="H78" s="167">
        <f t="shared" si="15"/>
        <v>372</v>
      </c>
      <c r="I78" s="167">
        <f t="shared" si="15"/>
        <v>437</v>
      </c>
      <c r="J78" s="167">
        <f t="shared" si="15"/>
        <v>505</v>
      </c>
      <c r="K78" s="167">
        <f t="shared" si="15"/>
        <v>708</v>
      </c>
      <c r="L78" s="167">
        <f t="shared" si="15"/>
        <v>936</v>
      </c>
      <c r="M78" s="167">
        <f t="shared" si="15"/>
        <v>1277</v>
      </c>
      <c r="N78" s="167">
        <f t="shared" si="15"/>
        <v>1469</v>
      </c>
      <c r="O78" s="167">
        <f t="shared" si="15"/>
        <v>1115.1088761300002</v>
      </c>
      <c r="P78" s="167">
        <f t="shared" si="15"/>
        <v>814.14679987798468</v>
      </c>
      <c r="Q78" s="167">
        <f t="shared" si="15"/>
        <v>600.8741004699998</v>
      </c>
      <c r="R78" s="167">
        <f t="shared" si="15"/>
        <v>575.51142248944939</v>
      </c>
      <c r="S78" s="167">
        <f t="shared" si="15"/>
        <v>917.13084250254997</v>
      </c>
      <c r="T78" s="167">
        <f t="shared" si="15"/>
        <v>631.00027003999992</v>
      </c>
      <c r="U78" s="167">
        <f t="shared" si="15"/>
        <v>473.04496957994934</v>
      </c>
      <c r="V78" s="167">
        <f t="shared" si="15"/>
        <v>815.23536465005043</v>
      </c>
      <c r="W78" s="167">
        <f t="shared" si="15"/>
        <v>964.30068805798589</v>
      </c>
      <c r="X78" s="167">
        <f t="shared" si="15"/>
        <v>720.0788350278799</v>
      </c>
      <c r="Y78" s="167">
        <f t="shared" si="15"/>
        <v>1192.5561548487453</v>
      </c>
      <c r="Z78" s="167">
        <f>+SUM(Z12,Z18,Z24,Z30,Z36,Z42,Z52,Z57,Z63,Z69)+Z75</f>
        <v>1701.4788569699692</v>
      </c>
      <c r="AA78" s="167">
        <f>+SUM(AA12,AA18,AA24,AA30,AA36,AA42,AA52,AA57,AA63,AA69)+AA75</f>
        <v>1709.8250570420439</v>
      </c>
      <c r="AB78" s="167">
        <f>+SUM(AB12,AB18,AB24,AB30,AB36,AB42,AB52,AB57,AB63,AB69,AB48)+AB75</f>
        <v>2542.5853132300172</v>
      </c>
      <c r="AC78" s="167">
        <f>+SUM(AC12,AC18,AC24,AC30,AC36,AC42,AC52,AC57,AC63,AC69,AC48)+AC75</f>
        <v>2689.5754396766411</v>
      </c>
      <c r="AD78" s="167">
        <f>+SUM(AD12,AD18,AD24,AD30,AD36,AD42,AD52,AD57,AD63,AD69,AD48)+AD75</f>
        <v>3023.0471857040375</v>
      </c>
    </row>
    <row r="79" spans="2:30" x14ac:dyDescent="0.35">
      <c r="D79" s="59"/>
      <c r="E79" s="59"/>
      <c r="F79" s="59"/>
      <c r="G79" s="59"/>
      <c r="H79" s="60"/>
      <c r="I79" s="60"/>
      <c r="J79" s="60"/>
      <c r="K79" s="60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2:30" x14ac:dyDescent="0.35">
      <c r="D80" s="59"/>
      <c r="E80" s="59"/>
      <c r="F80" s="59"/>
      <c r="G80" s="59"/>
      <c r="H80" s="60"/>
      <c r="I80" s="60"/>
      <c r="J80" s="60"/>
      <c r="K80" s="60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</row>
    <row r="81" spans="4:30" x14ac:dyDescent="0.35">
      <c r="D81" s="59"/>
      <c r="E81" s="59"/>
      <c r="F81" s="59"/>
      <c r="G81" s="59"/>
      <c r="H81" s="60"/>
      <c r="I81" s="60"/>
      <c r="J81" s="60"/>
      <c r="K81" s="60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</row>
    <row r="82" spans="4:30" x14ac:dyDescent="0.35">
      <c r="D82" s="59"/>
      <c r="E82" s="59"/>
      <c r="F82" s="59"/>
      <c r="G82" s="59"/>
      <c r="H82" s="60"/>
      <c r="I82" s="60"/>
      <c r="J82" s="60"/>
      <c r="K82" s="60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</row>
    <row r="83" spans="4:30" x14ac:dyDescent="0.35">
      <c r="D83" s="59"/>
      <c r="E83" s="59"/>
      <c r="F83" s="59"/>
      <c r="G83" s="59"/>
      <c r="H83" s="60"/>
      <c r="I83" s="60"/>
      <c r="J83" s="60"/>
      <c r="K83" s="60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</row>
    <row r="84" spans="4:30" x14ac:dyDescent="0.35">
      <c r="D84" s="59"/>
      <c r="E84" s="59"/>
      <c r="F84" s="59"/>
      <c r="G84" s="59"/>
      <c r="H84" s="60"/>
      <c r="I84" s="60"/>
      <c r="J84" s="60"/>
      <c r="K84" s="60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</row>
    <row r="85" spans="4:30" x14ac:dyDescent="0.35">
      <c r="D85" s="59"/>
      <c r="E85" s="59"/>
      <c r="F85" s="59"/>
      <c r="G85" s="59"/>
      <c r="H85" s="60"/>
      <c r="I85" s="60"/>
      <c r="J85" s="60"/>
      <c r="K85" s="60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</row>
    <row r="86" spans="4:30" x14ac:dyDescent="0.35">
      <c r="D86" s="59"/>
      <c r="E86" s="59"/>
      <c r="F86" s="59"/>
      <c r="G86" s="59"/>
      <c r="H86" s="60"/>
      <c r="I86" s="60"/>
      <c r="J86" s="60"/>
      <c r="K86" s="60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</row>
    <row r="87" spans="4:30" x14ac:dyDescent="0.35"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</row>
    <row r="88" spans="4:30" x14ac:dyDescent="0.35"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</row>
    <row r="89" spans="4:30" x14ac:dyDescent="0.35"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</row>
    <row r="90" spans="4:30" x14ac:dyDescent="0.35"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</row>
    <row r="91" spans="4:30" x14ac:dyDescent="0.35"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</row>
    <row r="92" spans="4:30" x14ac:dyDescent="0.35"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</row>
    <row r="93" spans="4:30" x14ac:dyDescent="0.35"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</row>
    <row r="94" spans="4:30" x14ac:dyDescent="0.35"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</row>
    <row r="95" spans="4:30" x14ac:dyDescent="0.35"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</row>
    <row r="96" spans="4:30" x14ac:dyDescent="0.35"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</row>
    <row r="97" spans="4:30" x14ac:dyDescent="0.35"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</row>
    <row r="98" spans="4:30" x14ac:dyDescent="0.35"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spans="4:30" x14ac:dyDescent="0.35"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</row>
    <row r="100" spans="4:30" x14ac:dyDescent="0.35">
      <c r="D100" s="37"/>
      <c r="E100" s="37"/>
      <c r="F100" s="37"/>
      <c r="G100" s="37"/>
      <c r="H100" s="37"/>
      <c r="I100" s="37"/>
      <c r="J100" s="37"/>
      <c r="K100" s="37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1" spans="4:30" x14ac:dyDescent="0.35">
      <c r="D101" s="37"/>
      <c r="E101" s="37"/>
      <c r="F101" s="37"/>
      <c r="G101" s="37"/>
      <c r="H101" s="37"/>
      <c r="I101" s="37"/>
      <c r="J101" s="37"/>
      <c r="K101" s="37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</row>
    <row r="102" spans="4:30" x14ac:dyDescent="0.35">
      <c r="D102" s="37"/>
      <c r="E102" s="37"/>
      <c r="F102" s="37"/>
      <c r="G102" s="37"/>
      <c r="H102" s="37"/>
      <c r="I102" s="37"/>
      <c r="J102" s="37"/>
      <c r="K102" s="37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</row>
    <row r="103" spans="4:30" x14ac:dyDescent="0.35">
      <c r="D103" s="37"/>
      <c r="E103" s="37"/>
      <c r="F103" s="37"/>
      <c r="G103" s="37"/>
      <c r="H103" s="37"/>
      <c r="I103" s="37"/>
      <c r="J103" s="37"/>
      <c r="K103" s="37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</row>
    <row r="104" spans="4:30" x14ac:dyDescent="0.35">
      <c r="D104" s="37"/>
      <c r="E104" s="37"/>
      <c r="F104" s="37"/>
      <c r="G104" s="37"/>
      <c r="H104" s="37"/>
      <c r="I104" s="37"/>
      <c r="J104" s="37"/>
      <c r="K104" s="37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</row>
    <row r="105" spans="4:30" x14ac:dyDescent="0.35">
      <c r="D105" s="37"/>
      <c r="E105" s="37"/>
      <c r="F105" s="37"/>
      <c r="G105" s="37"/>
      <c r="H105" s="37"/>
      <c r="I105" s="37"/>
      <c r="J105" s="37"/>
      <c r="K105" s="37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spans="4:30" x14ac:dyDescent="0.35">
      <c r="D106" s="37"/>
      <c r="E106" s="37"/>
      <c r="F106" s="37"/>
      <c r="G106" s="37"/>
      <c r="H106" s="37"/>
      <c r="I106" s="37"/>
      <c r="J106" s="37"/>
      <c r="K106" s="37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spans="4:30" x14ac:dyDescent="0.35">
      <c r="D107" s="37"/>
      <c r="E107" s="37"/>
      <c r="F107" s="37"/>
      <c r="G107" s="37"/>
      <c r="H107" s="37"/>
      <c r="I107" s="37"/>
      <c r="J107" s="37"/>
      <c r="K107" s="37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spans="4:30" x14ac:dyDescent="0.35">
      <c r="D108" s="37"/>
      <c r="E108" s="37"/>
      <c r="F108" s="37"/>
      <c r="G108" s="37"/>
      <c r="H108" s="37"/>
      <c r="I108" s="37"/>
      <c r="J108" s="37"/>
      <c r="K108" s="37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spans="4:30" x14ac:dyDescent="0.35">
      <c r="D109" s="37"/>
      <c r="E109" s="37"/>
      <c r="F109" s="37"/>
      <c r="G109" s="37"/>
      <c r="H109" s="37"/>
      <c r="I109" s="37"/>
      <c r="J109" s="37"/>
      <c r="K109" s="37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spans="4:30" x14ac:dyDescent="0.35">
      <c r="D110" s="37"/>
      <c r="E110" s="37"/>
      <c r="F110" s="37"/>
      <c r="G110" s="37"/>
      <c r="H110" s="37"/>
      <c r="I110" s="37"/>
      <c r="J110" s="37"/>
      <c r="K110" s="37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spans="4:30" x14ac:dyDescent="0.35">
      <c r="D111" s="37"/>
      <c r="E111" s="37"/>
      <c r="F111" s="37"/>
      <c r="G111" s="37"/>
      <c r="H111" s="37"/>
      <c r="I111" s="37"/>
      <c r="J111" s="37"/>
      <c r="K111" s="37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spans="4:30" x14ac:dyDescent="0.35">
      <c r="D112" s="37"/>
      <c r="E112" s="37"/>
      <c r="F112" s="37"/>
      <c r="G112" s="37"/>
      <c r="H112" s="37"/>
      <c r="I112" s="37"/>
      <c r="J112" s="37"/>
      <c r="K112" s="37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spans="4:30" x14ac:dyDescent="0.35">
      <c r="D113" s="37"/>
      <c r="E113" s="37"/>
      <c r="F113" s="37"/>
      <c r="G113" s="37"/>
      <c r="H113" s="37"/>
      <c r="I113" s="37"/>
      <c r="J113" s="37"/>
      <c r="K113" s="37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</row>
    <row r="114" spans="4:30" x14ac:dyDescent="0.35">
      <c r="D114" s="37"/>
      <c r="E114" s="37"/>
      <c r="F114" s="37"/>
      <c r="G114" s="37"/>
      <c r="H114" s="37"/>
      <c r="I114" s="37"/>
      <c r="J114" s="37"/>
      <c r="K114" s="37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spans="4:30" x14ac:dyDescent="0.35">
      <c r="D115" s="37"/>
      <c r="E115" s="37"/>
      <c r="F115" s="37"/>
      <c r="G115" s="37"/>
      <c r="H115" s="37"/>
      <c r="I115" s="37"/>
      <c r="J115" s="37"/>
      <c r="K115" s="37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spans="4:30" x14ac:dyDescent="0.35">
      <c r="D116" s="37"/>
      <c r="E116" s="37"/>
      <c r="F116" s="37"/>
      <c r="G116" s="37"/>
      <c r="H116" s="37"/>
      <c r="I116" s="37"/>
      <c r="J116" s="37"/>
      <c r="K116" s="37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spans="4:30" x14ac:dyDescent="0.35">
      <c r="D117" s="37"/>
      <c r="E117" s="37"/>
      <c r="F117" s="37"/>
      <c r="G117" s="37"/>
      <c r="H117" s="37"/>
      <c r="I117" s="37"/>
      <c r="J117" s="37"/>
      <c r="K117" s="37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  <row r="118" spans="4:30" x14ac:dyDescent="0.35">
      <c r="D118" s="37"/>
      <c r="E118" s="37"/>
      <c r="F118" s="37"/>
      <c r="G118" s="37"/>
      <c r="H118" s="37"/>
      <c r="I118" s="37"/>
      <c r="J118" s="37"/>
      <c r="K118" s="37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DA16-5F6A-430F-805C-50DB2B3AAA41}">
  <sheetPr>
    <tabColor theme="9" tint="0.79998168889431442"/>
  </sheetPr>
  <dimension ref="B3:I67"/>
  <sheetViews>
    <sheetView showGridLines="0" zoomScale="85" zoomScaleNormal="85" workbookViewId="0">
      <selection activeCell="B4" sqref="B4"/>
    </sheetView>
  </sheetViews>
  <sheetFormatPr defaultRowHeight="14.5" x14ac:dyDescent="0.35"/>
  <cols>
    <col min="2" max="2" width="39.08984375" customWidth="1"/>
    <col min="3" max="9" width="14.08984375" customWidth="1"/>
  </cols>
  <sheetData>
    <row r="3" spans="2:9" x14ac:dyDescent="0.35">
      <c r="C3" s="327"/>
      <c r="D3" s="327"/>
      <c r="E3" s="327"/>
      <c r="F3" s="327"/>
      <c r="G3" s="327"/>
      <c r="H3" s="327"/>
      <c r="I3" s="327"/>
    </row>
    <row r="4" spans="2:9" x14ac:dyDescent="0.35">
      <c r="C4" s="327"/>
      <c r="D4" s="327"/>
      <c r="E4" s="327"/>
      <c r="F4" s="327"/>
      <c r="G4" s="327"/>
      <c r="H4" s="327"/>
      <c r="I4" s="327"/>
    </row>
    <row r="5" spans="2:9" x14ac:dyDescent="0.35">
      <c r="B5" s="129" t="s">
        <v>484</v>
      </c>
      <c r="C5" s="327"/>
      <c r="D5" s="327"/>
      <c r="E5" s="327"/>
      <c r="F5" s="327"/>
      <c r="G5" s="327"/>
      <c r="H5" s="327"/>
      <c r="I5" s="327"/>
    </row>
    <row r="6" spans="2:9" x14ac:dyDescent="0.35">
      <c r="B6" s="625" t="s">
        <v>485</v>
      </c>
      <c r="C6" s="628" t="s">
        <v>1</v>
      </c>
      <c r="D6" s="628" t="s">
        <v>2</v>
      </c>
      <c r="E6" s="628" t="s">
        <v>3</v>
      </c>
      <c r="F6" s="628" t="s">
        <v>4</v>
      </c>
      <c r="G6" s="628" t="s">
        <v>5</v>
      </c>
      <c r="H6" s="628" t="s">
        <v>6</v>
      </c>
      <c r="I6" s="628" t="s">
        <v>7</v>
      </c>
    </row>
    <row r="7" spans="2:9" x14ac:dyDescent="0.35">
      <c r="B7" s="328" t="s">
        <v>486</v>
      </c>
      <c r="C7" s="329">
        <f>C39</f>
        <v>238892.40445</v>
      </c>
      <c r="D7" s="329">
        <f t="shared" ref="D7:I7" si="0">D39</f>
        <v>899843</v>
      </c>
      <c r="E7" s="329">
        <f t="shared" si="0"/>
        <v>182271.17006999999</v>
      </c>
      <c r="F7" s="329">
        <f t="shared" si="0"/>
        <v>339952.93710000004</v>
      </c>
      <c r="G7" s="329">
        <f t="shared" si="0"/>
        <v>423526.41047000006</v>
      </c>
      <c r="H7" s="329">
        <f t="shared" si="0"/>
        <v>107246</v>
      </c>
      <c r="I7" s="329">
        <f t="shared" si="0"/>
        <v>440724</v>
      </c>
    </row>
    <row r="8" spans="2:9" x14ac:dyDescent="0.35">
      <c r="B8" s="328" t="s">
        <v>487</v>
      </c>
      <c r="C8" s="327">
        <f>C67</f>
        <v>-540974.11122999992</v>
      </c>
      <c r="D8" s="327">
        <f t="shared" ref="D8:I8" si="1">D67</f>
        <v>-725922</v>
      </c>
      <c r="E8" s="327">
        <f t="shared" si="1"/>
        <v>-218053.54073000001</v>
      </c>
      <c r="F8" s="327">
        <f t="shared" si="1"/>
        <v>-205877.93086999998</v>
      </c>
      <c r="G8" s="327">
        <f t="shared" si="1"/>
        <v>-821146.60040999996</v>
      </c>
      <c r="H8" s="327">
        <f t="shared" si="1"/>
        <v>-103500</v>
      </c>
      <c r="I8" s="327">
        <f t="shared" si="1"/>
        <v>-897789</v>
      </c>
    </row>
    <row r="9" spans="2:9" s="129" customFormat="1" x14ac:dyDescent="0.35">
      <c r="B9" s="330" t="s">
        <v>488</v>
      </c>
      <c r="C9" s="331">
        <f>SUM(C7:C8)</f>
        <v>-302081.70677999989</v>
      </c>
      <c r="D9" s="331">
        <f t="shared" ref="D9:I9" si="2">SUM(D7:D8)</f>
        <v>173921</v>
      </c>
      <c r="E9" s="331">
        <f t="shared" si="2"/>
        <v>-35782.370660000015</v>
      </c>
      <c r="F9" s="331">
        <f t="shared" si="2"/>
        <v>134075.00623000006</v>
      </c>
      <c r="G9" s="331">
        <f t="shared" si="2"/>
        <v>-397620.18993999989</v>
      </c>
      <c r="H9" s="331">
        <f t="shared" si="2"/>
        <v>3746</v>
      </c>
      <c r="I9" s="331">
        <f t="shared" si="2"/>
        <v>-457065</v>
      </c>
    </row>
    <row r="10" spans="2:9" x14ac:dyDescent="0.35">
      <c r="B10" s="328" t="s">
        <v>489</v>
      </c>
      <c r="C10" s="327">
        <v>-69683.007570000002</v>
      </c>
      <c r="D10" s="327">
        <v>-109120</v>
      </c>
      <c r="E10" s="327">
        <v>-11753.735940000002</v>
      </c>
      <c r="F10" s="327">
        <v>-12551.389710000001</v>
      </c>
      <c r="G10" s="327">
        <v>-40560.511910000001</v>
      </c>
      <c r="H10" s="327">
        <v>-2958</v>
      </c>
      <c r="I10" s="327">
        <v>-50430</v>
      </c>
    </row>
    <row r="11" spans="2:9" s="129" customFormat="1" x14ac:dyDescent="0.35">
      <c r="B11" s="330" t="s">
        <v>490</v>
      </c>
      <c r="C11" s="331">
        <f t="shared" ref="C11:I11" si="3">C9+C10</f>
        <v>-371764.71434999991</v>
      </c>
      <c r="D11" s="331">
        <f t="shared" si="3"/>
        <v>64801</v>
      </c>
      <c r="E11" s="331">
        <f t="shared" si="3"/>
        <v>-47536.106600000014</v>
      </c>
      <c r="F11" s="331">
        <f t="shared" si="3"/>
        <v>121523.61652000005</v>
      </c>
      <c r="G11" s="331">
        <f t="shared" si="3"/>
        <v>-438180.7018499999</v>
      </c>
      <c r="H11" s="331">
        <f t="shared" si="3"/>
        <v>788</v>
      </c>
      <c r="I11" s="331">
        <f t="shared" si="3"/>
        <v>-507495</v>
      </c>
    </row>
    <row r="13" spans="2:9" x14ac:dyDescent="0.35">
      <c r="B13" s="625" t="s">
        <v>491</v>
      </c>
      <c r="C13" s="628" t="s">
        <v>1</v>
      </c>
      <c r="D13" s="628" t="s">
        <v>2</v>
      </c>
      <c r="E13" s="628" t="s">
        <v>3</v>
      </c>
      <c r="F13" s="628" t="s">
        <v>4</v>
      </c>
      <c r="G13" s="628" t="s">
        <v>5</v>
      </c>
      <c r="H13" s="628" t="s">
        <v>6</v>
      </c>
      <c r="I13" s="628" t="s">
        <v>7</v>
      </c>
    </row>
    <row r="14" spans="2:9" s="129" customFormat="1" x14ac:dyDescent="0.35">
      <c r="B14" s="330" t="s">
        <v>492</v>
      </c>
      <c r="C14" s="331">
        <f>SUM(C15:C23)</f>
        <v>17222.34935</v>
      </c>
      <c r="D14" s="331">
        <f t="shared" ref="D14:I14" si="4">SUM(D15:D23)</f>
        <v>301244</v>
      </c>
      <c r="E14" s="331">
        <f t="shared" si="4"/>
        <v>55014.328940000007</v>
      </c>
      <c r="F14" s="331">
        <f t="shared" si="4"/>
        <v>131332.37017000001</v>
      </c>
      <c r="G14" s="331">
        <f t="shared" si="4"/>
        <v>347849.39137999999</v>
      </c>
      <c r="H14" s="331">
        <f t="shared" si="4"/>
        <v>35127</v>
      </c>
      <c r="I14" s="331">
        <f t="shared" si="4"/>
        <v>139715</v>
      </c>
    </row>
    <row r="15" spans="2:9" x14ac:dyDescent="0.35">
      <c r="B15" s="332" t="s">
        <v>493</v>
      </c>
      <c r="C15" s="333">
        <v>3932.5740999999998</v>
      </c>
      <c r="D15" s="333">
        <v>2532</v>
      </c>
      <c r="E15" s="333">
        <v>4580.8506500000003</v>
      </c>
      <c r="F15" s="333">
        <v>1681.7172800000001</v>
      </c>
      <c r="G15" s="333">
        <v>0</v>
      </c>
      <c r="H15" s="333">
        <v>2235</v>
      </c>
      <c r="I15" s="333">
        <v>0</v>
      </c>
    </row>
    <row r="16" spans="2:9" x14ac:dyDescent="0.35">
      <c r="B16" s="332" t="s">
        <v>494</v>
      </c>
      <c r="C16" s="333">
        <v>0</v>
      </c>
      <c r="D16" s="333">
        <v>0</v>
      </c>
      <c r="E16" s="333">
        <v>0</v>
      </c>
      <c r="F16" s="333">
        <v>0</v>
      </c>
      <c r="G16" s="333">
        <v>0</v>
      </c>
      <c r="H16" s="333">
        <v>14225</v>
      </c>
      <c r="I16" s="333">
        <v>0</v>
      </c>
    </row>
    <row r="17" spans="2:9" x14ac:dyDescent="0.35">
      <c r="B17" s="332" t="s">
        <v>495</v>
      </c>
      <c r="C17" s="333">
        <v>3723.0728300000001</v>
      </c>
      <c r="D17" s="333">
        <v>99844</v>
      </c>
      <c r="E17" s="333">
        <v>17958.118060000001</v>
      </c>
      <c r="F17" s="333">
        <v>10488.89271</v>
      </c>
      <c r="G17" s="333">
        <v>31812.879600000004</v>
      </c>
      <c r="H17" s="333">
        <v>0</v>
      </c>
      <c r="I17" s="333">
        <v>1481</v>
      </c>
    </row>
    <row r="18" spans="2:9" x14ac:dyDescent="0.35">
      <c r="B18" s="332" t="s">
        <v>496</v>
      </c>
      <c r="C18" s="333">
        <v>0</v>
      </c>
      <c r="D18" s="333">
        <v>0</v>
      </c>
      <c r="E18" s="333">
        <v>0</v>
      </c>
      <c r="F18" s="333">
        <v>0</v>
      </c>
      <c r="G18" s="333">
        <v>11072.66425</v>
      </c>
      <c r="H18" s="333">
        <v>0</v>
      </c>
      <c r="I18" s="333">
        <v>19105</v>
      </c>
    </row>
    <row r="19" spans="2:9" x14ac:dyDescent="0.35">
      <c r="B19" s="332" t="s">
        <v>497</v>
      </c>
      <c r="C19" s="333">
        <v>9566.7024199999996</v>
      </c>
      <c r="D19" s="333">
        <v>21693</v>
      </c>
      <c r="E19" s="333">
        <v>32475.360230000006</v>
      </c>
      <c r="F19" s="333">
        <v>27914.583740000002</v>
      </c>
      <c r="G19" s="333">
        <v>142839.08228</v>
      </c>
      <c r="H19" s="333">
        <v>6698</v>
      </c>
      <c r="I19" s="333">
        <v>119129</v>
      </c>
    </row>
    <row r="20" spans="2:9" x14ac:dyDescent="0.35">
      <c r="B20" s="332" t="s">
        <v>498</v>
      </c>
      <c r="C20" s="333">
        <v>0</v>
      </c>
      <c r="D20" s="333">
        <v>177175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</row>
    <row r="21" spans="2:9" x14ac:dyDescent="0.35">
      <c r="B21" s="332" t="s">
        <v>270</v>
      </c>
      <c r="C21" s="333">
        <v>0</v>
      </c>
      <c r="D21" s="333">
        <v>0</v>
      </c>
      <c r="E21" s="333">
        <v>0</v>
      </c>
      <c r="F21" s="333">
        <v>29489.328029999997</v>
      </c>
      <c r="G21" s="333">
        <v>0</v>
      </c>
      <c r="H21" s="333">
        <v>0</v>
      </c>
      <c r="I21" s="333">
        <v>0</v>
      </c>
    </row>
    <row r="22" spans="2:9" x14ac:dyDescent="0.35">
      <c r="B22" s="332" t="s">
        <v>499</v>
      </c>
      <c r="C22" s="333">
        <v>0</v>
      </c>
      <c r="D22" s="333">
        <v>0</v>
      </c>
      <c r="E22" s="333">
        <v>0</v>
      </c>
      <c r="F22" s="333">
        <v>11117.23993</v>
      </c>
      <c r="G22" s="333">
        <v>0</v>
      </c>
      <c r="H22" s="333">
        <v>8990</v>
      </c>
      <c r="I22" s="333">
        <v>0</v>
      </c>
    </row>
    <row r="23" spans="2:9" x14ac:dyDescent="0.35">
      <c r="B23" s="332" t="s">
        <v>500</v>
      </c>
      <c r="C23" s="333">
        <v>0</v>
      </c>
      <c r="D23" s="333">
        <v>0</v>
      </c>
      <c r="E23" s="333">
        <v>0</v>
      </c>
      <c r="F23" s="333">
        <v>50640.608480000003</v>
      </c>
      <c r="G23" s="333">
        <v>162124.76525</v>
      </c>
      <c r="H23" s="333">
        <v>2979</v>
      </c>
      <c r="I23" s="333">
        <v>0</v>
      </c>
    </row>
    <row r="24" spans="2:9" s="129" customFormat="1" x14ac:dyDescent="0.35">
      <c r="B24" s="330" t="s">
        <v>501</v>
      </c>
      <c r="C24" s="331">
        <f t="shared" ref="C24:I24" si="5">SUM(C25:C31)</f>
        <v>62134.559219999996</v>
      </c>
      <c r="D24" s="331">
        <f t="shared" si="5"/>
        <v>352452</v>
      </c>
      <c r="E24" s="331">
        <f t="shared" si="5"/>
        <v>32116.000550000001</v>
      </c>
      <c r="F24" s="331">
        <f t="shared" si="5"/>
        <v>114180.09651</v>
      </c>
      <c r="G24" s="331">
        <f t="shared" si="5"/>
        <v>36254.53256</v>
      </c>
      <c r="H24" s="331">
        <f t="shared" si="5"/>
        <v>55200</v>
      </c>
      <c r="I24" s="331">
        <f t="shared" si="5"/>
        <v>218</v>
      </c>
    </row>
    <row r="25" spans="2:9" x14ac:dyDescent="0.35">
      <c r="B25" s="332" t="s">
        <v>493</v>
      </c>
      <c r="C25" s="333">
        <v>12931.19974</v>
      </c>
      <c r="D25" s="333">
        <v>23490</v>
      </c>
      <c r="E25" s="333">
        <v>10226.468849999999</v>
      </c>
      <c r="F25" s="333">
        <v>7337.36</v>
      </c>
      <c r="G25" s="333">
        <v>16983.737399999998</v>
      </c>
      <c r="H25" s="333">
        <v>2620</v>
      </c>
      <c r="I25" s="333">
        <v>0</v>
      </c>
    </row>
    <row r="26" spans="2:9" x14ac:dyDescent="0.35">
      <c r="B26" s="332" t="s">
        <v>494</v>
      </c>
      <c r="C26" s="333">
        <v>0</v>
      </c>
      <c r="D26" s="333">
        <v>796</v>
      </c>
      <c r="E26" s="333">
        <v>4268.8222400000004</v>
      </c>
      <c r="F26" s="333">
        <v>0</v>
      </c>
      <c r="G26" s="333">
        <v>3568.0946300000001</v>
      </c>
      <c r="H26" s="333">
        <v>944</v>
      </c>
      <c r="I26" s="333">
        <v>0</v>
      </c>
    </row>
    <row r="27" spans="2:9" x14ac:dyDescent="0.35">
      <c r="B27" s="332" t="s">
        <v>495</v>
      </c>
      <c r="C27" s="333">
        <v>9593.9757899999986</v>
      </c>
      <c r="D27" s="333">
        <v>101498</v>
      </c>
      <c r="E27" s="333">
        <v>1344.02432</v>
      </c>
      <c r="F27" s="333">
        <v>735.99279000000001</v>
      </c>
      <c r="G27" s="333">
        <v>10794.647269999999</v>
      </c>
      <c r="H27" s="333">
        <v>6544</v>
      </c>
      <c r="I27" s="333">
        <v>81</v>
      </c>
    </row>
    <row r="28" spans="2:9" x14ac:dyDescent="0.35">
      <c r="B28" s="332" t="s">
        <v>502</v>
      </c>
      <c r="C28" s="333">
        <v>0</v>
      </c>
      <c r="D28" s="333">
        <v>0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</row>
    <row r="29" spans="2:9" x14ac:dyDescent="0.35">
      <c r="B29" s="332" t="s">
        <v>496</v>
      </c>
      <c r="C29" s="333">
        <v>0</v>
      </c>
      <c r="D29" s="333">
        <v>0</v>
      </c>
      <c r="E29" s="333">
        <v>0</v>
      </c>
      <c r="F29" s="333">
        <v>0</v>
      </c>
      <c r="G29" s="333">
        <v>354.20421000000005</v>
      </c>
      <c r="H29" s="333">
        <v>0</v>
      </c>
      <c r="I29" s="333">
        <v>17</v>
      </c>
    </row>
    <row r="30" spans="2:9" x14ac:dyDescent="0.35">
      <c r="B30" s="332" t="s">
        <v>497</v>
      </c>
      <c r="C30" s="333">
        <v>39609.383689999995</v>
      </c>
      <c r="D30" s="333">
        <v>58205</v>
      </c>
      <c r="E30" s="333">
        <v>10149.84239</v>
      </c>
      <c r="F30" s="333">
        <v>105903.2463</v>
      </c>
      <c r="G30" s="333">
        <v>4553.8490499999998</v>
      </c>
      <c r="H30" s="333">
        <v>394</v>
      </c>
      <c r="I30" s="333">
        <v>0</v>
      </c>
    </row>
    <row r="31" spans="2:9" x14ac:dyDescent="0.35">
      <c r="B31" s="332" t="s">
        <v>498</v>
      </c>
      <c r="C31" s="333">
        <v>0</v>
      </c>
      <c r="D31" s="333">
        <v>168463</v>
      </c>
      <c r="E31" s="333">
        <v>6126.8427499999998</v>
      </c>
      <c r="F31" s="333">
        <v>203.49742000000001</v>
      </c>
      <c r="G31" s="333">
        <v>0</v>
      </c>
      <c r="H31" s="333">
        <v>44698</v>
      </c>
      <c r="I31" s="333">
        <v>120</v>
      </c>
    </row>
    <row r="32" spans="2:9" s="129" customFormat="1" x14ac:dyDescent="0.35">
      <c r="B32" s="330" t="s">
        <v>503</v>
      </c>
      <c r="C32" s="331">
        <v>0</v>
      </c>
      <c r="D32" s="331">
        <v>0</v>
      </c>
      <c r="E32" s="331">
        <v>12297.434310000001</v>
      </c>
      <c r="F32" s="331">
        <v>41267.146159999997</v>
      </c>
      <c r="G32" s="331">
        <v>0</v>
      </c>
      <c r="H32" s="331">
        <v>0</v>
      </c>
      <c r="I32" s="331">
        <v>0</v>
      </c>
    </row>
    <row r="33" spans="2:9" s="129" customFormat="1" x14ac:dyDescent="0.35">
      <c r="B33" s="330" t="s">
        <v>500</v>
      </c>
      <c r="C33" s="331">
        <v>0</v>
      </c>
      <c r="D33" s="331">
        <v>36079</v>
      </c>
      <c r="E33" s="331">
        <v>0</v>
      </c>
      <c r="F33" s="331">
        <v>0</v>
      </c>
      <c r="G33" s="331">
        <v>89.809139999999999</v>
      </c>
      <c r="H33" s="331">
        <v>4987</v>
      </c>
      <c r="I33" s="331">
        <v>0</v>
      </c>
    </row>
    <row r="34" spans="2:9" s="129" customFormat="1" x14ac:dyDescent="0.35">
      <c r="B34" s="330" t="s">
        <v>504</v>
      </c>
      <c r="C34" s="331">
        <f t="shared" ref="C34:I34" si="6">SUM(C35:C38)</f>
        <v>159535.49588</v>
      </c>
      <c r="D34" s="331">
        <f t="shared" si="6"/>
        <v>210068</v>
      </c>
      <c r="E34" s="331">
        <f t="shared" si="6"/>
        <v>82843.406270000007</v>
      </c>
      <c r="F34" s="331">
        <f t="shared" si="6"/>
        <v>53173.324260000009</v>
      </c>
      <c r="G34" s="331">
        <f t="shared" si="6"/>
        <v>39332.677390000004</v>
      </c>
      <c r="H34" s="331">
        <f t="shared" si="6"/>
        <v>11932</v>
      </c>
      <c r="I34" s="331">
        <f t="shared" si="6"/>
        <v>300791</v>
      </c>
    </row>
    <row r="35" spans="2:9" x14ac:dyDescent="0.35">
      <c r="B35" s="332" t="s">
        <v>505</v>
      </c>
      <c r="C35" s="333">
        <v>22493.993419999999</v>
      </c>
      <c r="D35" s="333"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</row>
    <row r="36" spans="2:9" x14ac:dyDescent="0.35">
      <c r="B36" s="332" t="s">
        <v>270</v>
      </c>
      <c r="C36" s="333">
        <v>0</v>
      </c>
      <c r="D36" s="333">
        <v>210068</v>
      </c>
      <c r="E36" s="333">
        <v>34387.255349999999</v>
      </c>
      <c r="F36" s="333">
        <v>53173.324260000009</v>
      </c>
      <c r="G36" s="333">
        <v>39332.677390000004</v>
      </c>
      <c r="H36" s="333">
        <v>11932</v>
      </c>
      <c r="I36" s="333">
        <v>150088</v>
      </c>
    </row>
    <row r="37" spans="2:9" x14ac:dyDescent="0.35">
      <c r="B37" s="332" t="s">
        <v>506</v>
      </c>
      <c r="C37" s="333">
        <v>0</v>
      </c>
      <c r="D37" s="333">
        <v>0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</row>
    <row r="38" spans="2:9" x14ac:dyDescent="0.35">
      <c r="B38" s="332" t="s">
        <v>500</v>
      </c>
      <c r="C38" s="333">
        <v>137041.50245999999</v>
      </c>
      <c r="D38" s="333">
        <v>0</v>
      </c>
      <c r="E38" s="333">
        <v>48456.15092</v>
      </c>
      <c r="F38" s="333">
        <v>0</v>
      </c>
      <c r="G38" s="333">
        <v>0</v>
      </c>
      <c r="H38" s="333">
        <v>0</v>
      </c>
      <c r="I38" s="333">
        <v>150703</v>
      </c>
    </row>
    <row r="39" spans="2:9" s="129" customFormat="1" x14ac:dyDescent="0.35">
      <c r="B39" s="330" t="s">
        <v>507</v>
      </c>
      <c r="C39" s="331">
        <f t="shared" ref="C39:I39" si="7">C14+C24+C32+C33+C34</f>
        <v>238892.40445</v>
      </c>
      <c r="D39" s="331">
        <f t="shared" si="7"/>
        <v>899843</v>
      </c>
      <c r="E39" s="331">
        <f t="shared" si="7"/>
        <v>182271.17006999999</v>
      </c>
      <c r="F39" s="331">
        <f t="shared" si="7"/>
        <v>339952.93710000004</v>
      </c>
      <c r="G39" s="331">
        <f t="shared" si="7"/>
        <v>423526.41047000006</v>
      </c>
      <c r="H39" s="331">
        <f t="shared" si="7"/>
        <v>107246</v>
      </c>
      <c r="I39" s="331">
        <f t="shared" si="7"/>
        <v>440724</v>
      </c>
    </row>
    <row r="40" spans="2:9" s="129" customFormat="1" x14ac:dyDescent="0.35">
      <c r="B40" s="334"/>
      <c r="C40" s="335"/>
      <c r="D40" s="335"/>
      <c r="E40" s="335"/>
      <c r="F40" s="335"/>
      <c r="G40" s="335"/>
      <c r="H40" s="335"/>
      <c r="I40" s="335"/>
    </row>
    <row r="41" spans="2:9" x14ac:dyDescent="0.35">
      <c r="B41" s="625" t="s">
        <v>508</v>
      </c>
      <c r="C41" s="628" t="s">
        <v>1</v>
      </c>
      <c r="D41" s="628" t="s">
        <v>2</v>
      </c>
      <c r="E41" s="628" t="s">
        <v>3</v>
      </c>
      <c r="F41" s="628" t="s">
        <v>4</v>
      </c>
      <c r="G41" s="628" t="s">
        <v>5</v>
      </c>
      <c r="H41" s="628" t="s">
        <v>6</v>
      </c>
      <c r="I41" s="628" t="s">
        <v>7</v>
      </c>
    </row>
    <row r="42" spans="2:9" s="129" customFormat="1" x14ac:dyDescent="0.35">
      <c r="B42" s="330" t="s">
        <v>492</v>
      </c>
      <c r="C42" s="331">
        <f t="shared" ref="C42:I42" si="8">SUM(C43:C51)</f>
        <v>-51880.152020000001</v>
      </c>
      <c r="D42" s="331">
        <f t="shared" si="8"/>
        <v>-251806</v>
      </c>
      <c r="E42" s="331">
        <f t="shared" si="8"/>
        <v>-81586.86709</v>
      </c>
      <c r="F42" s="331">
        <f t="shared" si="8"/>
        <v>-63144.411639999998</v>
      </c>
      <c r="G42" s="331">
        <f t="shared" si="8"/>
        <v>-417996.05368999997</v>
      </c>
      <c r="H42" s="331">
        <f t="shared" si="8"/>
        <v>-4192</v>
      </c>
      <c r="I42" s="331">
        <f t="shared" si="8"/>
        <v>-442068</v>
      </c>
    </row>
    <row r="43" spans="2:9" x14ac:dyDescent="0.35">
      <c r="B43" s="332" t="s">
        <v>498</v>
      </c>
      <c r="C43" s="333">
        <v>-51880.152020000001</v>
      </c>
      <c r="D43" s="333">
        <v>-232777</v>
      </c>
      <c r="E43" s="333">
        <v>-74470.993610000005</v>
      </c>
      <c r="F43" s="333">
        <v>-6883.1721599999992</v>
      </c>
      <c r="G43" s="333">
        <v>-382676.13519999996</v>
      </c>
      <c r="H43" s="333">
        <v>-3820</v>
      </c>
      <c r="I43" s="333">
        <v>-385210</v>
      </c>
    </row>
    <row r="44" spans="2:9" x14ac:dyDescent="0.35">
      <c r="B44" s="332" t="s">
        <v>494</v>
      </c>
      <c r="C44" s="333">
        <v>0</v>
      </c>
      <c r="D44" s="333">
        <v>-225</v>
      </c>
      <c r="E44" s="333">
        <v>-7115.8734800000002</v>
      </c>
      <c r="F44" s="333">
        <v>-41.110589999999995</v>
      </c>
      <c r="G44" s="333">
        <v>-14068.146049999999</v>
      </c>
      <c r="H44" s="333">
        <v>-372</v>
      </c>
      <c r="I44" s="333">
        <v>-23100</v>
      </c>
    </row>
    <row r="45" spans="2:9" x14ac:dyDescent="0.35">
      <c r="B45" s="332" t="s">
        <v>495</v>
      </c>
      <c r="C45" s="333">
        <v>0</v>
      </c>
      <c r="D45" s="333">
        <v>0</v>
      </c>
      <c r="E45" s="333">
        <v>0</v>
      </c>
      <c r="F45" s="333">
        <v>0</v>
      </c>
      <c r="G45" s="333">
        <v>0</v>
      </c>
      <c r="H45" s="333">
        <v>0</v>
      </c>
      <c r="I45" s="333">
        <v>0</v>
      </c>
    </row>
    <row r="46" spans="2:9" x14ac:dyDescent="0.35">
      <c r="B46" s="332" t="s">
        <v>493</v>
      </c>
      <c r="C46" s="333">
        <v>0</v>
      </c>
      <c r="D46" s="333">
        <v>0</v>
      </c>
      <c r="E46" s="333">
        <v>0</v>
      </c>
      <c r="F46" s="333">
        <v>0</v>
      </c>
      <c r="G46" s="333">
        <v>-21251.772440000001</v>
      </c>
      <c r="H46" s="333">
        <v>0</v>
      </c>
      <c r="I46" s="333">
        <v>-33758</v>
      </c>
    </row>
    <row r="47" spans="2:9" x14ac:dyDescent="0.35">
      <c r="B47" s="332" t="s">
        <v>497</v>
      </c>
      <c r="C47" s="333">
        <v>0</v>
      </c>
      <c r="D47" s="333"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</row>
    <row r="48" spans="2:9" x14ac:dyDescent="0.35">
      <c r="B48" s="332" t="s">
        <v>503</v>
      </c>
      <c r="C48" s="333">
        <v>0</v>
      </c>
      <c r="D48" s="333">
        <v>-15261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</row>
    <row r="49" spans="2:9" x14ac:dyDescent="0.35">
      <c r="B49" s="332" t="s">
        <v>270</v>
      </c>
      <c r="C49" s="333">
        <v>0</v>
      </c>
      <c r="D49" s="333">
        <v>0</v>
      </c>
      <c r="E49" s="333">
        <v>0</v>
      </c>
      <c r="F49" s="333">
        <v>-56220.12889</v>
      </c>
      <c r="G49" s="333">
        <v>0</v>
      </c>
      <c r="H49" s="333">
        <v>0</v>
      </c>
      <c r="I49" s="333">
        <v>0</v>
      </c>
    </row>
    <row r="50" spans="2:9" x14ac:dyDescent="0.35">
      <c r="B50" s="332" t="s">
        <v>496</v>
      </c>
      <c r="C50" s="333">
        <v>0</v>
      </c>
      <c r="D50" s="333">
        <v>0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</row>
    <row r="51" spans="2:9" x14ac:dyDescent="0.35">
      <c r="B51" s="332" t="s">
        <v>500</v>
      </c>
      <c r="C51" s="333">
        <v>0</v>
      </c>
      <c r="D51" s="333">
        <v>-3543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</row>
    <row r="52" spans="2:9" s="129" customFormat="1" x14ac:dyDescent="0.35">
      <c r="B52" s="330" t="s">
        <v>501</v>
      </c>
      <c r="C52" s="331">
        <f t="shared" ref="C52:I52" si="9">SUM(C53:C58)</f>
        <v>-144338.5429</v>
      </c>
      <c r="D52" s="331">
        <f t="shared" si="9"/>
        <v>-62560</v>
      </c>
      <c r="E52" s="331">
        <f t="shared" si="9"/>
        <v>-14609.114220000001</v>
      </c>
      <c r="F52" s="331">
        <f t="shared" si="9"/>
        <v>-35668.668099999995</v>
      </c>
      <c r="G52" s="331">
        <f t="shared" si="9"/>
        <v>-31727.078750000001</v>
      </c>
      <c r="H52" s="331">
        <f t="shared" si="9"/>
        <v>-18497</v>
      </c>
      <c r="I52" s="331">
        <f t="shared" si="9"/>
        <v>-2416</v>
      </c>
    </row>
    <row r="53" spans="2:9" x14ac:dyDescent="0.35">
      <c r="B53" s="332" t="s">
        <v>497</v>
      </c>
      <c r="C53" s="333">
        <v>-554.30962999999997</v>
      </c>
      <c r="D53" s="333">
        <v>-177</v>
      </c>
      <c r="E53" s="333">
        <v>0</v>
      </c>
      <c r="F53" s="333">
        <v>-223.89389000000003</v>
      </c>
      <c r="G53" s="333">
        <v>-82.68065</v>
      </c>
      <c r="H53" s="333">
        <v>-194</v>
      </c>
      <c r="I53" s="333">
        <v>-1194</v>
      </c>
    </row>
    <row r="54" spans="2:9" x14ac:dyDescent="0.35">
      <c r="B54" s="332" t="s">
        <v>498</v>
      </c>
      <c r="C54" s="333">
        <v>-133650.26601999998</v>
      </c>
      <c r="D54" s="333">
        <v>-55596</v>
      </c>
      <c r="E54" s="333">
        <v>-14609.114220000001</v>
      </c>
      <c r="F54" s="333">
        <v>-27892.835800000001</v>
      </c>
      <c r="G54" s="333">
        <v>-31479.711210000001</v>
      </c>
      <c r="H54" s="333">
        <v>-16815</v>
      </c>
      <c r="I54" s="333">
        <v>0</v>
      </c>
    </row>
    <row r="55" spans="2:9" x14ac:dyDescent="0.35">
      <c r="B55" s="332" t="s">
        <v>493</v>
      </c>
      <c r="C55" s="333">
        <v>-224.54026000000002</v>
      </c>
      <c r="D55" s="333">
        <v>0</v>
      </c>
      <c r="E55" s="333">
        <v>0</v>
      </c>
      <c r="F55" s="333">
        <v>0</v>
      </c>
      <c r="G55" s="333">
        <v>-21.234450000000002</v>
      </c>
      <c r="H55" s="333">
        <v>0</v>
      </c>
      <c r="I55" s="333">
        <v>-842</v>
      </c>
    </row>
    <row r="56" spans="2:9" x14ac:dyDescent="0.35">
      <c r="B56" s="332" t="s">
        <v>496</v>
      </c>
      <c r="C56" s="333">
        <v>0</v>
      </c>
      <c r="D56" s="333">
        <v>0</v>
      </c>
      <c r="E56" s="333">
        <v>0</v>
      </c>
      <c r="F56" s="333">
        <v>0</v>
      </c>
      <c r="G56" s="333">
        <v>-4.1218300000000001</v>
      </c>
      <c r="H56" s="333">
        <v>0</v>
      </c>
      <c r="I56" s="333">
        <v>0</v>
      </c>
    </row>
    <row r="57" spans="2:9" x14ac:dyDescent="0.35">
      <c r="B57" s="332" t="s">
        <v>495</v>
      </c>
      <c r="C57" s="333">
        <v>-2589.3242700000001</v>
      </c>
      <c r="D57" s="333">
        <v>0</v>
      </c>
      <c r="E57" s="333">
        <v>0</v>
      </c>
      <c r="F57" s="333">
        <v>-5854.6948000000002</v>
      </c>
      <c r="G57" s="333">
        <v>-123.24623</v>
      </c>
      <c r="H57" s="333">
        <v>0</v>
      </c>
      <c r="I57" s="333">
        <v>0</v>
      </c>
    </row>
    <row r="58" spans="2:9" x14ac:dyDescent="0.35">
      <c r="B58" s="332" t="s">
        <v>494</v>
      </c>
      <c r="C58" s="333">
        <v>-7320.1027200000008</v>
      </c>
      <c r="D58" s="333">
        <v>-6787</v>
      </c>
      <c r="E58" s="333">
        <v>0</v>
      </c>
      <c r="F58" s="333">
        <v>-1697.24361</v>
      </c>
      <c r="G58" s="333">
        <v>-16.084379999999999</v>
      </c>
      <c r="H58" s="333">
        <v>-1488</v>
      </c>
      <c r="I58" s="333">
        <v>-380</v>
      </c>
    </row>
    <row r="59" spans="2:9" s="129" customFormat="1" x14ac:dyDescent="0.35">
      <c r="B59" s="330" t="s">
        <v>500</v>
      </c>
      <c r="C59" s="331">
        <v>0</v>
      </c>
      <c r="D59" s="331">
        <v>0</v>
      </c>
      <c r="E59" s="331">
        <v>0</v>
      </c>
      <c r="F59" s="331">
        <v>0</v>
      </c>
      <c r="G59" s="331">
        <v>0</v>
      </c>
      <c r="H59" s="331">
        <v>0</v>
      </c>
      <c r="I59" s="331">
        <v>0</v>
      </c>
    </row>
    <row r="60" spans="2:9" s="129" customFormat="1" x14ac:dyDescent="0.35">
      <c r="B60" s="330" t="s">
        <v>503</v>
      </c>
      <c r="C60" s="331">
        <v>-28018.60396</v>
      </c>
      <c r="D60" s="331">
        <v>-12140</v>
      </c>
      <c r="E60" s="331">
        <v>0</v>
      </c>
      <c r="F60" s="331">
        <v>-20562.858230000002</v>
      </c>
      <c r="G60" s="331">
        <v>-76824.831699999995</v>
      </c>
      <c r="H60" s="331">
        <v>-1908</v>
      </c>
      <c r="I60" s="331">
        <v>-7964</v>
      </c>
    </row>
    <row r="61" spans="2:9" s="129" customFormat="1" x14ac:dyDescent="0.35">
      <c r="B61" s="330" t="s">
        <v>504</v>
      </c>
      <c r="C61" s="331">
        <f t="shared" ref="C61:I61" si="10">SUM(C62:C66)</f>
        <v>-316736.81234999996</v>
      </c>
      <c r="D61" s="331">
        <f t="shared" si="10"/>
        <v>-399416</v>
      </c>
      <c r="E61" s="331">
        <f t="shared" si="10"/>
        <v>-121857.55942000001</v>
      </c>
      <c r="F61" s="331">
        <f t="shared" si="10"/>
        <v>-86501.992900000012</v>
      </c>
      <c r="G61" s="331">
        <f t="shared" si="10"/>
        <v>-294598.63626999996</v>
      </c>
      <c r="H61" s="331">
        <f t="shared" si="10"/>
        <v>-78903</v>
      </c>
      <c r="I61" s="331">
        <f t="shared" si="10"/>
        <v>-445341</v>
      </c>
    </row>
    <row r="62" spans="2:9" x14ac:dyDescent="0.35">
      <c r="B62" s="332" t="s">
        <v>270</v>
      </c>
      <c r="C62" s="333">
        <v>-190540.28868</v>
      </c>
      <c r="D62" s="333">
        <v>-381908</v>
      </c>
      <c r="E62" s="333">
        <v>-121832.91428000001</v>
      </c>
      <c r="F62" s="333">
        <v>-86501.992900000012</v>
      </c>
      <c r="G62" s="333">
        <v>-294598.63626999996</v>
      </c>
      <c r="H62" s="333">
        <v>-78902</v>
      </c>
      <c r="I62" s="333">
        <v>-445341</v>
      </c>
    </row>
    <row r="63" spans="2:9" x14ac:dyDescent="0.35">
      <c r="B63" s="332" t="s">
        <v>509</v>
      </c>
      <c r="C63" s="327">
        <v>0</v>
      </c>
      <c r="D63" s="327">
        <v>0</v>
      </c>
      <c r="E63" s="327">
        <v>0</v>
      </c>
      <c r="F63" s="327">
        <v>0</v>
      </c>
      <c r="G63" s="327">
        <v>0</v>
      </c>
      <c r="H63" s="327">
        <v>0</v>
      </c>
      <c r="I63" s="327">
        <v>0</v>
      </c>
    </row>
    <row r="64" spans="2:9" x14ac:dyDescent="0.35">
      <c r="B64" s="332" t="s">
        <v>510</v>
      </c>
      <c r="C64" s="327">
        <v>-19786.946499999998</v>
      </c>
      <c r="D64" s="327">
        <v>0</v>
      </c>
      <c r="E64" s="327">
        <v>0</v>
      </c>
      <c r="F64" s="327">
        <v>0</v>
      </c>
      <c r="G64" s="327">
        <v>0</v>
      </c>
      <c r="H64" s="327">
        <v>0</v>
      </c>
      <c r="I64" s="327">
        <v>0</v>
      </c>
    </row>
    <row r="65" spans="2:9" x14ac:dyDescent="0.35">
      <c r="B65" s="332" t="s">
        <v>500</v>
      </c>
      <c r="C65" s="327">
        <v>-106409.57716999999</v>
      </c>
      <c r="D65" s="327">
        <v>-17508</v>
      </c>
      <c r="E65" s="327">
        <v>-24.645140000000001</v>
      </c>
      <c r="F65" s="327">
        <v>0</v>
      </c>
      <c r="G65" s="327">
        <v>0</v>
      </c>
      <c r="H65" s="327">
        <v>-1</v>
      </c>
      <c r="I65" s="327">
        <v>0</v>
      </c>
    </row>
    <row r="66" spans="2:9" x14ac:dyDescent="0.35">
      <c r="B66" s="332" t="s">
        <v>511</v>
      </c>
      <c r="C66" s="327">
        <v>0</v>
      </c>
      <c r="D66" s="327">
        <v>0</v>
      </c>
      <c r="E66" s="327">
        <v>0</v>
      </c>
      <c r="F66" s="327">
        <v>0</v>
      </c>
      <c r="G66" s="327">
        <v>0</v>
      </c>
      <c r="H66" s="327">
        <v>0</v>
      </c>
      <c r="I66" s="327">
        <v>0</v>
      </c>
    </row>
    <row r="67" spans="2:9" s="129" customFormat="1" x14ac:dyDescent="0.35">
      <c r="B67" s="330" t="s">
        <v>507</v>
      </c>
      <c r="C67" s="331">
        <f t="shared" ref="C67:I67" si="11">+C42+C52+C59+C60+C61</f>
        <v>-540974.11122999992</v>
      </c>
      <c r="D67" s="331">
        <f t="shared" si="11"/>
        <v>-725922</v>
      </c>
      <c r="E67" s="331">
        <f t="shared" si="11"/>
        <v>-218053.54073000001</v>
      </c>
      <c r="F67" s="331">
        <f t="shared" si="11"/>
        <v>-205877.93086999998</v>
      </c>
      <c r="G67" s="331">
        <f t="shared" si="11"/>
        <v>-821146.60040999996</v>
      </c>
      <c r="H67" s="331">
        <f t="shared" si="11"/>
        <v>-103500</v>
      </c>
      <c r="I67" s="331">
        <f t="shared" si="11"/>
        <v>-897789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F60A3-19F1-4AA2-A84F-32BEA602E863}">
  <sheetPr>
    <tabColor theme="9" tint="0.79998168889431442"/>
  </sheetPr>
  <dimension ref="B5:L29"/>
  <sheetViews>
    <sheetView showGridLines="0" zoomScale="85" zoomScaleNormal="85" workbookViewId="0">
      <selection activeCell="D3" sqref="D3"/>
    </sheetView>
  </sheetViews>
  <sheetFormatPr defaultRowHeight="14.5" x14ac:dyDescent="0.35"/>
  <cols>
    <col min="2" max="2" width="35.453125" bestFit="1" customWidth="1"/>
  </cols>
  <sheetData>
    <row r="5" spans="2:12" x14ac:dyDescent="0.35">
      <c r="B5" s="129" t="s">
        <v>512</v>
      </c>
    </row>
    <row r="6" spans="2:12" x14ac:dyDescent="0.35">
      <c r="B6" s="625" t="s">
        <v>513</v>
      </c>
      <c r="C6" s="626" t="s">
        <v>74</v>
      </c>
      <c r="D6" s="626" t="s">
        <v>75</v>
      </c>
      <c r="E6" s="626" t="s">
        <v>76</v>
      </c>
      <c r="F6" s="626" t="s">
        <v>77</v>
      </c>
      <c r="G6" s="626" t="s">
        <v>78</v>
      </c>
      <c r="H6" s="626" t="s">
        <v>79</v>
      </c>
      <c r="I6" s="626" t="s">
        <v>80</v>
      </c>
      <c r="J6" s="626" t="s">
        <v>81</v>
      </c>
      <c r="K6" s="626" t="s">
        <v>82</v>
      </c>
      <c r="L6" s="626" t="s">
        <v>83</v>
      </c>
    </row>
    <row r="7" spans="2:12" x14ac:dyDescent="0.35">
      <c r="B7" s="336" t="s">
        <v>514</v>
      </c>
      <c r="C7" s="337">
        <f>SUM(C8:C10)</f>
        <v>116</v>
      </c>
      <c r="D7" s="337">
        <f>SUM(D8:D10)</f>
        <v>171.09631800000002</v>
      </c>
      <c r="E7" s="337">
        <f>SUM(E8:E10)</f>
        <v>118.44234999999999</v>
      </c>
      <c r="F7" s="337">
        <f t="shared" ref="F7:L7" si="0">SUM(F8:F10)</f>
        <v>137.18355668070998</v>
      </c>
      <c r="G7" s="337">
        <f t="shared" si="0"/>
        <v>149</v>
      </c>
      <c r="H7" s="337">
        <f t="shared" si="0"/>
        <v>179.2840946329656</v>
      </c>
      <c r="I7" s="337">
        <f t="shared" si="0"/>
        <v>182.71589629970651</v>
      </c>
      <c r="J7" s="337">
        <f t="shared" si="0"/>
        <v>154.0442487990384</v>
      </c>
      <c r="K7" s="337">
        <f t="shared" si="0"/>
        <v>141.02699999999999</v>
      </c>
      <c r="L7" s="337">
        <f t="shared" si="0"/>
        <v>139.82633347779063</v>
      </c>
    </row>
    <row r="8" spans="2:12" x14ac:dyDescent="0.35">
      <c r="B8" t="s">
        <v>269</v>
      </c>
      <c r="C8" s="327">
        <v>91</v>
      </c>
      <c r="D8" s="327">
        <v>161.18139300000001</v>
      </c>
      <c r="E8" s="327">
        <v>107.139</v>
      </c>
      <c r="F8" s="327">
        <v>122.86864058999998</v>
      </c>
      <c r="G8" s="327">
        <v>134</v>
      </c>
      <c r="H8" s="327">
        <v>161.89907345999995</v>
      </c>
      <c r="I8" s="327">
        <v>164.30841430999999</v>
      </c>
      <c r="J8" s="327">
        <v>132.60014687</v>
      </c>
      <c r="K8" s="327">
        <v>120.499</v>
      </c>
      <c r="L8" s="327">
        <v>120.89267380000003</v>
      </c>
    </row>
    <row r="9" spans="2:12" x14ac:dyDescent="0.35">
      <c r="B9" t="s">
        <v>515</v>
      </c>
      <c r="C9" s="327">
        <v>17</v>
      </c>
      <c r="D9" s="327">
        <v>0</v>
      </c>
      <c r="E9" s="327">
        <v>0</v>
      </c>
      <c r="F9" s="327">
        <v>3.5429834907100028</v>
      </c>
      <c r="G9" s="327">
        <v>4</v>
      </c>
      <c r="H9" s="327">
        <v>4.1128612429656695</v>
      </c>
      <c r="I9" s="327">
        <v>4.1947274097065197</v>
      </c>
      <c r="J9" s="327">
        <v>9.0190347090384098</v>
      </c>
      <c r="K9" s="327">
        <v>9.1349999999999998</v>
      </c>
      <c r="L9" s="327">
        <v>9.2761790677905989</v>
      </c>
    </row>
    <row r="10" spans="2:12" x14ac:dyDescent="0.35">
      <c r="B10" t="s">
        <v>516</v>
      </c>
      <c r="C10" s="327">
        <v>8</v>
      </c>
      <c r="D10" s="327">
        <v>9.9149250000000002</v>
      </c>
      <c r="E10" s="327">
        <v>11.30335</v>
      </c>
      <c r="F10" s="327">
        <v>10.7719326</v>
      </c>
      <c r="G10" s="327">
        <v>11</v>
      </c>
      <c r="H10" s="327">
        <v>13.272159930000001</v>
      </c>
      <c r="I10" s="327">
        <v>14.21275458</v>
      </c>
      <c r="J10" s="327">
        <v>12.425067220000001</v>
      </c>
      <c r="K10" s="327">
        <v>11.393000000000001</v>
      </c>
      <c r="L10" s="327">
        <v>9.6574806100000004</v>
      </c>
    </row>
    <row r="11" spans="2:12" x14ac:dyDescent="0.35">
      <c r="B11" s="336" t="s">
        <v>517</v>
      </c>
      <c r="C11" s="337">
        <f>SUM(C12:C14)</f>
        <v>-120</v>
      </c>
      <c r="D11" s="337">
        <f>SUM(D12:D14)</f>
        <v>-136.52841800000002</v>
      </c>
      <c r="E11" s="337">
        <f>SUM(E12:E14)</f>
        <v>-147.02361999999999</v>
      </c>
      <c r="F11" s="337">
        <f t="shared" ref="F11:L11" si="1">SUM(F12:F14)</f>
        <v>-140.55779218999999</v>
      </c>
      <c r="G11" s="337">
        <f t="shared" si="1"/>
        <v>-154.6</v>
      </c>
      <c r="H11" s="337">
        <f t="shared" si="1"/>
        <v>-185.33302894265879</v>
      </c>
      <c r="I11" s="337">
        <f t="shared" si="1"/>
        <v>-189.08904242919007</v>
      </c>
      <c r="J11" s="337">
        <f t="shared" si="1"/>
        <v>-158.41157827000001</v>
      </c>
      <c r="K11" s="337">
        <f t="shared" si="1"/>
        <v>-142.35957270999998</v>
      </c>
      <c r="L11" s="337">
        <f t="shared" si="1"/>
        <v>-136.65751108000001</v>
      </c>
    </row>
    <row r="12" spans="2:12" x14ac:dyDescent="0.35">
      <c r="B12" t="s">
        <v>267</v>
      </c>
      <c r="C12" s="327">
        <v>-3</v>
      </c>
      <c r="D12" s="327">
        <v>-3.2145830000000002</v>
      </c>
      <c r="E12" s="327">
        <v>-3.7629999999999999</v>
      </c>
      <c r="F12" s="327">
        <v>-3.7083759999999999</v>
      </c>
      <c r="G12" s="327">
        <v>-5.6</v>
      </c>
      <c r="H12" s="327">
        <v>-6.6107651600000006</v>
      </c>
      <c r="I12" s="327">
        <v>-11.822062519999999</v>
      </c>
      <c r="J12" s="327">
        <v>-7.6319781500000001</v>
      </c>
      <c r="K12" s="327">
        <v>-10.192</v>
      </c>
      <c r="L12" s="327">
        <v>-15.160774719999997</v>
      </c>
    </row>
    <row r="13" spans="2:12" x14ac:dyDescent="0.35">
      <c r="B13" t="s">
        <v>270</v>
      </c>
      <c r="C13" s="327"/>
      <c r="D13" s="327"/>
      <c r="E13" s="327">
        <v>0</v>
      </c>
      <c r="F13" s="327"/>
      <c r="G13" s="327"/>
      <c r="H13" s="327"/>
      <c r="I13" s="327">
        <v>0</v>
      </c>
      <c r="J13" s="327"/>
      <c r="K13" s="327"/>
      <c r="L13" s="327"/>
    </row>
    <row r="14" spans="2:12" x14ac:dyDescent="0.35">
      <c r="B14" t="s">
        <v>518</v>
      </c>
      <c r="C14" s="327">
        <v>-117</v>
      </c>
      <c r="D14" s="327">
        <v>-133.31383500000001</v>
      </c>
      <c r="E14" s="327">
        <v>-143.26061999999999</v>
      </c>
      <c r="F14" s="327">
        <v>-136.84941619</v>
      </c>
      <c r="G14" s="327">
        <v>-149</v>
      </c>
      <c r="H14" s="327">
        <v>-178.72226378265879</v>
      </c>
      <c r="I14" s="327">
        <v>-177.26697990919007</v>
      </c>
      <c r="J14" s="327">
        <v>-150.77960012</v>
      </c>
      <c r="K14" s="327">
        <v>-132.16757270999997</v>
      </c>
      <c r="L14" s="327">
        <v>-121.49673636000001</v>
      </c>
    </row>
    <row r="15" spans="2:12" s="129" customFormat="1" x14ac:dyDescent="0.35">
      <c r="B15" s="336" t="s">
        <v>519</v>
      </c>
      <c r="C15" s="337">
        <f>C7+C11</f>
        <v>-4</v>
      </c>
      <c r="D15" s="337">
        <f>D7+D11</f>
        <v>34.567900000000009</v>
      </c>
      <c r="E15" s="337">
        <f>E7+E11</f>
        <v>-28.581270000000004</v>
      </c>
      <c r="F15" s="337">
        <f t="shared" ref="F15:L15" si="2">F7+F11</f>
        <v>-3.3742355092900027</v>
      </c>
      <c r="G15" s="337">
        <f t="shared" si="2"/>
        <v>-5.5999999999999943</v>
      </c>
      <c r="H15" s="337">
        <f t="shared" si="2"/>
        <v>-6.0489343096931805</v>
      </c>
      <c r="I15" s="337">
        <f t="shared" si="2"/>
        <v>-6.3731461294835583</v>
      </c>
      <c r="J15" s="337">
        <f t="shared" si="2"/>
        <v>-4.3673294709616073</v>
      </c>
      <c r="K15" s="337">
        <f t="shared" si="2"/>
        <v>-1.3325727099999938</v>
      </c>
      <c r="L15" s="337">
        <f t="shared" si="2"/>
        <v>3.1688223977906205</v>
      </c>
    </row>
    <row r="16" spans="2:12" x14ac:dyDescent="0.35">
      <c r="B16" t="s">
        <v>520</v>
      </c>
      <c r="C16" s="327">
        <v>68</v>
      </c>
      <c r="D16" s="327">
        <v>66</v>
      </c>
      <c r="E16" s="327">
        <v>74.603020000000001</v>
      </c>
      <c r="F16" s="327">
        <v>64.628618995060478</v>
      </c>
      <c r="G16" s="327">
        <v>66</v>
      </c>
      <c r="H16" s="327">
        <v>75.049473430999996</v>
      </c>
      <c r="I16" s="327">
        <v>76.543327063000007</v>
      </c>
      <c r="J16" s="327">
        <v>64.658140549999999</v>
      </c>
      <c r="K16" s="327">
        <v>65.489000000000004</v>
      </c>
      <c r="L16" s="327">
        <v>65.396097866129011</v>
      </c>
    </row>
    <row r="19" spans="2:12" x14ac:dyDescent="0.35">
      <c r="B19" s="625" t="s">
        <v>521</v>
      </c>
      <c r="C19" s="627" t="s">
        <v>74</v>
      </c>
      <c r="D19" s="627" t="s">
        <v>75</v>
      </c>
      <c r="E19" s="627" t="s">
        <v>76</v>
      </c>
      <c r="F19" s="627" t="s">
        <v>77</v>
      </c>
      <c r="G19" s="627" t="s">
        <v>78</v>
      </c>
      <c r="H19" s="627" t="s">
        <v>79</v>
      </c>
      <c r="I19" s="627" t="s">
        <v>80</v>
      </c>
      <c r="J19" s="627" t="s">
        <v>81</v>
      </c>
      <c r="K19" s="627" t="s">
        <v>82</v>
      </c>
      <c r="L19" s="627" t="s">
        <v>83</v>
      </c>
    </row>
    <row r="20" spans="2:12" x14ac:dyDescent="0.35">
      <c r="B20" s="336" t="s">
        <v>514</v>
      </c>
      <c r="C20" s="337">
        <f t="shared" ref="C20:L20" si="3">SUM(C21:C23)</f>
        <v>0</v>
      </c>
      <c r="D20" s="337">
        <f t="shared" si="3"/>
        <v>0</v>
      </c>
      <c r="E20" s="337">
        <f t="shared" si="3"/>
        <v>0</v>
      </c>
      <c r="F20" s="337">
        <f t="shared" si="3"/>
        <v>0</v>
      </c>
      <c r="G20" s="337">
        <f t="shared" si="3"/>
        <v>0</v>
      </c>
      <c r="H20" s="337">
        <f t="shared" si="3"/>
        <v>36.942960917720001</v>
      </c>
      <c r="I20" s="337">
        <f t="shared" si="3"/>
        <v>0</v>
      </c>
      <c r="J20" s="337">
        <f t="shared" si="3"/>
        <v>0</v>
      </c>
      <c r="K20" s="337">
        <f t="shared" si="3"/>
        <v>0</v>
      </c>
      <c r="L20" s="337">
        <f t="shared" si="3"/>
        <v>30.216106889999999</v>
      </c>
    </row>
    <row r="21" spans="2:12" x14ac:dyDescent="0.35">
      <c r="B21" t="s">
        <v>269</v>
      </c>
      <c r="C21" s="327"/>
      <c r="D21" s="327"/>
      <c r="E21" s="327"/>
      <c r="F21" s="327"/>
      <c r="G21" s="327"/>
      <c r="H21" s="327">
        <v>36.22675358</v>
      </c>
      <c r="I21" s="327"/>
      <c r="J21" s="327"/>
      <c r="K21" s="327"/>
      <c r="L21" s="327">
        <v>28.271729260000001</v>
      </c>
    </row>
    <row r="22" spans="2:12" x14ac:dyDescent="0.35">
      <c r="B22" t="s">
        <v>515</v>
      </c>
      <c r="C22" s="327"/>
      <c r="D22" s="327"/>
      <c r="E22" s="327"/>
      <c r="F22" s="327"/>
      <c r="G22" s="327"/>
      <c r="H22" s="327">
        <v>0.71620733772</v>
      </c>
      <c r="I22" s="327"/>
      <c r="J22" s="327"/>
      <c r="K22" s="327"/>
      <c r="L22" s="327">
        <v>1.94437763</v>
      </c>
    </row>
    <row r="23" spans="2:12" x14ac:dyDescent="0.35">
      <c r="B23" t="s">
        <v>516</v>
      </c>
      <c r="C23" s="327"/>
      <c r="D23" s="327"/>
      <c r="E23" s="327"/>
      <c r="F23" s="327"/>
      <c r="G23" s="327"/>
      <c r="H23" s="327"/>
      <c r="I23" s="327"/>
      <c r="J23" s="327"/>
      <c r="K23" s="327"/>
      <c r="L23" s="327"/>
    </row>
    <row r="24" spans="2:12" x14ac:dyDescent="0.35">
      <c r="B24" s="336" t="s">
        <v>517</v>
      </c>
      <c r="C24" s="337">
        <f t="shared" ref="C24:L24" si="4">SUM(C25:C27)</f>
        <v>0</v>
      </c>
      <c r="D24" s="337">
        <f t="shared" si="4"/>
        <v>0</v>
      </c>
      <c r="E24" s="337">
        <f t="shared" si="4"/>
        <v>0</v>
      </c>
      <c r="F24" s="337">
        <f t="shared" si="4"/>
        <v>0</v>
      </c>
      <c r="G24" s="337">
        <f t="shared" si="4"/>
        <v>0</v>
      </c>
      <c r="H24" s="337">
        <f t="shared" si="4"/>
        <v>-36.942960929999998</v>
      </c>
      <c r="I24" s="337">
        <f t="shared" si="4"/>
        <v>0</v>
      </c>
      <c r="J24" s="337">
        <f t="shared" si="4"/>
        <v>0</v>
      </c>
      <c r="K24" s="337">
        <f t="shared" si="4"/>
        <v>0</v>
      </c>
      <c r="L24" s="337">
        <f t="shared" si="4"/>
        <v>-31.592554</v>
      </c>
    </row>
    <row r="25" spans="2:12" x14ac:dyDescent="0.35">
      <c r="B25" t="s">
        <v>267</v>
      </c>
      <c r="C25" s="327"/>
      <c r="D25" s="327"/>
      <c r="E25" s="327"/>
      <c r="F25" s="327"/>
      <c r="G25" s="327"/>
      <c r="H25" s="327"/>
      <c r="I25" s="327"/>
      <c r="J25" s="327"/>
      <c r="K25" s="327"/>
      <c r="L25" s="327"/>
    </row>
    <row r="26" spans="2:12" x14ac:dyDescent="0.35">
      <c r="B26" t="s">
        <v>270</v>
      </c>
      <c r="C26" s="327"/>
      <c r="D26" s="327"/>
      <c r="E26" s="327"/>
      <c r="F26" s="327"/>
      <c r="G26" s="327"/>
      <c r="H26" s="327"/>
      <c r="I26" s="327"/>
      <c r="J26" s="327"/>
      <c r="K26" s="327"/>
      <c r="L26" s="327"/>
    </row>
    <row r="27" spans="2:12" x14ac:dyDescent="0.35">
      <c r="B27" t="s">
        <v>518</v>
      </c>
      <c r="C27" s="327"/>
      <c r="D27" s="327"/>
      <c r="E27" s="327"/>
      <c r="F27" s="327"/>
      <c r="G27" s="327"/>
      <c r="H27" s="327">
        <v>-36.942960929999998</v>
      </c>
      <c r="I27" s="327"/>
      <c r="J27" s="327"/>
      <c r="K27" s="327"/>
      <c r="L27" s="327">
        <v>-31.592554</v>
      </c>
    </row>
    <row r="28" spans="2:12" s="129" customFormat="1" x14ac:dyDescent="0.35">
      <c r="B28" s="336" t="s">
        <v>519</v>
      </c>
      <c r="C28" s="337">
        <f t="shared" ref="C28:L28" si="5">C20+C24</f>
        <v>0</v>
      </c>
      <c r="D28" s="337">
        <f t="shared" si="5"/>
        <v>0</v>
      </c>
      <c r="E28" s="337">
        <f t="shared" si="5"/>
        <v>0</v>
      </c>
      <c r="F28" s="337">
        <f t="shared" si="5"/>
        <v>0</v>
      </c>
      <c r="G28" s="337">
        <f t="shared" si="5"/>
        <v>0</v>
      </c>
      <c r="H28" s="337">
        <f t="shared" si="5"/>
        <v>-1.2279997463338077E-8</v>
      </c>
      <c r="I28" s="337">
        <f t="shared" si="5"/>
        <v>0</v>
      </c>
      <c r="J28" s="337">
        <f t="shared" si="5"/>
        <v>0</v>
      </c>
      <c r="K28" s="337">
        <f t="shared" si="5"/>
        <v>0</v>
      </c>
      <c r="L28" s="337">
        <f t="shared" si="5"/>
        <v>-1.3764471100000009</v>
      </c>
    </row>
    <row r="29" spans="2:12" x14ac:dyDescent="0.35">
      <c r="B29" t="s">
        <v>520</v>
      </c>
      <c r="C29" s="327"/>
      <c r="D29" s="327"/>
      <c r="E29" s="327"/>
      <c r="F29" s="327"/>
      <c r="G29" s="327"/>
      <c r="H29" s="327">
        <v>1.3069000000000001E-2</v>
      </c>
      <c r="I29" s="327"/>
      <c r="J29" s="327"/>
      <c r="K29" s="327"/>
      <c r="L29" s="327">
        <v>1.3939389999999999E-2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E2EE7-ABB9-407C-B030-249C69715CBA}">
  <sheetPr>
    <tabColor theme="9" tint="0.79998168889431442"/>
  </sheetPr>
  <dimension ref="B5:AI30"/>
  <sheetViews>
    <sheetView showGridLines="0" zoomScale="70" zoomScaleNormal="70" workbookViewId="0"/>
  </sheetViews>
  <sheetFormatPr defaultRowHeight="14.5" x14ac:dyDescent="0.35"/>
  <cols>
    <col min="2" max="2" width="23.6328125" style="130" bestFit="1" customWidth="1"/>
    <col min="3" max="3" width="8.90625" style="130" bestFit="1" customWidth="1"/>
    <col min="4" max="8" width="8.7265625" style="130"/>
    <col min="9" max="9" width="3.6328125" style="130" customWidth="1"/>
    <col min="10" max="10" width="23.6328125" style="130" bestFit="1" customWidth="1"/>
    <col min="11" max="11" width="8.90625" style="130" bestFit="1" customWidth="1"/>
    <col min="12" max="17" width="8.7265625" style="130"/>
    <col min="18" max="18" width="3.6328125" style="130" customWidth="1"/>
    <col min="19" max="19" width="23.6328125" style="130" bestFit="1" customWidth="1"/>
    <col min="20" max="20" width="8.90625" style="338" bestFit="1" customWidth="1"/>
    <col min="21" max="26" width="8.7265625" style="338"/>
    <col min="27" max="27" width="3.6328125" style="130" customWidth="1"/>
    <col min="28" max="28" width="23.26953125" style="130" bestFit="1" customWidth="1"/>
    <col min="29" max="34" width="8.7265625" style="130"/>
    <col min="35" max="35" width="8.7265625" style="338"/>
  </cols>
  <sheetData>
    <row r="5" spans="2:35" x14ac:dyDescent="0.35">
      <c r="B5" s="191" t="s">
        <v>522</v>
      </c>
      <c r="J5" s="191" t="s">
        <v>523</v>
      </c>
      <c r="S5" s="191" t="s">
        <v>524</v>
      </c>
      <c r="AB5" s="191" t="s">
        <v>484</v>
      </c>
    </row>
    <row r="6" spans="2:35" x14ac:dyDescent="0.35">
      <c r="B6" s="583" t="s">
        <v>525</v>
      </c>
      <c r="C6" s="584" t="s">
        <v>1</v>
      </c>
      <c r="D6" s="584" t="s">
        <v>2</v>
      </c>
      <c r="E6" s="584" t="s">
        <v>3</v>
      </c>
      <c r="F6" s="584" t="s">
        <v>4</v>
      </c>
      <c r="G6" s="584" t="s">
        <v>5</v>
      </c>
      <c r="H6" s="584" t="s">
        <v>6</v>
      </c>
      <c r="I6" s="339"/>
      <c r="J6" s="583" t="s">
        <v>526</v>
      </c>
      <c r="K6" s="584" t="s">
        <v>1</v>
      </c>
      <c r="L6" s="584" t="s">
        <v>2</v>
      </c>
      <c r="M6" s="584" t="s">
        <v>3</v>
      </c>
      <c r="N6" s="584" t="s">
        <v>4</v>
      </c>
      <c r="O6" s="584" t="s">
        <v>5</v>
      </c>
      <c r="P6" s="584" t="s">
        <v>6</v>
      </c>
      <c r="Q6" s="584" t="s">
        <v>7</v>
      </c>
      <c r="R6" s="339"/>
      <c r="S6" s="583" t="s">
        <v>527</v>
      </c>
      <c r="T6" s="584" t="s">
        <v>1</v>
      </c>
      <c r="U6" s="584" t="s">
        <v>2</v>
      </c>
      <c r="V6" s="584" t="s">
        <v>3</v>
      </c>
      <c r="W6" s="584" t="s">
        <v>4</v>
      </c>
      <c r="X6" s="584" t="s">
        <v>5</v>
      </c>
      <c r="Y6" s="584" t="s">
        <v>6</v>
      </c>
      <c r="Z6" s="584" t="s">
        <v>7</v>
      </c>
      <c r="AA6" s="339"/>
      <c r="AB6" s="583" t="s">
        <v>528</v>
      </c>
      <c r="AC6" s="584" t="s">
        <v>1</v>
      </c>
      <c r="AD6" s="584" t="s">
        <v>2</v>
      </c>
      <c r="AE6" s="584" t="s">
        <v>3</v>
      </c>
      <c r="AF6" s="584" t="s">
        <v>4</v>
      </c>
      <c r="AG6" s="584" t="s">
        <v>5</v>
      </c>
      <c r="AH6" s="584" t="s">
        <v>6</v>
      </c>
      <c r="AI6" s="584" t="s">
        <v>7</v>
      </c>
    </row>
    <row r="7" spans="2:35" x14ac:dyDescent="0.35">
      <c r="B7" s="340" t="s">
        <v>529</v>
      </c>
      <c r="C7" s="341">
        <v>469.613</v>
      </c>
      <c r="D7" s="341">
        <v>477.72699999999998</v>
      </c>
      <c r="E7" s="341">
        <v>63.308999999999997</v>
      </c>
      <c r="F7" s="341">
        <v>83.768000000000001</v>
      </c>
      <c r="G7" s="341">
        <v>-172.839</v>
      </c>
      <c r="H7" s="341">
        <v>-0.76400000000000001</v>
      </c>
      <c r="I7" s="342"/>
      <c r="J7" s="340" t="s">
        <v>529</v>
      </c>
      <c r="K7" s="341">
        <v>152.06700000000001</v>
      </c>
      <c r="L7" s="341">
        <v>473.245</v>
      </c>
      <c r="M7" s="341">
        <v>32.808</v>
      </c>
      <c r="N7" s="341">
        <v>104.116</v>
      </c>
      <c r="O7" s="341">
        <v>41.524999999999999</v>
      </c>
      <c r="P7" s="341">
        <v>-4.3150000000000004</v>
      </c>
      <c r="Q7" s="341">
        <v>-29.884</v>
      </c>
      <c r="R7" s="342"/>
      <c r="S7" s="340" t="s">
        <v>529</v>
      </c>
      <c r="T7" s="343">
        <v>197.619</v>
      </c>
      <c r="U7" s="343">
        <v>629.46100000000001</v>
      </c>
      <c r="V7" s="343">
        <v>87.078999999999994</v>
      </c>
      <c r="W7" s="343">
        <v>93.600999999999999</v>
      </c>
      <c r="X7" s="343">
        <v>-159.98500000000001</v>
      </c>
      <c r="Y7" s="343">
        <v>-6.4649999999999999</v>
      </c>
      <c r="Z7" s="343">
        <v>-627.01642000000004</v>
      </c>
      <c r="AA7" s="342"/>
      <c r="AB7" s="340" t="s">
        <v>529</v>
      </c>
      <c r="AC7" s="341">
        <v>240.70943700000004</v>
      </c>
      <c r="AD7" s="341">
        <v>847.99344899999994</v>
      </c>
      <c r="AE7" s="341">
        <v>74.567514000000159</v>
      </c>
      <c r="AF7" s="341">
        <v>141.71320500000007</v>
      </c>
      <c r="AG7" s="341">
        <v>-102.14475799999991</v>
      </c>
      <c r="AH7" s="341">
        <v>3.0142160000000149</v>
      </c>
      <c r="AI7" s="341">
        <v>-118.65256300000043</v>
      </c>
    </row>
    <row r="8" spans="2:35" x14ac:dyDescent="0.35">
      <c r="B8" s="344" t="s">
        <v>530</v>
      </c>
      <c r="C8" s="345">
        <v>-77.602999999999994</v>
      </c>
      <c r="D8" s="345">
        <v>10.5</v>
      </c>
      <c r="E8" s="345">
        <v>2.8929999999999998</v>
      </c>
      <c r="F8" s="345">
        <v>-10.625999999999999</v>
      </c>
      <c r="G8" s="345">
        <v>0</v>
      </c>
      <c r="H8" s="345">
        <v>0.53700000000000003</v>
      </c>
      <c r="I8" s="342"/>
      <c r="J8" s="344" t="s">
        <v>530</v>
      </c>
      <c r="K8" s="345">
        <v>9.5990000000000002</v>
      </c>
      <c r="L8" s="345">
        <v>-48.273000000000003</v>
      </c>
      <c r="M8" s="345">
        <v>-3.8359999999999999</v>
      </c>
      <c r="N8" s="345">
        <v>-18.422999999999998</v>
      </c>
      <c r="O8" s="345">
        <v>-0.53700000000000003</v>
      </c>
      <c r="P8" s="345">
        <v>-1.9390000000000001</v>
      </c>
      <c r="Q8" s="345">
        <v>-30.239000000000001</v>
      </c>
      <c r="R8" s="342"/>
      <c r="S8" s="344" t="s">
        <v>530</v>
      </c>
      <c r="T8" s="346">
        <v>-28.306000000000001</v>
      </c>
      <c r="U8" s="346">
        <v>-110.205</v>
      </c>
      <c r="V8" s="346">
        <v>-13.523999999999999</v>
      </c>
      <c r="W8" s="346">
        <v>-16.093</v>
      </c>
      <c r="X8" s="346">
        <v>0.53700000000000003</v>
      </c>
      <c r="Y8" s="346">
        <v>-4.2919999999999998</v>
      </c>
      <c r="Z8" s="346">
        <v>204.34314299999997</v>
      </c>
      <c r="AA8" s="342"/>
      <c r="AB8" s="344" t="s">
        <v>530</v>
      </c>
      <c r="AC8" s="345">
        <v>-38.075993000000004</v>
      </c>
      <c r="AD8" s="345">
        <v>-170.33980299999996</v>
      </c>
      <c r="AE8" s="345">
        <v>-12.681223999999997</v>
      </c>
      <c r="AF8" s="345">
        <v>-25.184036000000003</v>
      </c>
      <c r="AG8" s="345">
        <v>0</v>
      </c>
      <c r="AH8" s="345">
        <v>4.3202749999999996</v>
      </c>
      <c r="AI8" s="346">
        <v>39.953821000000005</v>
      </c>
    </row>
    <row r="9" spans="2:35" x14ac:dyDescent="0.35">
      <c r="B9" s="344" t="s">
        <v>531</v>
      </c>
      <c r="C9" s="345">
        <v>30.013000000000002</v>
      </c>
      <c r="D9" s="345">
        <v>-19.363</v>
      </c>
      <c r="E9" s="345">
        <v>-0.26800000000000002</v>
      </c>
      <c r="F9" s="345">
        <v>-0.52500000000000002</v>
      </c>
      <c r="G9" s="345">
        <v>0</v>
      </c>
      <c r="H9" s="345">
        <v>0</v>
      </c>
      <c r="I9" s="342"/>
      <c r="J9" s="344" t="s">
        <v>531</v>
      </c>
      <c r="K9" s="345">
        <v>14.19</v>
      </c>
      <c r="L9" s="345">
        <v>-34.554000000000002</v>
      </c>
      <c r="M9" s="345">
        <v>-4.6390000000000002</v>
      </c>
      <c r="N9" s="345">
        <v>9.7059999999999995</v>
      </c>
      <c r="O9" s="345">
        <v>0</v>
      </c>
      <c r="P9" s="345">
        <v>0</v>
      </c>
      <c r="Q9" s="345">
        <v>11.034000000000001</v>
      </c>
      <c r="R9" s="342"/>
      <c r="S9" s="344" t="s">
        <v>531</v>
      </c>
      <c r="T9" s="346">
        <v>-14.686999999999999</v>
      </c>
      <c r="U9" s="346">
        <v>-19.210999999999999</v>
      </c>
      <c r="V9" s="346">
        <v>4.9530000000000003</v>
      </c>
      <c r="W9" s="346">
        <v>8.7940000000000005</v>
      </c>
      <c r="X9" s="346">
        <v>0</v>
      </c>
      <c r="Y9" s="346">
        <v>0</v>
      </c>
      <c r="Z9" s="346">
        <v>184.962447</v>
      </c>
      <c r="AA9" s="342"/>
      <c r="AB9" s="344" t="s">
        <v>531</v>
      </c>
      <c r="AC9" s="345">
        <v>7.1210789999999999</v>
      </c>
      <c r="AD9" s="345">
        <v>90.904820999999998</v>
      </c>
      <c r="AE9" s="345">
        <v>7.2009590000000001</v>
      </c>
      <c r="AF9" s="345">
        <v>17.778063</v>
      </c>
      <c r="AG9" s="345">
        <v>0</v>
      </c>
      <c r="AH9" s="345">
        <v>0</v>
      </c>
      <c r="AI9" s="346">
        <v>-39.953821000000005</v>
      </c>
    </row>
    <row r="10" spans="2:35" x14ac:dyDescent="0.35">
      <c r="B10" s="344" t="s">
        <v>532</v>
      </c>
      <c r="C10" s="345">
        <v>-47.589999999999989</v>
      </c>
      <c r="D10" s="345">
        <v>-8.8629999999999995</v>
      </c>
      <c r="E10" s="345">
        <v>2.625</v>
      </c>
      <c r="F10" s="345">
        <v>-11.151</v>
      </c>
      <c r="G10" s="345">
        <v>0</v>
      </c>
      <c r="H10" s="345">
        <v>0.53700000000000003</v>
      </c>
      <c r="I10" s="342"/>
      <c r="J10" s="344" t="s">
        <v>532</v>
      </c>
      <c r="K10" s="345">
        <v>23.789000000000001</v>
      </c>
      <c r="L10" s="345">
        <v>-82.826999999999998</v>
      </c>
      <c r="M10" s="345">
        <v>-8.4749999999999996</v>
      </c>
      <c r="N10" s="345">
        <v>-8.7169999999999987</v>
      </c>
      <c r="O10" s="345">
        <v>-0.53700000000000003</v>
      </c>
      <c r="P10" s="345">
        <v>-1.9390000000000001</v>
      </c>
      <c r="Q10" s="345">
        <v>-19.204999999999998</v>
      </c>
      <c r="R10" s="342"/>
      <c r="S10" s="344" t="s">
        <v>532</v>
      </c>
      <c r="T10" s="346">
        <v>-42.993000000000002</v>
      </c>
      <c r="U10" s="346">
        <v>-129.416</v>
      </c>
      <c r="V10" s="346">
        <v>-8.570999999999998</v>
      </c>
      <c r="W10" s="346">
        <v>-7.2989999999999995</v>
      </c>
      <c r="X10" s="346">
        <v>0.53700000000000003</v>
      </c>
      <c r="Y10" s="346">
        <v>-4.2919999999999998</v>
      </c>
      <c r="Z10" s="346">
        <v>389.30558999999994</v>
      </c>
      <c r="AA10" s="342"/>
      <c r="AB10" s="344" t="s">
        <v>532</v>
      </c>
      <c r="AC10" s="345">
        <v>-30.954914000000002</v>
      </c>
      <c r="AD10" s="345">
        <v>-79.434981999999962</v>
      </c>
      <c r="AE10" s="345">
        <v>-5.4802649999999966</v>
      </c>
      <c r="AF10" s="345">
        <v>-7.405973000000003</v>
      </c>
      <c r="AG10" s="345">
        <v>0</v>
      </c>
      <c r="AH10" s="345">
        <v>4.3202749999999996</v>
      </c>
      <c r="AI10" s="346">
        <v>0</v>
      </c>
    </row>
    <row r="11" spans="2:35" x14ac:dyDescent="0.35">
      <c r="B11" s="340" t="s">
        <v>533</v>
      </c>
      <c r="C11" s="341">
        <f t="shared" ref="C11:H11" si="0">C10</f>
        <v>-47.589999999999989</v>
      </c>
      <c r="D11" s="341">
        <f t="shared" si="0"/>
        <v>-8.8629999999999995</v>
      </c>
      <c r="E11" s="341">
        <f t="shared" si="0"/>
        <v>2.625</v>
      </c>
      <c r="F11" s="341">
        <f t="shared" si="0"/>
        <v>-11.151</v>
      </c>
      <c r="G11" s="341">
        <f t="shared" si="0"/>
        <v>0</v>
      </c>
      <c r="H11" s="341">
        <f t="shared" si="0"/>
        <v>0.53700000000000003</v>
      </c>
      <c r="I11" s="342"/>
      <c r="J11" s="340" t="s">
        <v>533</v>
      </c>
      <c r="K11" s="341">
        <f t="shared" ref="K11:Q11" si="1">K10</f>
        <v>23.789000000000001</v>
      </c>
      <c r="L11" s="341">
        <f t="shared" si="1"/>
        <v>-82.826999999999998</v>
      </c>
      <c r="M11" s="341">
        <f t="shared" si="1"/>
        <v>-8.4749999999999996</v>
      </c>
      <c r="N11" s="341">
        <f t="shared" si="1"/>
        <v>-8.7169999999999987</v>
      </c>
      <c r="O11" s="341">
        <f t="shared" si="1"/>
        <v>-0.53700000000000003</v>
      </c>
      <c r="P11" s="341">
        <f t="shared" si="1"/>
        <v>-1.9390000000000001</v>
      </c>
      <c r="Q11" s="341">
        <f t="shared" si="1"/>
        <v>-19.204999999999998</v>
      </c>
      <c r="R11" s="342"/>
      <c r="S11" s="340" t="s">
        <v>533</v>
      </c>
      <c r="T11" s="341">
        <f t="shared" ref="T11:Z11" si="2">T10</f>
        <v>-42.993000000000002</v>
      </c>
      <c r="U11" s="341">
        <f t="shared" si="2"/>
        <v>-129.416</v>
      </c>
      <c r="V11" s="341">
        <f t="shared" si="2"/>
        <v>-8.570999999999998</v>
      </c>
      <c r="W11" s="341">
        <f t="shared" si="2"/>
        <v>-7.2989999999999995</v>
      </c>
      <c r="X11" s="341">
        <f t="shared" si="2"/>
        <v>0.53700000000000003</v>
      </c>
      <c r="Y11" s="341">
        <f t="shared" si="2"/>
        <v>-4.2919999999999998</v>
      </c>
      <c r="Z11" s="341">
        <f t="shared" si="2"/>
        <v>389.30558999999994</v>
      </c>
      <c r="AA11" s="342"/>
      <c r="AB11" s="340" t="s">
        <v>533</v>
      </c>
      <c r="AC11" s="341">
        <f t="shared" ref="AC11:AH11" si="3">AC10</f>
        <v>-30.954914000000002</v>
      </c>
      <c r="AD11" s="341">
        <f t="shared" si="3"/>
        <v>-79.434981999999962</v>
      </c>
      <c r="AE11" s="341">
        <f t="shared" si="3"/>
        <v>-5.4802649999999966</v>
      </c>
      <c r="AF11" s="341">
        <f t="shared" si="3"/>
        <v>-7.405973000000003</v>
      </c>
      <c r="AG11" s="341">
        <f t="shared" si="3"/>
        <v>0</v>
      </c>
      <c r="AH11" s="341">
        <f t="shared" si="3"/>
        <v>4.3202749999999996</v>
      </c>
      <c r="AI11" s="341"/>
    </row>
    <row r="12" spans="2:35" x14ac:dyDescent="0.35">
      <c r="B12" s="347"/>
      <c r="C12" s="347"/>
      <c r="D12" s="347"/>
      <c r="E12" s="347"/>
      <c r="F12" s="347"/>
      <c r="G12" s="347"/>
      <c r="H12" s="347"/>
      <c r="I12" s="339"/>
      <c r="J12" s="347"/>
      <c r="K12" s="347"/>
      <c r="L12" s="347"/>
      <c r="M12" s="347"/>
      <c r="N12" s="347"/>
      <c r="O12" s="347"/>
      <c r="P12" s="347"/>
      <c r="Q12" s="347"/>
      <c r="R12" s="339"/>
      <c r="S12" s="347"/>
      <c r="T12" s="348"/>
      <c r="U12" s="348"/>
      <c r="V12" s="348"/>
      <c r="W12" s="348"/>
      <c r="X12" s="348"/>
      <c r="Y12" s="348"/>
      <c r="Z12" s="348"/>
      <c r="AA12" s="339"/>
      <c r="AB12" s="347"/>
      <c r="AC12" s="347"/>
      <c r="AD12" s="347"/>
      <c r="AE12" s="347"/>
      <c r="AF12" s="347"/>
      <c r="AG12" s="347"/>
      <c r="AH12" s="347"/>
      <c r="AI12" s="348"/>
    </row>
    <row r="13" spans="2:35" x14ac:dyDescent="0.35">
      <c r="B13" s="340" t="s">
        <v>534</v>
      </c>
      <c r="C13" s="349">
        <f>(-C10/C7)</f>
        <v>0.10133876191672715</v>
      </c>
      <c r="D13" s="350">
        <f>-D10/D7</f>
        <v>1.8552436852009621E-2</v>
      </c>
      <c r="E13" s="351">
        <f>-E10/E7</f>
        <v>-4.1463299057006117E-2</v>
      </c>
      <c r="F13" s="351">
        <f>-F10/F7</f>
        <v>0.13311765829433675</v>
      </c>
      <c r="G13" s="349" t="s">
        <v>243</v>
      </c>
      <c r="H13" s="349" t="s">
        <v>243</v>
      </c>
      <c r="I13" s="342"/>
      <c r="J13" s="340" t="s">
        <v>534</v>
      </c>
      <c r="K13" s="349">
        <f>(-K10/K7)</f>
        <v>-0.15643762288991037</v>
      </c>
      <c r="L13" s="349">
        <f t="shared" ref="L13:Q13" si="4">(-L10/L7)</f>
        <v>0.17501928176737208</v>
      </c>
      <c r="M13" s="349">
        <f t="shared" si="4"/>
        <v>0.25832114118507682</v>
      </c>
      <c r="N13" s="349">
        <f t="shared" si="4"/>
        <v>8.3723923316301033E-2</v>
      </c>
      <c r="O13" s="349">
        <f t="shared" si="4"/>
        <v>1.2931968693558098E-2</v>
      </c>
      <c r="P13" s="349">
        <f t="shared" si="4"/>
        <v>-0.44936268829663961</v>
      </c>
      <c r="Q13" s="349">
        <f t="shared" si="4"/>
        <v>-0.64265158613304774</v>
      </c>
      <c r="R13" s="342"/>
      <c r="S13" s="340" t="s">
        <v>534</v>
      </c>
      <c r="T13" s="349">
        <f t="shared" ref="T13:Z13" si="5">(-T10/T7)</f>
        <v>0.21755499218192584</v>
      </c>
      <c r="U13" s="349">
        <f t="shared" si="5"/>
        <v>0.20559812283842843</v>
      </c>
      <c r="V13" s="349">
        <f t="shared" si="5"/>
        <v>9.8427864353058697E-2</v>
      </c>
      <c r="W13" s="349">
        <f t="shared" si="5"/>
        <v>7.7979936111793671E-2</v>
      </c>
      <c r="X13" s="349">
        <f t="shared" si="5"/>
        <v>3.3565646779385567E-3</v>
      </c>
      <c r="Y13" s="349">
        <f t="shared" si="5"/>
        <v>-0.66388244392884765</v>
      </c>
      <c r="Z13" s="349">
        <f t="shared" si="5"/>
        <v>0.62088579753621109</v>
      </c>
      <c r="AA13" s="342"/>
      <c r="AB13" s="340" t="s">
        <v>534</v>
      </c>
      <c r="AC13" s="349">
        <f>-AC10/AC7</f>
        <v>0.12859867226559962</v>
      </c>
      <c r="AD13" s="349">
        <f>-AD10/AD7</f>
        <v>9.3674051484329293E-2</v>
      </c>
      <c r="AE13" s="349">
        <f>-AE10/AE7</f>
        <v>7.349400169087017E-2</v>
      </c>
      <c r="AF13" s="349">
        <f>-AF10/AF7</f>
        <v>5.2260288658350501E-2</v>
      </c>
      <c r="AG13" s="349" t="s">
        <v>243</v>
      </c>
      <c r="AH13" s="349" t="s">
        <v>243</v>
      </c>
      <c r="AI13" s="349"/>
    </row>
    <row r="14" spans="2:35" x14ac:dyDescent="0.35">
      <c r="B14" s="347"/>
      <c r="C14" s="347"/>
      <c r="D14" s="347"/>
      <c r="E14" s="347"/>
      <c r="F14" s="347"/>
      <c r="G14" s="347"/>
      <c r="H14" s="347"/>
      <c r="I14" s="339"/>
      <c r="J14" s="347"/>
      <c r="K14" s="347"/>
      <c r="L14" s="347"/>
      <c r="M14" s="347"/>
      <c r="N14" s="347"/>
      <c r="O14" s="347"/>
      <c r="P14" s="347"/>
      <c r="Q14" s="347"/>
      <c r="R14" s="339"/>
      <c r="S14" s="347"/>
      <c r="T14" s="348"/>
      <c r="U14" s="348"/>
      <c r="V14" s="348"/>
      <c r="W14" s="348"/>
      <c r="X14" s="348"/>
      <c r="Y14" s="348"/>
      <c r="Z14" s="348"/>
      <c r="AA14" s="339"/>
      <c r="AB14" s="347"/>
      <c r="AC14" s="347"/>
      <c r="AD14" s="347"/>
      <c r="AE14" s="347"/>
      <c r="AF14" s="347"/>
      <c r="AG14" s="347"/>
      <c r="AH14" s="347"/>
      <c r="AI14" s="348"/>
    </row>
    <row r="15" spans="2:35" x14ac:dyDescent="0.35">
      <c r="B15" s="340" t="s">
        <v>535</v>
      </c>
      <c r="C15" s="341">
        <v>384</v>
      </c>
      <c r="D15" s="341">
        <v>475</v>
      </c>
      <c r="E15" s="341">
        <v>44.901155025996204</v>
      </c>
      <c r="F15" s="341">
        <v>82</v>
      </c>
      <c r="G15" s="341">
        <v>0</v>
      </c>
      <c r="H15" s="341">
        <v>18.011208459999899</v>
      </c>
      <c r="I15" s="352"/>
      <c r="J15" s="340" t="s">
        <v>535</v>
      </c>
      <c r="K15" s="341">
        <v>118</v>
      </c>
      <c r="L15" s="341">
        <v>573</v>
      </c>
      <c r="M15" s="341">
        <v>49.890205287996395</v>
      </c>
      <c r="N15" s="341">
        <v>76</v>
      </c>
      <c r="O15" s="341">
        <v>1.609</v>
      </c>
      <c r="P15" s="341">
        <v>5.8780000000000001</v>
      </c>
      <c r="Q15" s="341">
        <v>57</v>
      </c>
      <c r="R15" s="339"/>
      <c r="S15" s="340" t="s">
        <v>535</v>
      </c>
      <c r="T15" s="343">
        <v>256</v>
      </c>
      <c r="U15" s="343">
        <v>690.07267917999991</v>
      </c>
      <c r="V15" s="343">
        <v>77.131220733346893</v>
      </c>
      <c r="W15" s="343">
        <v>72.36552417</v>
      </c>
      <c r="X15" s="343">
        <v>-78</v>
      </c>
      <c r="Y15" s="343">
        <v>24</v>
      </c>
      <c r="Z15" s="343">
        <v>-431.51043559012402</v>
      </c>
      <c r="AA15" s="339"/>
      <c r="AB15" s="340" t="s">
        <v>535</v>
      </c>
      <c r="AC15" s="341">
        <v>202.38455683000402</v>
      </c>
      <c r="AD15" s="341">
        <v>566.39456560999304</v>
      </c>
      <c r="AE15" s="341">
        <v>52.2497657008158</v>
      </c>
      <c r="AF15" s="341">
        <v>88</v>
      </c>
      <c r="AG15" s="341">
        <v>-89</v>
      </c>
      <c r="AH15" s="341">
        <v>-13.0665713149995</v>
      </c>
      <c r="AI15" s="341">
        <v>-141.16900000000001</v>
      </c>
    </row>
    <row r="16" spans="2:35" x14ac:dyDescent="0.35">
      <c r="B16" s="347"/>
      <c r="C16" s="347"/>
      <c r="D16" s="347"/>
      <c r="E16" s="347"/>
      <c r="F16" s="347"/>
      <c r="G16" s="347"/>
      <c r="H16" s="347"/>
      <c r="I16" s="339"/>
      <c r="J16" s="347"/>
      <c r="K16" s="347"/>
      <c r="L16" s="347"/>
      <c r="M16" s="347"/>
      <c r="N16" s="347"/>
      <c r="O16" s="347"/>
      <c r="P16" s="347"/>
      <c r="Q16" s="347"/>
      <c r="R16" s="339"/>
      <c r="S16" s="347"/>
      <c r="T16" s="348"/>
      <c r="U16" s="348"/>
      <c r="V16" s="348"/>
      <c r="W16" s="348"/>
      <c r="X16" s="348"/>
      <c r="Y16" s="348"/>
      <c r="Z16" s="348"/>
      <c r="AA16" s="339"/>
      <c r="AB16" s="347"/>
      <c r="AC16" s="347"/>
      <c r="AD16" s="347"/>
      <c r="AE16" s="347"/>
      <c r="AF16" s="347"/>
      <c r="AG16" s="347"/>
      <c r="AH16" s="347"/>
      <c r="AI16" s="348"/>
    </row>
    <row r="17" spans="2:35" x14ac:dyDescent="0.35">
      <c r="B17" s="340" t="s">
        <v>536</v>
      </c>
      <c r="C17" s="350">
        <f>(C11/C15)*-1</f>
        <v>0.12393229166666664</v>
      </c>
      <c r="D17" s="350">
        <f>(D11/D15)*-1</f>
        <v>1.8658947368421053E-2</v>
      </c>
      <c r="E17" s="350">
        <f>(E11/E15)*-1</f>
        <v>-5.8461747776426161E-2</v>
      </c>
      <c r="F17" s="350">
        <f>(F11/F15)*-1</f>
        <v>0.13598780487804879</v>
      </c>
      <c r="G17" s="350">
        <v>0</v>
      </c>
      <c r="H17" s="350">
        <f>(H11/H15)*-1</f>
        <v>-2.981476790924905E-2</v>
      </c>
      <c r="I17" s="353"/>
      <c r="J17" s="340" t="s">
        <v>536</v>
      </c>
      <c r="K17" s="350">
        <f>(K11/K15)*-1</f>
        <v>-0.20160169491525426</v>
      </c>
      <c r="L17" s="350">
        <f t="shared" ref="L17:Q17" si="6">(L11/L15)*-1</f>
        <v>0.14454973821989528</v>
      </c>
      <c r="M17" s="350">
        <f t="shared" si="6"/>
        <v>0.16987302319317352</v>
      </c>
      <c r="N17" s="350">
        <f t="shared" si="6"/>
        <v>0.11469736842105262</v>
      </c>
      <c r="O17" s="350">
        <f t="shared" si="6"/>
        <v>0.33374766935985084</v>
      </c>
      <c r="P17" s="350">
        <f t="shared" si="6"/>
        <v>0.32987410683906093</v>
      </c>
      <c r="Q17" s="350">
        <f t="shared" si="6"/>
        <v>0.33692982456140347</v>
      </c>
      <c r="R17" s="353"/>
      <c r="S17" s="340" t="s">
        <v>536</v>
      </c>
      <c r="T17" s="350">
        <f t="shared" ref="T17:Z17" si="7">(T11/T15)*-1</f>
        <v>0.16794140625000001</v>
      </c>
      <c r="U17" s="350">
        <f t="shared" si="7"/>
        <v>0.18753966633454108</v>
      </c>
      <c r="V17" s="350">
        <f t="shared" si="7"/>
        <v>0.11112231750656597</v>
      </c>
      <c r="W17" s="350">
        <f t="shared" si="7"/>
        <v>0.10086294659945112</v>
      </c>
      <c r="X17" s="350">
        <f t="shared" si="7"/>
        <v>6.8846153846153849E-3</v>
      </c>
      <c r="Y17" s="350">
        <f t="shared" si="7"/>
        <v>0.17883333333333332</v>
      </c>
      <c r="Z17" s="350">
        <f t="shared" si="7"/>
        <v>0.90219275802123844</v>
      </c>
      <c r="AA17" s="353"/>
      <c r="AB17" s="340" t="s">
        <v>536</v>
      </c>
      <c r="AC17" s="350">
        <f>(AC11/AC15)*-1</f>
        <v>0.15295096861565902</v>
      </c>
      <c r="AD17" s="350">
        <f>(AD11/AD15)*-1</f>
        <v>0.14024672343819267</v>
      </c>
      <c r="AE17" s="350">
        <f>(AE11/AE15)*-1</f>
        <v>0.10488592487438524</v>
      </c>
      <c r="AF17" s="350">
        <f>(AF11/AF15)*-1</f>
        <v>8.4158784090909128E-2</v>
      </c>
      <c r="AG17" s="350">
        <v>0</v>
      </c>
      <c r="AH17" s="350">
        <v>0</v>
      </c>
      <c r="AI17" s="350">
        <f>(AI11/AI15)*-1</f>
        <v>0</v>
      </c>
    </row>
    <row r="18" spans="2:35" x14ac:dyDescent="0.35">
      <c r="B18" s="354"/>
      <c r="C18" s="355" t="s">
        <v>537</v>
      </c>
      <c r="D18" s="355" t="s">
        <v>537</v>
      </c>
      <c r="E18" s="355" t="s">
        <v>537</v>
      </c>
      <c r="F18" s="355"/>
      <c r="G18" s="355"/>
      <c r="H18" s="355"/>
      <c r="I18" s="356"/>
      <c r="J18" s="354"/>
      <c r="K18" s="355" t="s">
        <v>537</v>
      </c>
      <c r="L18" s="355" t="s">
        <v>537</v>
      </c>
      <c r="M18" s="355" t="s">
        <v>537</v>
      </c>
      <c r="N18" s="355"/>
      <c r="O18" s="355"/>
      <c r="P18" s="355"/>
      <c r="Q18" s="355"/>
      <c r="R18" s="356"/>
      <c r="S18" s="355"/>
      <c r="T18" s="355"/>
      <c r="U18" s="355"/>
      <c r="V18" s="355"/>
      <c r="W18" s="355"/>
      <c r="X18" s="355"/>
      <c r="Y18" s="355"/>
      <c r="Z18" s="355"/>
      <c r="AA18" s="356"/>
      <c r="AB18" s="354"/>
      <c r="AC18" s="355"/>
      <c r="AD18" s="355"/>
      <c r="AE18" s="355"/>
      <c r="AF18" s="355"/>
      <c r="AG18" s="355"/>
      <c r="AH18" s="355"/>
      <c r="AI18" s="355"/>
    </row>
    <row r="19" spans="2:35" x14ac:dyDescent="0.35">
      <c r="B19" s="583" t="s">
        <v>538</v>
      </c>
      <c r="C19" s="584" t="s">
        <v>1</v>
      </c>
      <c r="D19" s="584" t="s">
        <v>2</v>
      </c>
      <c r="E19" s="584" t="s">
        <v>3</v>
      </c>
      <c r="F19" s="584" t="s">
        <v>4</v>
      </c>
      <c r="G19" s="584" t="s">
        <v>5</v>
      </c>
      <c r="H19" s="584" t="s">
        <v>6</v>
      </c>
      <c r="I19" s="339"/>
      <c r="J19" s="583" t="s">
        <v>539</v>
      </c>
      <c r="K19" s="584" t="s">
        <v>1</v>
      </c>
      <c r="L19" s="584" t="s">
        <v>2</v>
      </c>
      <c r="M19" s="584" t="s">
        <v>3</v>
      </c>
      <c r="N19" s="584" t="s">
        <v>4</v>
      </c>
      <c r="O19" s="584" t="s">
        <v>5</v>
      </c>
      <c r="P19" s="584" t="s">
        <v>6</v>
      </c>
      <c r="Q19" s="584" t="s">
        <v>7</v>
      </c>
      <c r="R19" s="339"/>
      <c r="S19" s="583" t="s">
        <v>540</v>
      </c>
      <c r="T19" s="584" t="s">
        <v>1</v>
      </c>
      <c r="U19" s="584" t="s">
        <v>2</v>
      </c>
      <c r="V19" s="584" t="s">
        <v>3</v>
      </c>
      <c r="W19" s="584" t="s">
        <v>4</v>
      </c>
      <c r="X19" s="584" t="s">
        <v>5</v>
      </c>
      <c r="Y19" s="584" t="s">
        <v>6</v>
      </c>
      <c r="Z19" s="584" t="s">
        <v>7</v>
      </c>
      <c r="AA19" s="339"/>
      <c r="AB19" s="583" t="s">
        <v>541</v>
      </c>
      <c r="AC19" s="584" t="s">
        <v>1</v>
      </c>
      <c r="AD19" s="584" t="s">
        <v>2</v>
      </c>
      <c r="AE19" s="584" t="s">
        <v>3</v>
      </c>
      <c r="AF19" s="584" t="s">
        <v>4</v>
      </c>
      <c r="AG19" s="584" t="s">
        <v>5</v>
      </c>
      <c r="AH19" s="584" t="s">
        <v>6</v>
      </c>
      <c r="AI19" s="584" t="s">
        <v>7</v>
      </c>
    </row>
    <row r="20" spans="2:35" x14ac:dyDescent="0.35">
      <c r="B20" s="340" t="s">
        <v>529</v>
      </c>
      <c r="C20" s="341">
        <v>407.07100000000003</v>
      </c>
      <c r="D20" s="341">
        <v>389.99099999999999</v>
      </c>
      <c r="E20" s="341">
        <v>256.09100000000001</v>
      </c>
      <c r="F20" s="341">
        <v>266.19900000000001</v>
      </c>
      <c r="G20" s="341">
        <v>348.86200000000002</v>
      </c>
      <c r="H20" s="341">
        <v>-49.906999999999996</v>
      </c>
      <c r="I20" s="342"/>
      <c r="J20" s="340" t="s">
        <v>529</v>
      </c>
      <c r="K20" s="341">
        <v>161.93600000000001</v>
      </c>
      <c r="L20" s="341">
        <v>381.93400000000003</v>
      </c>
      <c r="M20" s="341">
        <v>70.808000000000007</v>
      </c>
      <c r="N20" s="341">
        <v>92.337000000000003</v>
      </c>
      <c r="O20" s="341">
        <v>16.425999999999998</v>
      </c>
      <c r="P20" s="341">
        <v>170.941</v>
      </c>
      <c r="Q20" s="341">
        <v>-4.3150000000000004</v>
      </c>
      <c r="R20" s="342"/>
      <c r="S20" s="340" t="s">
        <v>529</v>
      </c>
      <c r="T20" s="343">
        <v>-1.66</v>
      </c>
      <c r="U20" s="343">
        <v>475.51900000000001</v>
      </c>
      <c r="V20" s="343">
        <v>31.629000000000001</v>
      </c>
      <c r="W20" s="343">
        <v>123.61199999999999</v>
      </c>
      <c r="X20" s="343">
        <v>-99.543000000000006</v>
      </c>
      <c r="Y20" s="343">
        <v>115.58</v>
      </c>
      <c r="Z20" s="343">
        <v>-6.4649999999999999</v>
      </c>
      <c r="AA20" s="342"/>
      <c r="AB20" s="340" t="s">
        <v>529</v>
      </c>
      <c r="AC20" s="341">
        <v>110.30676699999985</v>
      </c>
      <c r="AD20" s="341">
        <v>400.52553299999994</v>
      </c>
      <c r="AE20" s="341">
        <v>88.860734999999934</v>
      </c>
      <c r="AF20" s="341">
        <v>89.397297999999907</v>
      </c>
      <c r="AG20" s="341">
        <v>-10.21904500000015</v>
      </c>
      <c r="AH20" s="341">
        <v>214.33554600000002</v>
      </c>
      <c r="AI20" s="341">
        <v>-216.09100899999942</v>
      </c>
    </row>
    <row r="21" spans="2:35" x14ac:dyDescent="0.35">
      <c r="B21" s="344" t="s">
        <v>530</v>
      </c>
      <c r="C21" s="345">
        <v>-69.253</v>
      </c>
      <c r="D21" s="345">
        <v>-74.867999999999995</v>
      </c>
      <c r="E21" s="345">
        <v>-79.245000000000005</v>
      </c>
      <c r="F21" s="345">
        <v>-64.447000000000003</v>
      </c>
      <c r="G21" s="345">
        <v>0</v>
      </c>
      <c r="H21" s="345">
        <v>0</v>
      </c>
      <c r="I21" s="345"/>
      <c r="J21" s="344" t="s">
        <v>530</v>
      </c>
      <c r="K21" s="345">
        <v>-28.838999999999999</v>
      </c>
      <c r="L21" s="345">
        <v>-67.131</v>
      </c>
      <c r="M21" s="345">
        <v>-3.286</v>
      </c>
      <c r="N21" s="345">
        <v>-18.765000000000001</v>
      </c>
      <c r="O21" s="345">
        <v>0</v>
      </c>
      <c r="P21" s="345">
        <v>0</v>
      </c>
      <c r="Q21" s="345">
        <v>0</v>
      </c>
      <c r="R21" s="345"/>
      <c r="S21" s="344" t="s">
        <v>530</v>
      </c>
      <c r="T21" s="346">
        <v>31.75</v>
      </c>
      <c r="U21" s="346">
        <v>-90.266999999999996</v>
      </c>
      <c r="V21" s="346">
        <v>-11.868</v>
      </c>
      <c r="W21" s="346">
        <v>-26.364999999999998</v>
      </c>
      <c r="X21" s="346">
        <v>-1.492</v>
      </c>
      <c r="Y21" s="346">
        <v>-7.0119999999999996</v>
      </c>
      <c r="Z21" s="346">
        <v>0</v>
      </c>
      <c r="AA21" s="345"/>
      <c r="AB21" s="344" t="s">
        <v>530</v>
      </c>
      <c r="AC21" s="345">
        <v>-17.358720000000002</v>
      </c>
      <c r="AD21" s="345">
        <v>-32.410831000000009</v>
      </c>
      <c r="AE21" s="345">
        <v>-17.084656000000003</v>
      </c>
      <c r="AF21" s="345">
        <v>-13.609620000000003</v>
      </c>
      <c r="AG21" s="345">
        <v>1.4916689999999999</v>
      </c>
      <c r="AH21" s="345">
        <v>-43.355927999999999</v>
      </c>
      <c r="AI21" s="346">
        <v>70.144762999999998</v>
      </c>
    </row>
    <row r="22" spans="2:35" x14ac:dyDescent="0.35">
      <c r="B22" s="344" t="s">
        <v>531</v>
      </c>
      <c r="C22" s="345">
        <v>76.998000000000005</v>
      </c>
      <c r="D22" s="345">
        <v>40.953000000000003</v>
      </c>
      <c r="E22" s="345">
        <v>83.093000000000004</v>
      </c>
      <c r="F22" s="345">
        <v>58.091000000000001</v>
      </c>
      <c r="G22" s="345">
        <v>0</v>
      </c>
      <c r="H22" s="345">
        <v>0</v>
      </c>
      <c r="I22" s="345"/>
      <c r="J22" s="344" t="s">
        <v>531</v>
      </c>
      <c r="K22" s="345">
        <v>4.2590000000000003</v>
      </c>
      <c r="L22" s="345">
        <v>-40.426000000000002</v>
      </c>
      <c r="M22" s="345">
        <v>-24.07</v>
      </c>
      <c r="N22" s="345">
        <v>15.528</v>
      </c>
      <c r="O22" s="345">
        <v>0</v>
      </c>
      <c r="P22" s="345">
        <v>0</v>
      </c>
      <c r="Q22" s="345">
        <v>0</v>
      </c>
      <c r="R22" s="345"/>
      <c r="S22" s="344" t="s">
        <v>531</v>
      </c>
      <c r="T22" s="346">
        <v>0.17399999999999999</v>
      </c>
      <c r="U22" s="346">
        <v>42.357999999999997</v>
      </c>
      <c r="V22" s="346">
        <v>9.0389999999999997</v>
      </c>
      <c r="W22" s="346">
        <v>19.265000000000001</v>
      </c>
      <c r="X22" s="346">
        <v>0</v>
      </c>
      <c r="Y22" s="346">
        <v>0</v>
      </c>
      <c r="Z22" s="346">
        <v>0</v>
      </c>
      <c r="AA22" s="345"/>
      <c r="AB22" s="344" t="s">
        <v>531</v>
      </c>
      <c r="AC22" s="345">
        <v>5.6149290000000001</v>
      </c>
      <c r="AD22" s="345">
        <v>-69.868547000000007</v>
      </c>
      <c r="AE22" s="345">
        <v>10.602786</v>
      </c>
      <c r="AF22" s="345">
        <v>7.7704719999999998</v>
      </c>
      <c r="AG22" s="345">
        <v>0</v>
      </c>
      <c r="AH22" s="345">
        <v>0</v>
      </c>
      <c r="AI22" s="346">
        <v>-61.151951999999994</v>
      </c>
    </row>
    <row r="23" spans="2:35" x14ac:dyDescent="0.35">
      <c r="B23" s="344" t="s">
        <v>532</v>
      </c>
      <c r="C23" s="345">
        <v>7.7450000000000045</v>
      </c>
      <c r="D23" s="345">
        <v>-33.914999999999992</v>
      </c>
      <c r="E23" s="345">
        <v>3.847999999999999</v>
      </c>
      <c r="F23" s="345">
        <v>-6.3560000000000016</v>
      </c>
      <c r="G23" s="345">
        <v>0</v>
      </c>
      <c r="H23" s="345">
        <v>0</v>
      </c>
      <c r="I23" s="345"/>
      <c r="J23" s="344" t="s">
        <v>532</v>
      </c>
      <c r="K23" s="345">
        <v>-24.58</v>
      </c>
      <c r="L23" s="345">
        <v>-107.557</v>
      </c>
      <c r="M23" s="345">
        <v>-27.356000000000002</v>
      </c>
      <c r="N23" s="345">
        <v>-3.2370000000000001</v>
      </c>
      <c r="O23" s="345">
        <v>0</v>
      </c>
      <c r="P23" s="345">
        <v>0</v>
      </c>
      <c r="Q23" s="345">
        <v>0</v>
      </c>
      <c r="R23" s="345"/>
      <c r="S23" s="344" t="s">
        <v>532</v>
      </c>
      <c r="T23" s="346">
        <v>31.923999999999999</v>
      </c>
      <c r="U23" s="346">
        <v>-47.908999999999999</v>
      </c>
      <c r="V23" s="346">
        <v>-2.8290000000000006</v>
      </c>
      <c r="W23" s="346">
        <v>-7.0999999999999979</v>
      </c>
      <c r="X23" s="346">
        <v>-1.492</v>
      </c>
      <c r="Y23" s="346">
        <v>-7.0119999999999996</v>
      </c>
      <c r="Z23" s="346">
        <v>0</v>
      </c>
      <c r="AA23" s="345"/>
      <c r="AB23" s="344" t="s">
        <v>532</v>
      </c>
      <c r="AC23" s="345">
        <v>-11.743791000000002</v>
      </c>
      <c r="AD23" s="345">
        <v>-102.27937800000001</v>
      </c>
      <c r="AE23" s="345">
        <v>-6.4818700000000025</v>
      </c>
      <c r="AF23" s="345">
        <v>-5.8391480000000033</v>
      </c>
      <c r="AG23" s="345">
        <v>1.4916689999999999</v>
      </c>
      <c r="AH23" s="345">
        <v>-43.355927999999999</v>
      </c>
      <c r="AI23" s="346">
        <v>8.9928110000000032</v>
      </c>
    </row>
    <row r="24" spans="2:35" x14ac:dyDescent="0.35">
      <c r="B24" s="340" t="s">
        <v>533</v>
      </c>
      <c r="C24" s="341">
        <f>C23</f>
        <v>7.7450000000000045</v>
      </c>
      <c r="D24" s="341">
        <f>D23</f>
        <v>-33.914999999999992</v>
      </c>
      <c r="E24" s="341">
        <f>E23</f>
        <v>3.847999999999999</v>
      </c>
      <c r="F24" s="341">
        <f>F23</f>
        <v>-6.3560000000000016</v>
      </c>
      <c r="G24" s="341">
        <f>G23</f>
        <v>0</v>
      </c>
      <c r="H24" s="341">
        <v>0</v>
      </c>
      <c r="I24" s="342"/>
      <c r="J24" s="340" t="s">
        <v>533</v>
      </c>
      <c r="K24" s="341">
        <f>K23</f>
        <v>-24.58</v>
      </c>
      <c r="L24" s="341">
        <f>L23</f>
        <v>-107.557</v>
      </c>
      <c r="M24" s="341">
        <f>M23</f>
        <v>-27.356000000000002</v>
      </c>
      <c r="N24" s="341">
        <f>N23</f>
        <v>-3.2370000000000001</v>
      </c>
      <c r="O24" s="341">
        <f>O23</f>
        <v>0</v>
      </c>
      <c r="P24" s="341">
        <v>0</v>
      </c>
      <c r="Q24" s="341">
        <v>0</v>
      </c>
      <c r="R24" s="342"/>
      <c r="S24" s="340" t="s">
        <v>533</v>
      </c>
      <c r="T24" s="343">
        <f>T23</f>
        <v>31.923999999999999</v>
      </c>
      <c r="U24" s="343">
        <f t="shared" ref="U24:Z24" si="8">U23</f>
        <v>-47.908999999999999</v>
      </c>
      <c r="V24" s="343">
        <f t="shared" si="8"/>
        <v>-2.8290000000000006</v>
      </c>
      <c r="W24" s="343">
        <f t="shared" si="8"/>
        <v>-7.0999999999999979</v>
      </c>
      <c r="X24" s="343">
        <f t="shared" si="8"/>
        <v>-1.492</v>
      </c>
      <c r="Y24" s="343">
        <f t="shared" si="8"/>
        <v>-7.0119999999999996</v>
      </c>
      <c r="Z24" s="343">
        <f t="shared" si="8"/>
        <v>0</v>
      </c>
      <c r="AA24" s="342"/>
      <c r="AB24" s="340" t="s">
        <v>533</v>
      </c>
      <c r="AC24" s="341">
        <f t="shared" ref="AC24:AG24" si="9">AC23</f>
        <v>-11.743791000000002</v>
      </c>
      <c r="AD24" s="341">
        <f t="shared" si="9"/>
        <v>-102.27937800000001</v>
      </c>
      <c r="AE24" s="341">
        <f t="shared" si="9"/>
        <v>-6.4818700000000025</v>
      </c>
      <c r="AF24" s="341">
        <f t="shared" si="9"/>
        <v>-5.8391480000000033</v>
      </c>
      <c r="AG24" s="341">
        <f t="shared" si="9"/>
        <v>1.4916689999999999</v>
      </c>
      <c r="AH24" s="341" t="s">
        <v>243</v>
      </c>
      <c r="AI24" s="341" t="s">
        <v>243</v>
      </c>
    </row>
    <row r="25" spans="2:35" x14ac:dyDescent="0.35">
      <c r="B25" s="347"/>
      <c r="C25" s="347"/>
      <c r="D25" s="347"/>
      <c r="E25" s="347"/>
      <c r="F25" s="347"/>
      <c r="G25" s="347"/>
      <c r="H25" s="347"/>
      <c r="I25" s="339"/>
      <c r="J25" s="347"/>
      <c r="K25" s="347"/>
      <c r="L25" s="347"/>
      <c r="M25" s="347"/>
      <c r="N25" s="347"/>
      <c r="O25" s="347"/>
      <c r="P25" s="347"/>
      <c r="Q25" s="347"/>
      <c r="R25" s="339"/>
      <c r="S25" s="347"/>
      <c r="T25" s="348"/>
      <c r="U25" s="348"/>
      <c r="V25" s="348"/>
      <c r="W25" s="348"/>
      <c r="X25" s="348"/>
      <c r="Y25" s="348"/>
      <c r="Z25" s="348"/>
      <c r="AA25" s="339"/>
      <c r="AB25" s="347"/>
      <c r="AC25" s="347"/>
      <c r="AD25" s="347"/>
      <c r="AE25" s="347"/>
      <c r="AF25" s="347"/>
      <c r="AG25" s="347"/>
      <c r="AH25" s="347"/>
      <c r="AI25" s="348"/>
    </row>
    <row r="26" spans="2:35" x14ac:dyDescent="0.35">
      <c r="B26" s="340" t="s">
        <v>534</v>
      </c>
      <c r="C26" s="350">
        <f>-C24/C20</f>
        <v>-1.9026164968764674E-2</v>
      </c>
      <c r="D26" s="350">
        <f>-D24/D20</f>
        <v>8.6963545312584115E-2</v>
      </c>
      <c r="E26" s="350">
        <f>-E24/E20</f>
        <v>-1.5025908758995822E-2</v>
      </c>
      <c r="F26" s="350">
        <f>-F24/F20</f>
        <v>2.387687406789658E-2</v>
      </c>
      <c r="G26" s="349" t="s">
        <v>243</v>
      </c>
      <c r="H26" s="349" t="s">
        <v>243</v>
      </c>
      <c r="I26" s="342"/>
      <c r="J26" s="340" t="s">
        <v>534</v>
      </c>
      <c r="K26" s="350">
        <f>-K24/K20</f>
        <v>0.15178836083390967</v>
      </c>
      <c r="L26" s="350">
        <f t="shared" ref="L26:Q26" si="10">-L24/L20</f>
        <v>0.28161148261217905</v>
      </c>
      <c r="M26" s="350">
        <f t="shared" si="10"/>
        <v>0.38634052649418144</v>
      </c>
      <c r="N26" s="350">
        <f t="shared" si="10"/>
        <v>3.5056369602651155E-2</v>
      </c>
      <c r="O26" s="350">
        <f t="shared" si="10"/>
        <v>0</v>
      </c>
      <c r="P26" s="350">
        <f t="shared" si="10"/>
        <v>0</v>
      </c>
      <c r="Q26" s="350">
        <f t="shared" si="10"/>
        <v>0</v>
      </c>
      <c r="R26" s="342"/>
      <c r="S26" s="340" t="s">
        <v>534</v>
      </c>
      <c r="T26" s="350">
        <f t="shared" ref="T26:Z26" si="11">-T24/T20</f>
        <v>19.231325301204819</v>
      </c>
      <c r="U26" s="350">
        <f t="shared" si="11"/>
        <v>0.10075096894130413</v>
      </c>
      <c r="V26" s="350">
        <f t="shared" si="11"/>
        <v>8.944323247652472E-2</v>
      </c>
      <c r="W26" s="350">
        <f t="shared" si="11"/>
        <v>5.7437789211403412E-2</v>
      </c>
      <c r="X26" s="350">
        <f t="shared" si="11"/>
        <v>-1.4988497433270043E-2</v>
      </c>
      <c r="Y26" s="350">
        <f t="shared" si="11"/>
        <v>6.0667935629001551E-2</v>
      </c>
      <c r="Z26" s="350">
        <f t="shared" si="11"/>
        <v>0</v>
      </c>
      <c r="AA26" s="342"/>
      <c r="AB26" s="340" t="s">
        <v>534</v>
      </c>
      <c r="AC26" s="350">
        <f>-AC24/AC20</f>
        <v>0.10646482821856267</v>
      </c>
      <c r="AD26" s="350">
        <f>-AD24/AD20</f>
        <v>0.25536294086899081</v>
      </c>
      <c r="AE26" s="350">
        <f>-AE24/AE20</f>
        <v>7.2944141189019054E-2</v>
      </c>
      <c r="AF26" s="350">
        <f>-AF24/AF20</f>
        <v>6.5316828703256891E-2</v>
      </c>
      <c r="AG26" s="350" t="s">
        <v>243</v>
      </c>
      <c r="AH26" s="350" t="s">
        <v>243</v>
      </c>
      <c r="AI26" s="350" t="s">
        <v>243</v>
      </c>
    </row>
    <row r="27" spans="2:35" x14ac:dyDescent="0.35">
      <c r="B27" s="347"/>
      <c r="C27" s="347"/>
      <c r="D27" s="347"/>
      <c r="E27" s="347"/>
      <c r="F27" s="347"/>
      <c r="G27" s="347"/>
      <c r="H27" s="347"/>
      <c r="I27" s="339"/>
      <c r="J27" s="347"/>
      <c r="K27" s="347"/>
      <c r="L27" s="347"/>
      <c r="M27" s="347"/>
      <c r="N27" s="347"/>
      <c r="O27" s="347"/>
      <c r="P27" s="347"/>
      <c r="Q27" s="347"/>
      <c r="R27" s="339"/>
      <c r="S27" s="347"/>
      <c r="T27" s="348"/>
      <c r="U27" s="348"/>
      <c r="V27" s="348"/>
      <c r="W27" s="348"/>
      <c r="X27" s="348"/>
      <c r="Y27" s="348"/>
      <c r="Z27" s="348"/>
      <c r="AA27" s="339"/>
      <c r="AB27" s="347"/>
      <c r="AC27" s="347"/>
      <c r="AD27" s="347"/>
      <c r="AE27" s="347"/>
      <c r="AF27" s="347"/>
      <c r="AG27" s="347"/>
      <c r="AH27" s="347"/>
      <c r="AI27" s="348"/>
    </row>
    <row r="28" spans="2:35" x14ac:dyDescent="0.35">
      <c r="B28" s="340" t="s">
        <v>535</v>
      </c>
      <c r="C28" s="341">
        <v>178</v>
      </c>
      <c r="D28" s="341">
        <v>275</v>
      </c>
      <c r="E28" s="341">
        <v>12.6067185999971</v>
      </c>
      <c r="F28" s="341">
        <v>102.70964538</v>
      </c>
      <c r="G28" s="341">
        <v>0</v>
      </c>
      <c r="H28" s="341">
        <v>0</v>
      </c>
      <c r="I28" s="342"/>
      <c r="J28" s="340" t="s">
        <v>535</v>
      </c>
      <c r="K28" s="341">
        <v>0</v>
      </c>
      <c r="L28" s="341">
        <v>0</v>
      </c>
      <c r="M28" s="341">
        <v>0</v>
      </c>
      <c r="N28" s="341">
        <v>0</v>
      </c>
      <c r="O28" s="341">
        <v>0</v>
      </c>
      <c r="P28" s="341">
        <v>0</v>
      </c>
      <c r="Q28" s="341">
        <v>0</v>
      </c>
      <c r="R28" s="342"/>
      <c r="S28" s="340" t="s">
        <v>535</v>
      </c>
      <c r="T28" s="343">
        <v>-69.899123169999996</v>
      </c>
      <c r="U28" s="343">
        <v>362.48499036999999</v>
      </c>
      <c r="V28" s="343">
        <v>31.07115027</v>
      </c>
      <c r="W28" s="343">
        <v>79.200691400000011</v>
      </c>
      <c r="X28" s="343">
        <v>-65.914938039999996</v>
      </c>
      <c r="Y28" s="343">
        <v>41.231027600000004</v>
      </c>
      <c r="Z28" s="343">
        <v>0</v>
      </c>
      <c r="AA28" s="342"/>
      <c r="AB28" s="340" t="s">
        <v>535</v>
      </c>
      <c r="AC28" s="341">
        <v>117.961748345449</v>
      </c>
      <c r="AD28" s="341">
        <v>612.77599999999995</v>
      </c>
      <c r="AE28" s="341">
        <v>60.052914704999701</v>
      </c>
      <c r="AF28" s="341">
        <v>68.084844500416281</v>
      </c>
      <c r="AG28" s="341">
        <v>0</v>
      </c>
      <c r="AH28" s="341">
        <v>141.926991598</v>
      </c>
      <c r="AI28" s="341">
        <v>0</v>
      </c>
    </row>
    <row r="29" spans="2:35" x14ac:dyDescent="0.35">
      <c r="B29" s="347"/>
      <c r="C29" s="347"/>
      <c r="D29" s="347"/>
      <c r="E29" s="347"/>
      <c r="F29" s="347"/>
      <c r="G29" s="347"/>
      <c r="H29" s="347"/>
      <c r="I29" s="339"/>
      <c r="J29" s="347"/>
      <c r="K29" s="347"/>
      <c r="L29" s="347"/>
      <c r="M29" s="347"/>
      <c r="N29" s="347"/>
      <c r="O29" s="347"/>
      <c r="P29" s="347"/>
      <c r="Q29" s="347"/>
      <c r="R29" s="339"/>
      <c r="S29" s="347"/>
      <c r="T29" s="348"/>
      <c r="U29" s="348"/>
      <c r="V29" s="348"/>
      <c r="W29" s="348"/>
      <c r="X29" s="348"/>
      <c r="Y29" s="348"/>
      <c r="Z29" s="348"/>
      <c r="AA29" s="339"/>
      <c r="AB29" s="347"/>
      <c r="AC29" s="347"/>
      <c r="AD29" s="347"/>
      <c r="AE29" s="347"/>
      <c r="AF29" s="347"/>
      <c r="AG29" s="347"/>
      <c r="AH29" s="347"/>
      <c r="AI29" s="348"/>
    </row>
    <row r="30" spans="2:35" x14ac:dyDescent="0.35">
      <c r="B30" s="340" t="s">
        <v>536</v>
      </c>
      <c r="C30" s="350">
        <f>(C24/C28)*-1</f>
        <v>-4.3511235955056203E-2</v>
      </c>
      <c r="D30" s="350">
        <f>(D24/D28)*-1</f>
        <v>0.1233272727272727</v>
      </c>
      <c r="E30" s="350">
        <f>(E24/E28)*-1</f>
        <v>-0.30523406780896056</v>
      </c>
      <c r="F30" s="350">
        <f>(F24/F28)*-1</f>
        <v>6.1883185133045603E-2</v>
      </c>
      <c r="G30" s="350">
        <v>0</v>
      </c>
      <c r="H30" s="350">
        <v>0</v>
      </c>
      <c r="I30" s="353"/>
      <c r="J30" s="340" t="s">
        <v>536</v>
      </c>
      <c r="K30" s="350" t="str">
        <f>IFERROR((K24/K28)*-1,"N/A")</f>
        <v>N/A</v>
      </c>
      <c r="L30" s="350" t="str">
        <f t="shared" ref="L30:Q30" si="12">IFERROR((L24/L28)*-1,"N/A")</f>
        <v>N/A</v>
      </c>
      <c r="M30" s="350" t="str">
        <f t="shared" si="12"/>
        <v>N/A</v>
      </c>
      <c r="N30" s="350" t="str">
        <f t="shared" si="12"/>
        <v>N/A</v>
      </c>
      <c r="O30" s="350" t="str">
        <f t="shared" si="12"/>
        <v>N/A</v>
      </c>
      <c r="P30" s="350" t="str">
        <f t="shared" si="12"/>
        <v>N/A</v>
      </c>
      <c r="Q30" s="350" t="str">
        <f t="shared" si="12"/>
        <v>N/A</v>
      </c>
      <c r="R30" s="353"/>
      <c r="S30" s="340" t="s">
        <v>536</v>
      </c>
      <c r="T30" s="350">
        <f t="shared" ref="T30:Z30" si="13">IFERROR((T24/T28)*-1,"N/A")</f>
        <v>0.45671531418725236</v>
      </c>
      <c r="U30" s="350">
        <f t="shared" si="13"/>
        <v>0.13216823116206206</v>
      </c>
      <c r="V30" s="350">
        <f t="shared" si="13"/>
        <v>9.10490913730823E-2</v>
      </c>
      <c r="W30" s="350">
        <f t="shared" si="13"/>
        <v>8.9645682057770487E-2</v>
      </c>
      <c r="X30" s="350">
        <v>0</v>
      </c>
      <c r="Y30" s="350">
        <v>0</v>
      </c>
      <c r="Z30" s="350" t="str">
        <f t="shared" si="13"/>
        <v>N/A</v>
      </c>
      <c r="AA30" s="353"/>
      <c r="AB30" s="340" t="s">
        <v>536</v>
      </c>
      <c r="AC30" s="350">
        <f>(AC24/AC28)*-1</f>
        <v>9.9555925244584439E-2</v>
      </c>
      <c r="AD30" s="350">
        <f>(AD24/AD28)*-1</f>
        <v>0.16691152721385957</v>
      </c>
      <c r="AE30" s="350">
        <f>(AE24/AE28)*-1</f>
        <v>0.10793597666060253</v>
      </c>
      <c r="AF30" s="350">
        <f>(AF24/AF28)*-1</f>
        <v>8.5762816128107655E-2</v>
      </c>
      <c r="AG30" s="350">
        <v>0</v>
      </c>
      <c r="AH30" s="350">
        <v>0</v>
      </c>
      <c r="AI30" s="350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E15B6-0F23-4800-B184-97B97D88B81B}">
  <sheetPr>
    <tabColor rgb="FF002060"/>
  </sheetPr>
  <dimension ref="B4:L8"/>
  <sheetViews>
    <sheetView showGridLines="0" workbookViewId="0"/>
  </sheetViews>
  <sheetFormatPr defaultRowHeight="14.5" x14ac:dyDescent="0.35"/>
  <cols>
    <col min="2" max="2" width="1.36328125" customWidth="1"/>
    <col min="8" max="8" width="2" customWidth="1"/>
    <col min="13" max="13" width="2" customWidth="1"/>
    <col min="18" max="18" width="2" customWidth="1"/>
    <col min="23" max="23" width="2" customWidth="1"/>
  </cols>
  <sheetData>
    <row r="4" spans="2:12" s="1" customFormat="1" ht="32.5" customHeight="1" x14ac:dyDescent="0.35">
      <c r="B4" s="2" t="s">
        <v>1108</v>
      </c>
    </row>
    <row r="8" spans="2:12" ht="30" customHeight="1" x14ac:dyDescent="0.35">
      <c r="D8" s="35" t="s">
        <v>144</v>
      </c>
      <c r="E8" s="36"/>
      <c r="F8" s="36"/>
      <c r="G8" s="36"/>
      <c r="I8" s="35" t="s">
        <v>90</v>
      </c>
      <c r="J8" s="36"/>
      <c r="K8" s="36"/>
      <c r="L8" s="36"/>
    </row>
  </sheetData>
  <pageMargins left="0.511811024" right="0.511811024" top="0.78740157499999996" bottom="0.78740157499999996" header="0.31496062000000002" footer="0.3149606200000000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827B-34AB-43C3-B53B-644940C8C6F5}">
  <sheetPr>
    <tabColor theme="9" tint="0.79998168889431442"/>
  </sheetPr>
  <dimension ref="B5:K88"/>
  <sheetViews>
    <sheetView zoomScale="85" zoomScaleNormal="85" workbookViewId="0">
      <selection activeCell="C7" sqref="C7"/>
    </sheetView>
  </sheetViews>
  <sheetFormatPr defaultColWidth="9.1796875" defaultRowHeight="12" x14ac:dyDescent="0.3"/>
  <cols>
    <col min="1" max="1" width="9.1796875" style="223"/>
    <col min="2" max="2" width="32.1796875" style="223" customWidth="1"/>
    <col min="3" max="16384" width="9.1796875" style="223"/>
  </cols>
  <sheetData>
    <row r="5" spans="2:11" x14ac:dyDescent="0.3">
      <c r="B5" s="642"/>
      <c r="C5" s="643">
        <v>2014</v>
      </c>
      <c r="D5" s="643">
        <v>2015</v>
      </c>
      <c r="E5" s="643">
        <v>2016</v>
      </c>
      <c r="F5" s="643">
        <v>2017</v>
      </c>
      <c r="G5" s="643">
        <v>2018</v>
      </c>
      <c r="H5" s="643">
        <v>2019</v>
      </c>
      <c r="I5" s="643">
        <v>2020</v>
      </c>
      <c r="J5" s="643">
        <v>2021</v>
      </c>
      <c r="K5" s="643">
        <v>2022</v>
      </c>
    </row>
    <row r="6" spans="2:11" ht="9" customHeight="1" x14ac:dyDescent="0.3"/>
    <row r="7" spans="2:11" ht="14.5" customHeight="1" x14ac:dyDescent="0.3">
      <c r="B7" s="631" t="s">
        <v>198</v>
      </c>
      <c r="C7" s="635"/>
      <c r="D7" s="635"/>
      <c r="E7" s="635"/>
      <c r="F7" s="635"/>
      <c r="G7" s="635"/>
      <c r="H7" s="635"/>
      <c r="I7" s="635"/>
      <c r="J7" s="635"/>
      <c r="K7" s="635"/>
    </row>
    <row r="8" spans="2:11" ht="13.5" x14ac:dyDescent="0.3">
      <c r="B8" s="636" t="s">
        <v>1156</v>
      </c>
      <c r="C8" s="637">
        <v>331983</v>
      </c>
      <c r="D8" s="637">
        <v>331983</v>
      </c>
      <c r="E8" s="637">
        <v>331983</v>
      </c>
      <c r="F8" s="637">
        <v>331983</v>
      </c>
      <c r="G8" s="637">
        <v>331983</v>
      </c>
      <c r="H8" s="637">
        <v>331983</v>
      </c>
      <c r="I8" s="637">
        <v>331983</v>
      </c>
      <c r="J8" s="637">
        <v>331983</v>
      </c>
      <c r="K8" s="637">
        <v>331983</v>
      </c>
    </row>
    <row r="9" spans="2:11" x14ac:dyDescent="0.3">
      <c r="B9" s="636" t="s">
        <v>1157</v>
      </c>
      <c r="C9" s="409">
        <v>217</v>
      </c>
      <c r="D9" s="409">
        <v>217</v>
      </c>
      <c r="E9" s="409">
        <v>217</v>
      </c>
      <c r="F9" s="409">
        <v>217</v>
      </c>
      <c r="G9" s="409">
        <v>217</v>
      </c>
      <c r="H9" s="409">
        <v>217</v>
      </c>
      <c r="I9" s="409">
        <v>217</v>
      </c>
      <c r="J9" s="409">
        <v>217</v>
      </c>
      <c r="K9" s="409">
        <v>217</v>
      </c>
    </row>
    <row r="10" spans="2:11" ht="12.5" customHeight="1" x14ac:dyDescent="0.3">
      <c r="B10" s="636" t="s">
        <v>1158</v>
      </c>
      <c r="C10" s="638">
        <v>6.9</v>
      </c>
      <c r="D10" s="638">
        <v>6.9</v>
      </c>
      <c r="E10" s="638">
        <v>7</v>
      </c>
      <c r="F10" s="638">
        <v>7</v>
      </c>
      <c r="G10" s="638">
        <v>7</v>
      </c>
      <c r="H10" s="639">
        <v>7.0751809999999997</v>
      </c>
      <c r="I10" s="639">
        <v>7.0751809999999997</v>
      </c>
      <c r="J10" s="639">
        <v>7.0751809999999997</v>
      </c>
      <c r="K10" s="639">
        <v>7.0751809999999997</v>
      </c>
    </row>
    <row r="11" spans="2:11" x14ac:dyDescent="0.3">
      <c r="B11" s="636" t="s">
        <v>1159</v>
      </c>
      <c r="C11" s="409">
        <v>125</v>
      </c>
      <c r="D11" s="409">
        <v>127</v>
      </c>
      <c r="E11" s="409">
        <v>137</v>
      </c>
      <c r="F11" s="409">
        <v>137</v>
      </c>
      <c r="G11" s="409">
        <v>141</v>
      </c>
      <c r="H11" s="409">
        <v>138</v>
      </c>
      <c r="I11" s="409">
        <v>140</v>
      </c>
      <c r="J11" s="409">
        <v>143</v>
      </c>
      <c r="K11" s="409">
        <v>143</v>
      </c>
    </row>
    <row r="12" spans="2:11" x14ac:dyDescent="0.3">
      <c r="B12" s="636" t="s">
        <v>1160</v>
      </c>
      <c r="C12" s="637">
        <v>2422</v>
      </c>
      <c r="D12" s="637">
        <v>2696</v>
      </c>
      <c r="E12" s="637">
        <v>2995</v>
      </c>
      <c r="F12" s="637">
        <v>3005</v>
      </c>
      <c r="G12" s="637">
        <v>3157</v>
      </c>
      <c r="H12" s="637">
        <v>3075</v>
      </c>
      <c r="I12" s="637">
        <v>3105.9</v>
      </c>
      <c r="J12" s="640" t="s">
        <v>1161</v>
      </c>
      <c r="K12" s="640">
        <v>3176.6</v>
      </c>
    </row>
    <row r="13" spans="2:11" x14ac:dyDescent="0.3">
      <c r="B13" s="636" t="s">
        <v>1162</v>
      </c>
      <c r="C13" s="637">
        <v>4727</v>
      </c>
      <c r="D13" s="637">
        <v>4583</v>
      </c>
      <c r="E13" s="637">
        <v>5151</v>
      </c>
      <c r="F13" s="637">
        <v>5114</v>
      </c>
      <c r="G13" s="637">
        <v>5278</v>
      </c>
      <c r="H13" s="637">
        <v>5202</v>
      </c>
      <c r="I13" s="637">
        <v>5202</v>
      </c>
      <c r="J13" s="637">
        <v>5208.0600000000004</v>
      </c>
      <c r="K13" s="637">
        <v>5480</v>
      </c>
    </row>
    <row r="14" spans="2:11" x14ac:dyDescent="0.3">
      <c r="B14" s="636" t="s">
        <v>1163</v>
      </c>
      <c r="C14" s="637">
        <v>123033</v>
      </c>
      <c r="D14" s="637">
        <v>93781</v>
      </c>
      <c r="E14" s="637">
        <v>99529</v>
      </c>
      <c r="F14" s="637">
        <v>103741</v>
      </c>
      <c r="G14" s="637">
        <v>106479</v>
      </c>
      <c r="H14" s="637">
        <v>141319.6</v>
      </c>
      <c r="I14" s="637">
        <v>141822.5</v>
      </c>
      <c r="J14" s="637">
        <v>145808.20000000001</v>
      </c>
      <c r="K14" s="637">
        <v>114862</v>
      </c>
    </row>
    <row r="15" spans="2:11" x14ac:dyDescent="0.3">
      <c r="B15" s="636" t="s">
        <v>1164</v>
      </c>
      <c r="C15" s="637">
        <v>107140</v>
      </c>
      <c r="D15" s="637">
        <v>121752</v>
      </c>
      <c r="E15" s="637">
        <v>129615</v>
      </c>
      <c r="F15" s="637">
        <v>133434</v>
      </c>
      <c r="G15" s="637">
        <v>132547</v>
      </c>
      <c r="H15" s="637">
        <v>135451</v>
      </c>
      <c r="I15" s="637">
        <v>138137</v>
      </c>
      <c r="J15" s="637">
        <v>140734</v>
      </c>
      <c r="K15" s="637">
        <v>153112</v>
      </c>
    </row>
    <row r="16" spans="2:11" x14ac:dyDescent="0.3">
      <c r="B16" s="3"/>
    </row>
    <row r="17" spans="2:11" x14ac:dyDescent="0.3">
      <c r="B17" s="642"/>
      <c r="C17" s="643">
        <v>2014</v>
      </c>
      <c r="D17" s="643">
        <v>2015</v>
      </c>
      <c r="E17" s="643">
        <v>2016</v>
      </c>
      <c r="F17" s="643">
        <v>2017</v>
      </c>
      <c r="G17" s="643">
        <v>2018</v>
      </c>
      <c r="H17" s="643">
        <v>2019</v>
      </c>
      <c r="I17" s="643">
        <v>2020</v>
      </c>
      <c r="J17" s="643">
        <v>2021</v>
      </c>
      <c r="K17" s="643">
        <f>K5</f>
        <v>2022</v>
      </c>
    </row>
    <row r="18" spans="2:11" ht="9" customHeight="1" x14ac:dyDescent="0.3"/>
    <row r="19" spans="2:11" ht="14.5" customHeight="1" x14ac:dyDescent="0.3">
      <c r="B19" s="631" t="s">
        <v>171</v>
      </c>
      <c r="C19" s="635"/>
      <c r="D19" s="635"/>
      <c r="E19" s="635"/>
      <c r="F19" s="635"/>
      <c r="G19" s="635"/>
      <c r="H19" s="635"/>
      <c r="I19" s="635"/>
      <c r="J19" s="635"/>
      <c r="K19" s="635"/>
    </row>
    <row r="20" spans="2:11" ht="9" customHeight="1" x14ac:dyDescent="0.3"/>
    <row r="21" spans="2:11" ht="13.5" x14ac:dyDescent="0.3">
      <c r="B21" s="636" t="s">
        <v>1156</v>
      </c>
      <c r="C21" s="637">
        <v>1248000</v>
      </c>
      <c r="D21" s="637">
        <v>1248000</v>
      </c>
      <c r="E21" s="637">
        <v>1248000</v>
      </c>
      <c r="F21" s="637">
        <v>1248000</v>
      </c>
      <c r="G21" s="637">
        <v>1248000</v>
      </c>
      <c r="H21" s="637">
        <v>1248000</v>
      </c>
      <c r="I21" s="637">
        <v>1248000</v>
      </c>
      <c r="J21" s="637">
        <v>1248000</v>
      </c>
      <c r="K21" s="637">
        <v>1248000</v>
      </c>
    </row>
    <row r="22" spans="2:11" x14ac:dyDescent="0.3">
      <c r="B22" s="636" t="s">
        <v>1157</v>
      </c>
      <c r="C22" s="409">
        <v>144</v>
      </c>
      <c r="D22" s="409">
        <v>144</v>
      </c>
      <c r="E22" s="409">
        <v>144</v>
      </c>
      <c r="F22" s="409">
        <v>144</v>
      </c>
      <c r="G22" s="409">
        <v>144</v>
      </c>
      <c r="H22" s="409">
        <v>144</v>
      </c>
      <c r="I22" s="409">
        <v>144</v>
      </c>
      <c r="J22" s="409">
        <v>144</v>
      </c>
      <c r="K22" s="409">
        <v>144</v>
      </c>
    </row>
    <row r="23" spans="2:11" ht="12.5" customHeight="1" x14ac:dyDescent="0.3">
      <c r="B23" s="636" t="s">
        <v>1158</v>
      </c>
      <c r="C23" s="638">
        <v>8.1</v>
      </c>
      <c r="D23" s="638">
        <v>8.1999999999999993</v>
      </c>
      <c r="E23" s="638">
        <v>8.3000000000000007</v>
      </c>
      <c r="F23" s="638">
        <v>8.4</v>
      </c>
      <c r="G23" s="638">
        <v>8.4</v>
      </c>
      <c r="H23" s="639">
        <v>8.6028649999999995</v>
      </c>
      <c r="I23" s="639">
        <v>8.6999999999999993</v>
      </c>
      <c r="J23" s="639">
        <v>8.6999999999999993</v>
      </c>
      <c r="K23" s="639">
        <v>8.6999999999999993</v>
      </c>
    </row>
    <row r="24" spans="2:11" x14ac:dyDescent="0.3">
      <c r="B24" s="636" t="s">
        <v>1159</v>
      </c>
      <c r="C24" s="409">
        <v>94</v>
      </c>
      <c r="D24" s="409">
        <v>112</v>
      </c>
      <c r="E24" s="409">
        <v>121</v>
      </c>
      <c r="F24" s="409">
        <v>108</v>
      </c>
      <c r="G24" s="409">
        <v>117</v>
      </c>
      <c r="H24" s="409">
        <v>132</v>
      </c>
      <c r="I24" s="409">
        <v>132</v>
      </c>
      <c r="J24" s="409">
        <v>145</v>
      </c>
      <c r="K24" s="409">
        <v>121</v>
      </c>
    </row>
    <row r="25" spans="2:11" x14ac:dyDescent="0.3">
      <c r="B25" s="636" t="s">
        <v>1160</v>
      </c>
      <c r="C25" s="637">
        <v>3015</v>
      </c>
      <c r="D25" s="637">
        <v>3264</v>
      </c>
      <c r="E25" s="637">
        <v>3254</v>
      </c>
      <c r="F25" s="637">
        <v>3331</v>
      </c>
      <c r="G25" s="637">
        <v>3653</v>
      </c>
      <c r="H25" s="637">
        <v>4158</v>
      </c>
      <c r="I25" s="637">
        <v>4200</v>
      </c>
      <c r="J25" s="637" t="s">
        <v>1161</v>
      </c>
      <c r="K25" s="637">
        <v>3362</v>
      </c>
    </row>
    <row r="26" spans="2:11" x14ac:dyDescent="0.3">
      <c r="B26" s="636" t="s">
        <v>1162</v>
      </c>
      <c r="C26" s="637">
        <v>4191</v>
      </c>
      <c r="D26" s="637">
        <v>4498</v>
      </c>
      <c r="E26" s="637">
        <v>4563</v>
      </c>
      <c r="F26" s="637">
        <v>4314</v>
      </c>
      <c r="G26" s="637">
        <v>5721</v>
      </c>
      <c r="H26" s="637">
        <v>4855</v>
      </c>
      <c r="I26" s="637">
        <v>4855</v>
      </c>
      <c r="J26" s="637">
        <v>4914.33</v>
      </c>
      <c r="K26" s="637">
        <v>4914</v>
      </c>
    </row>
    <row r="27" spans="2:11" x14ac:dyDescent="0.3">
      <c r="B27" s="636" t="s">
        <v>1163</v>
      </c>
      <c r="C27" s="637">
        <v>121512</v>
      </c>
      <c r="D27" s="637">
        <v>127345</v>
      </c>
      <c r="E27" s="637">
        <v>132652</v>
      </c>
      <c r="F27" s="637">
        <v>139608</v>
      </c>
      <c r="G27" s="637">
        <v>149160</v>
      </c>
      <c r="H27" s="637">
        <v>158702</v>
      </c>
      <c r="I27" s="637">
        <v>158872</v>
      </c>
      <c r="J27" s="637">
        <v>163642.22</v>
      </c>
      <c r="K27" s="637">
        <v>137800</v>
      </c>
    </row>
    <row r="28" spans="2:11" x14ac:dyDescent="0.3">
      <c r="B28" s="636" t="s">
        <v>1164</v>
      </c>
      <c r="C28" s="637">
        <v>139348</v>
      </c>
      <c r="D28" s="637">
        <v>155702</v>
      </c>
      <c r="E28" s="637">
        <v>178562</v>
      </c>
      <c r="F28" s="637">
        <v>168555</v>
      </c>
      <c r="G28" s="637">
        <v>157609</v>
      </c>
      <c r="H28" s="637">
        <v>156785</v>
      </c>
      <c r="I28" s="637">
        <v>161562</v>
      </c>
      <c r="J28" s="637">
        <v>168411</v>
      </c>
      <c r="K28" s="637">
        <v>202974</v>
      </c>
    </row>
    <row r="30" spans="2:11" x14ac:dyDescent="0.3">
      <c r="B30" s="642"/>
      <c r="C30" s="643">
        <v>2014</v>
      </c>
      <c r="D30" s="643">
        <v>2015</v>
      </c>
      <c r="E30" s="643">
        <v>2016</v>
      </c>
      <c r="F30" s="643">
        <v>2017</v>
      </c>
      <c r="G30" s="643">
        <v>2018</v>
      </c>
      <c r="H30" s="643">
        <v>2019</v>
      </c>
      <c r="I30" s="643">
        <v>2020</v>
      </c>
      <c r="J30" s="643">
        <v>2021</v>
      </c>
      <c r="K30" s="643">
        <f>K17</f>
        <v>2022</v>
      </c>
    </row>
    <row r="31" spans="2:11" ht="9" customHeight="1" x14ac:dyDescent="0.3"/>
    <row r="32" spans="2:11" ht="14.5" customHeight="1" x14ac:dyDescent="0.3">
      <c r="B32" s="631" t="s">
        <v>201</v>
      </c>
      <c r="C32" s="635"/>
      <c r="D32" s="635"/>
      <c r="E32" s="635"/>
      <c r="F32" s="635"/>
      <c r="G32" s="635"/>
      <c r="H32" s="635"/>
      <c r="I32" s="635"/>
      <c r="J32" s="635"/>
      <c r="K32" s="635"/>
    </row>
    <row r="33" spans="2:11" ht="13.5" x14ac:dyDescent="0.3">
      <c r="B33" s="636" t="s">
        <v>1156</v>
      </c>
      <c r="C33" s="641" t="s">
        <v>243</v>
      </c>
      <c r="D33" s="641" t="s">
        <v>243</v>
      </c>
      <c r="E33" s="641" t="s">
        <v>243</v>
      </c>
      <c r="F33" s="641" t="s">
        <v>243</v>
      </c>
      <c r="G33" s="641" t="s">
        <v>243</v>
      </c>
      <c r="H33" s="637">
        <v>251616.823</v>
      </c>
      <c r="I33" s="637">
        <v>251616.823</v>
      </c>
      <c r="J33" s="637">
        <v>251616.823</v>
      </c>
      <c r="K33" s="637">
        <v>251616.823</v>
      </c>
    </row>
    <row r="34" spans="2:11" x14ac:dyDescent="0.3">
      <c r="B34" s="636" t="s">
        <v>1157</v>
      </c>
      <c r="C34" s="641" t="s">
        <v>243</v>
      </c>
      <c r="D34" s="641" t="s">
        <v>243</v>
      </c>
      <c r="E34" s="641" t="s">
        <v>243</v>
      </c>
      <c r="F34" s="641" t="s">
        <v>243</v>
      </c>
      <c r="G34" s="641" t="s">
        <v>243</v>
      </c>
      <c r="H34" s="409">
        <v>224</v>
      </c>
      <c r="I34" s="409">
        <v>224</v>
      </c>
      <c r="J34" s="409">
        <v>224</v>
      </c>
      <c r="K34" s="409">
        <v>224</v>
      </c>
    </row>
    <row r="35" spans="2:11" ht="12.5" customHeight="1" x14ac:dyDescent="0.3">
      <c r="B35" s="636" t="s">
        <v>1158</v>
      </c>
      <c r="C35" s="641" t="s">
        <v>243</v>
      </c>
      <c r="D35" s="641" t="s">
        <v>243</v>
      </c>
      <c r="E35" s="641" t="s">
        <v>243</v>
      </c>
      <c r="F35" s="641" t="s">
        <v>243</v>
      </c>
      <c r="G35" s="641" t="s">
        <v>243</v>
      </c>
      <c r="H35" s="409">
        <v>1.3</v>
      </c>
      <c r="I35" s="409">
        <v>1.3</v>
      </c>
      <c r="J35" s="409">
        <v>1.3</v>
      </c>
      <c r="K35" s="409">
        <v>1.3</v>
      </c>
    </row>
    <row r="36" spans="2:11" x14ac:dyDescent="0.3">
      <c r="B36" s="636" t="s">
        <v>1159</v>
      </c>
      <c r="C36" s="641" t="s">
        <v>243</v>
      </c>
      <c r="D36" s="641" t="s">
        <v>243</v>
      </c>
      <c r="E36" s="641" t="s">
        <v>243</v>
      </c>
      <c r="F36" s="641" t="s">
        <v>243</v>
      </c>
      <c r="G36" s="641" t="s">
        <v>243</v>
      </c>
      <c r="H36" s="409">
        <v>92</v>
      </c>
      <c r="I36" s="409">
        <v>93</v>
      </c>
      <c r="J36" s="409">
        <v>98</v>
      </c>
      <c r="K36" s="409">
        <v>102</v>
      </c>
    </row>
    <row r="37" spans="2:11" x14ac:dyDescent="0.3">
      <c r="B37" s="636" t="s">
        <v>1160</v>
      </c>
      <c r="C37" s="641" t="s">
        <v>243</v>
      </c>
      <c r="D37" s="641" t="s">
        <v>243</v>
      </c>
      <c r="E37" s="641" t="s">
        <v>243</v>
      </c>
      <c r="F37" s="641" t="s">
        <v>243</v>
      </c>
      <c r="G37" s="641" t="s">
        <v>243</v>
      </c>
      <c r="H37" s="637">
        <v>1447.5</v>
      </c>
      <c r="I37" s="637">
        <v>1530.5</v>
      </c>
      <c r="J37" s="637" t="s">
        <v>1161</v>
      </c>
      <c r="K37" s="637">
        <v>1419.85</v>
      </c>
    </row>
    <row r="38" spans="2:11" x14ac:dyDescent="0.3">
      <c r="B38" s="636" t="s">
        <v>1162</v>
      </c>
      <c r="C38" s="641" t="s">
        <v>243</v>
      </c>
      <c r="D38" s="641" t="s">
        <v>243</v>
      </c>
      <c r="E38" s="641" t="s">
        <v>243</v>
      </c>
      <c r="F38" s="641" t="s">
        <v>243</v>
      </c>
      <c r="G38" s="641" t="s">
        <v>243</v>
      </c>
      <c r="H38" s="637">
        <v>3176</v>
      </c>
      <c r="I38" s="637">
        <v>3178</v>
      </c>
      <c r="J38" s="637">
        <v>3223.89</v>
      </c>
      <c r="K38" s="637">
        <v>3136.9</v>
      </c>
    </row>
    <row r="39" spans="2:11" x14ac:dyDescent="0.3">
      <c r="B39" s="636" t="s">
        <v>1163</v>
      </c>
      <c r="C39" s="641" t="s">
        <v>243</v>
      </c>
      <c r="D39" s="641" t="s">
        <v>243</v>
      </c>
      <c r="E39" s="641" t="s">
        <v>243</v>
      </c>
      <c r="F39" s="641" t="s">
        <v>243</v>
      </c>
      <c r="G39" s="641" t="s">
        <v>243</v>
      </c>
      <c r="H39" s="637">
        <v>100786.8</v>
      </c>
      <c r="I39" s="637">
        <v>101241.7</v>
      </c>
      <c r="J39" s="637">
        <v>103900.3</v>
      </c>
      <c r="K39" s="637">
        <v>72429</v>
      </c>
    </row>
    <row r="40" spans="2:11" x14ac:dyDescent="0.3">
      <c r="B40" s="636" t="s">
        <v>1164</v>
      </c>
      <c r="C40" s="641" t="s">
        <v>243</v>
      </c>
      <c r="D40" s="641" t="s">
        <v>243</v>
      </c>
      <c r="E40" s="641" t="s">
        <v>243</v>
      </c>
      <c r="F40" s="641" t="s">
        <v>243</v>
      </c>
      <c r="G40" s="641" t="s">
        <v>243</v>
      </c>
      <c r="H40" s="637">
        <v>73226</v>
      </c>
      <c r="I40" s="637">
        <v>75206</v>
      </c>
      <c r="J40" s="637">
        <v>77680</v>
      </c>
      <c r="K40" s="637">
        <v>78945</v>
      </c>
    </row>
    <row r="42" spans="2:11" x14ac:dyDescent="0.3">
      <c r="B42" s="642"/>
      <c r="C42" s="643">
        <v>2014</v>
      </c>
      <c r="D42" s="643">
        <v>2015</v>
      </c>
      <c r="E42" s="643">
        <v>2016</v>
      </c>
      <c r="F42" s="643">
        <v>2017</v>
      </c>
      <c r="G42" s="643">
        <v>2018</v>
      </c>
      <c r="H42" s="643">
        <v>2019</v>
      </c>
      <c r="I42" s="643">
        <v>2020</v>
      </c>
      <c r="J42" s="643">
        <v>2021</v>
      </c>
      <c r="K42" s="643">
        <f>K30</f>
        <v>2022</v>
      </c>
    </row>
    <row r="43" spans="2:11" ht="9" customHeight="1" x14ac:dyDescent="0.3"/>
    <row r="44" spans="2:11" ht="14.5" customHeight="1" x14ac:dyDescent="0.3">
      <c r="B44" s="631" t="s">
        <v>205</v>
      </c>
      <c r="C44" s="635"/>
      <c r="D44" s="635"/>
      <c r="E44" s="635"/>
      <c r="F44" s="635"/>
      <c r="G44" s="635"/>
      <c r="H44" s="635"/>
      <c r="I44" s="635"/>
      <c r="J44" s="635"/>
      <c r="K44" s="635"/>
    </row>
    <row r="45" spans="2:11" ht="13.5" x14ac:dyDescent="0.3">
      <c r="B45" s="636" t="s">
        <v>1156</v>
      </c>
      <c r="C45" s="641" t="s">
        <v>243</v>
      </c>
      <c r="D45" s="641" t="s">
        <v>243</v>
      </c>
      <c r="E45" s="641" t="s">
        <v>243</v>
      </c>
      <c r="F45" s="641" t="s">
        <v>243</v>
      </c>
      <c r="G45" s="641" t="s">
        <v>243</v>
      </c>
      <c r="H45" s="637">
        <v>27843.294999999998</v>
      </c>
      <c r="I45" s="637">
        <v>27843.294999999998</v>
      </c>
      <c r="J45" s="637">
        <v>27843.294999999998</v>
      </c>
      <c r="K45" s="637">
        <v>27843.294999999998</v>
      </c>
    </row>
    <row r="46" spans="2:11" x14ac:dyDescent="0.3">
      <c r="B46" s="636" t="s">
        <v>1157</v>
      </c>
      <c r="C46" s="641" t="s">
        <v>243</v>
      </c>
      <c r="D46" s="641" t="s">
        <v>243</v>
      </c>
      <c r="E46" s="641" t="s">
        <v>243</v>
      </c>
      <c r="F46" s="641" t="s">
        <v>243</v>
      </c>
      <c r="G46" s="641" t="s">
        <v>243</v>
      </c>
      <c r="H46" s="409">
        <v>102</v>
      </c>
      <c r="I46" s="409">
        <v>102</v>
      </c>
      <c r="J46" s="409">
        <v>102</v>
      </c>
      <c r="K46" s="409">
        <v>102</v>
      </c>
    </row>
    <row r="47" spans="2:11" ht="12.5" customHeight="1" x14ac:dyDescent="0.3">
      <c r="B47" s="636" t="s">
        <v>1158</v>
      </c>
      <c r="C47" s="638" t="s">
        <v>243</v>
      </c>
      <c r="D47" s="638" t="s">
        <v>243</v>
      </c>
      <c r="E47" s="638" t="s">
        <v>243</v>
      </c>
      <c r="F47" s="638" t="s">
        <v>243</v>
      </c>
      <c r="G47" s="638" t="s">
        <v>243</v>
      </c>
      <c r="H47" s="639">
        <f>3337357/1000000</f>
        <v>3.3373569999999999</v>
      </c>
      <c r="I47" s="639">
        <f>3337357/1000000</f>
        <v>3.3373569999999999</v>
      </c>
      <c r="J47" s="639">
        <f>3337357/1000000</f>
        <v>3.3373569999999999</v>
      </c>
      <c r="K47" s="639">
        <f>3337357/1000000</f>
        <v>3.3373569999999999</v>
      </c>
    </row>
    <row r="48" spans="2:11" x14ac:dyDescent="0.3">
      <c r="B48" s="636" t="s">
        <v>1159</v>
      </c>
      <c r="C48" s="641" t="s">
        <v>243</v>
      </c>
      <c r="D48" s="641" t="s">
        <v>243</v>
      </c>
      <c r="E48" s="641" t="s">
        <v>243</v>
      </c>
      <c r="F48" s="641" t="s">
        <v>243</v>
      </c>
      <c r="G48" s="641" t="s">
        <v>243</v>
      </c>
      <c r="H48" s="409">
        <v>42</v>
      </c>
      <c r="I48" s="409">
        <v>43</v>
      </c>
      <c r="J48" s="409">
        <v>44</v>
      </c>
      <c r="K48" s="409">
        <v>44</v>
      </c>
    </row>
    <row r="49" spans="2:11" x14ac:dyDescent="0.3">
      <c r="B49" s="636" t="s">
        <v>1160</v>
      </c>
      <c r="C49" s="641" t="s">
        <v>243</v>
      </c>
      <c r="D49" s="641" t="s">
        <v>243</v>
      </c>
      <c r="E49" s="641" t="s">
        <v>243</v>
      </c>
      <c r="F49" s="641" t="s">
        <v>243</v>
      </c>
      <c r="G49" s="641" t="s">
        <v>243</v>
      </c>
      <c r="H49" s="637">
        <v>1006.85</v>
      </c>
      <c r="I49" s="637">
        <v>1007</v>
      </c>
      <c r="J49" s="637" t="s">
        <v>1161</v>
      </c>
      <c r="K49" s="637">
        <v>1151.05</v>
      </c>
    </row>
    <row r="50" spans="2:11" x14ac:dyDescent="0.3">
      <c r="B50" s="636" t="s">
        <v>1162</v>
      </c>
      <c r="C50" s="641" t="s">
        <v>243</v>
      </c>
      <c r="D50" s="641" t="s">
        <v>243</v>
      </c>
      <c r="E50" s="641" t="s">
        <v>243</v>
      </c>
      <c r="F50" s="641" t="s">
        <v>243</v>
      </c>
      <c r="G50" s="641" t="s">
        <v>243</v>
      </c>
      <c r="H50" s="637">
        <v>1945.7</v>
      </c>
      <c r="I50" s="637">
        <v>1945.7</v>
      </c>
      <c r="J50" s="637">
        <v>1948.6</v>
      </c>
      <c r="K50" s="637">
        <v>2216.91</v>
      </c>
    </row>
    <row r="51" spans="2:11" x14ac:dyDescent="0.3">
      <c r="B51" s="636" t="s">
        <v>1163</v>
      </c>
      <c r="C51" s="641" t="s">
        <v>243</v>
      </c>
      <c r="D51" s="641" t="s">
        <v>243</v>
      </c>
      <c r="E51" s="641" t="s">
        <v>243</v>
      </c>
      <c r="F51" s="641" t="s">
        <v>243</v>
      </c>
      <c r="G51" s="641" t="s">
        <v>243</v>
      </c>
      <c r="H51" s="637">
        <v>43033.5</v>
      </c>
      <c r="I51" s="637">
        <v>43116</v>
      </c>
      <c r="J51" s="637">
        <v>43774</v>
      </c>
      <c r="K51" s="637">
        <v>24156.98</v>
      </c>
    </row>
    <row r="52" spans="2:11" x14ac:dyDescent="0.3">
      <c r="B52" s="636" t="s">
        <v>1164</v>
      </c>
      <c r="C52" s="641" t="s">
        <v>243</v>
      </c>
      <c r="D52" s="641" t="s">
        <v>243</v>
      </c>
      <c r="E52" s="641" t="s">
        <v>243</v>
      </c>
      <c r="F52" s="641" t="s">
        <v>243</v>
      </c>
      <c r="G52" s="641" t="s">
        <v>243</v>
      </c>
      <c r="H52" s="637">
        <v>31321</v>
      </c>
      <c r="I52" s="637">
        <v>31357</v>
      </c>
      <c r="J52" s="637">
        <v>31476</v>
      </c>
      <c r="K52" s="637">
        <v>31852</v>
      </c>
    </row>
    <row r="54" spans="2:11" x14ac:dyDescent="0.3">
      <c r="B54" s="642"/>
      <c r="C54" s="643">
        <v>2014</v>
      </c>
      <c r="D54" s="643">
        <v>2015</v>
      </c>
      <c r="E54" s="643">
        <v>2016</v>
      </c>
      <c r="F54" s="643">
        <v>2017</v>
      </c>
      <c r="G54" s="643">
        <v>2018</v>
      </c>
      <c r="H54" s="643">
        <v>2019</v>
      </c>
      <c r="I54" s="643">
        <v>2020</v>
      </c>
      <c r="J54" s="643">
        <v>2021</v>
      </c>
      <c r="K54" s="643">
        <f>K42</f>
        <v>2022</v>
      </c>
    </row>
    <row r="55" spans="2:11" ht="9" customHeight="1" x14ac:dyDescent="0.3"/>
    <row r="56" spans="2:11" ht="14.5" customHeight="1" x14ac:dyDescent="0.3">
      <c r="B56" s="631" t="s">
        <v>5</v>
      </c>
      <c r="C56" s="635"/>
      <c r="D56" s="635"/>
      <c r="E56" s="635"/>
      <c r="F56" s="635"/>
      <c r="G56" s="635"/>
      <c r="H56" s="635"/>
      <c r="I56" s="635"/>
      <c r="J56" s="635"/>
      <c r="K56" s="635"/>
    </row>
    <row r="57" spans="2:11" ht="13.5" x14ac:dyDescent="0.3">
      <c r="B57" s="636" t="s">
        <v>1156</v>
      </c>
      <c r="C57" s="641" t="s">
        <v>243</v>
      </c>
      <c r="D57" s="641" t="s">
        <v>243</v>
      </c>
      <c r="E57" s="641" t="s">
        <v>243</v>
      </c>
      <c r="F57" s="641" t="s">
        <v>243</v>
      </c>
      <c r="G57" s="641" t="s">
        <v>243</v>
      </c>
      <c r="H57" s="641" t="s">
        <v>243</v>
      </c>
      <c r="I57" s="641" t="s">
        <v>243</v>
      </c>
      <c r="J57" s="637">
        <v>87101</v>
      </c>
      <c r="K57" s="637">
        <v>87101</v>
      </c>
    </row>
    <row r="58" spans="2:11" x14ac:dyDescent="0.3">
      <c r="B58" s="636" t="s">
        <v>1157</v>
      </c>
      <c r="C58" s="641" t="s">
        <v>243</v>
      </c>
      <c r="D58" s="641" t="s">
        <v>243</v>
      </c>
      <c r="E58" s="641" t="s">
        <v>243</v>
      </c>
      <c r="F58" s="641" t="s">
        <v>243</v>
      </c>
      <c r="G58" s="641" t="s">
        <v>243</v>
      </c>
      <c r="H58" s="641" t="s">
        <v>243</v>
      </c>
      <c r="I58" s="641" t="s">
        <v>243</v>
      </c>
      <c r="J58" s="409">
        <v>72</v>
      </c>
      <c r="K58" s="409">
        <v>72</v>
      </c>
    </row>
    <row r="59" spans="2:11" ht="12.5" customHeight="1" x14ac:dyDescent="0.3">
      <c r="B59" s="636" t="s">
        <v>1158</v>
      </c>
      <c r="C59" s="641" t="s">
        <v>243</v>
      </c>
      <c r="D59" s="641" t="s">
        <v>243</v>
      </c>
      <c r="E59" s="641" t="s">
        <v>243</v>
      </c>
      <c r="F59" s="641" t="s">
        <v>243</v>
      </c>
      <c r="G59" s="641" t="s">
        <v>243</v>
      </c>
      <c r="H59" s="409" t="s">
        <v>243</v>
      </c>
      <c r="I59" s="409" t="s">
        <v>243</v>
      </c>
      <c r="J59" s="409">
        <v>3.9</v>
      </c>
      <c r="K59" s="409">
        <v>3.9</v>
      </c>
    </row>
    <row r="60" spans="2:11" x14ac:dyDescent="0.3">
      <c r="B60" s="636" t="s">
        <v>1159</v>
      </c>
      <c r="C60" s="641" t="s">
        <v>243</v>
      </c>
      <c r="D60" s="641" t="s">
        <v>243</v>
      </c>
      <c r="E60" s="641" t="s">
        <v>243</v>
      </c>
      <c r="F60" s="641" t="s">
        <v>243</v>
      </c>
      <c r="G60" s="641" t="s">
        <v>243</v>
      </c>
      <c r="H60" s="641" t="s">
        <v>243</v>
      </c>
      <c r="I60" s="641" t="s">
        <v>243</v>
      </c>
      <c r="J60" s="409">
        <v>92</v>
      </c>
      <c r="K60" s="409">
        <v>72</v>
      </c>
    </row>
    <row r="61" spans="2:11" x14ac:dyDescent="0.3">
      <c r="B61" s="636" t="s">
        <v>1160</v>
      </c>
      <c r="C61" s="641" t="s">
        <v>243</v>
      </c>
      <c r="D61" s="641" t="s">
        <v>243</v>
      </c>
      <c r="E61" s="641" t="s">
        <v>243</v>
      </c>
      <c r="F61" s="641" t="s">
        <v>243</v>
      </c>
      <c r="G61" s="641" t="s">
        <v>243</v>
      </c>
      <c r="H61" s="641" t="s">
        <v>243</v>
      </c>
      <c r="I61" s="641" t="s">
        <v>243</v>
      </c>
      <c r="J61" s="637" t="s">
        <v>1161</v>
      </c>
      <c r="K61" s="637">
        <v>2652</v>
      </c>
    </row>
    <row r="62" spans="2:11" x14ac:dyDescent="0.3">
      <c r="B62" s="636" t="s">
        <v>1162</v>
      </c>
      <c r="C62" s="641" t="s">
        <v>243</v>
      </c>
      <c r="D62" s="641" t="s">
        <v>243</v>
      </c>
      <c r="E62" s="641" t="s">
        <v>243</v>
      </c>
      <c r="F62" s="641" t="s">
        <v>243</v>
      </c>
      <c r="G62" s="641" t="s">
        <v>243</v>
      </c>
      <c r="H62" s="641" t="s">
        <v>243</v>
      </c>
      <c r="I62" s="641" t="s">
        <v>243</v>
      </c>
      <c r="J62" s="637">
        <v>1785.1</v>
      </c>
      <c r="K62" s="637">
        <v>1806.2</v>
      </c>
    </row>
    <row r="63" spans="2:11" x14ac:dyDescent="0.3">
      <c r="B63" s="636" t="s">
        <v>1163</v>
      </c>
      <c r="C63" s="641" t="s">
        <v>243</v>
      </c>
      <c r="D63" s="641" t="s">
        <v>243</v>
      </c>
      <c r="E63" s="641" t="s">
        <v>243</v>
      </c>
      <c r="F63" s="641" t="s">
        <v>243</v>
      </c>
      <c r="G63" s="641" t="s">
        <v>243</v>
      </c>
      <c r="H63" s="641" t="s">
        <v>243</v>
      </c>
      <c r="I63" s="641" t="s">
        <v>243</v>
      </c>
      <c r="J63" s="637">
        <v>56851.43</v>
      </c>
      <c r="K63" s="637">
        <v>38347</v>
      </c>
    </row>
    <row r="64" spans="2:11" x14ac:dyDescent="0.3">
      <c r="B64" s="636" t="s">
        <v>1164</v>
      </c>
      <c r="C64" s="641" t="s">
        <v>243</v>
      </c>
      <c r="D64" s="641" t="s">
        <v>243</v>
      </c>
      <c r="E64" s="641" t="s">
        <v>243</v>
      </c>
      <c r="F64" s="641" t="s">
        <v>243</v>
      </c>
      <c r="G64" s="641" t="s">
        <v>243</v>
      </c>
      <c r="H64" s="641" t="s">
        <v>243</v>
      </c>
      <c r="I64" s="641" t="s">
        <v>243</v>
      </c>
      <c r="J64" s="637">
        <v>70042</v>
      </c>
      <c r="K64" s="637">
        <v>71821</v>
      </c>
    </row>
    <row r="66" spans="2:11" x14ac:dyDescent="0.3">
      <c r="B66" s="642"/>
      <c r="C66" s="643">
        <v>2014</v>
      </c>
      <c r="D66" s="643">
        <v>2015</v>
      </c>
      <c r="E66" s="643">
        <v>2016</v>
      </c>
      <c r="F66" s="643">
        <v>2017</v>
      </c>
      <c r="G66" s="643">
        <v>2018</v>
      </c>
      <c r="H66" s="643">
        <v>2019</v>
      </c>
      <c r="I66" s="643">
        <v>2020</v>
      </c>
      <c r="J66" s="643">
        <v>2021</v>
      </c>
      <c r="K66" s="643">
        <f>K54</f>
        <v>2022</v>
      </c>
    </row>
    <row r="67" spans="2:11" ht="9" customHeight="1" x14ac:dyDescent="0.3"/>
    <row r="68" spans="2:11" ht="14.5" customHeight="1" x14ac:dyDescent="0.3">
      <c r="B68" s="631" t="s">
        <v>6</v>
      </c>
      <c r="C68" s="635"/>
      <c r="D68" s="635"/>
      <c r="E68" s="635"/>
      <c r="F68" s="635"/>
      <c r="G68" s="635"/>
      <c r="H68" s="635"/>
      <c r="I68" s="635"/>
      <c r="J68" s="635"/>
      <c r="K68" s="635"/>
    </row>
    <row r="69" spans="2:11" ht="13.5" x14ac:dyDescent="0.3">
      <c r="B69" s="636" t="s">
        <v>1156</v>
      </c>
      <c r="C69" s="641" t="s">
        <v>243</v>
      </c>
      <c r="D69" s="641" t="s">
        <v>243</v>
      </c>
      <c r="E69" s="641" t="s">
        <v>243</v>
      </c>
      <c r="F69" s="641" t="s">
        <v>243</v>
      </c>
      <c r="G69" s="641" t="s">
        <v>243</v>
      </c>
      <c r="H69" s="641" t="s">
        <v>243</v>
      </c>
      <c r="I69" s="641" t="s">
        <v>243</v>
      </c>
      <c r="J69" s="637">
        <v>142815</v>
      </c>
      <c r="K69" s="637">
        <v>142815</v>
      </c>
    </row>
    <row r="70" spans="2:11" x14ac:dyDescent="0.3">
      <c r="B70" s="636" t="s">
        <v>1157</v>
      </c>
      <c r="C70" s="641" t="s">
        <v>243</v>
      </c>
      <c r="D70" s="641" t="s">
        <v>243</v>
      </c>
      <c r="E70" s="641" t="s">
        <v>243</v>
      </c>
      <c r="F70" s="641" t="s">
        <v>243</v>
      </c>
      <c r="G70" s="641" t="s">
        <v>243</v>
      </c>
      <c r="H70" s="641" t="s">
        <v>243</v>
      </c>
      <c r="I70" s="641" t="s">
        <v>243</v>
      </c>
      <c r="J70" s="409">
        <v>16</v>
      </c>
      <c r="K70" s="409">
        <v>16</v>
      </c>
    </row>
    <row r="71" spans="2:11" ht="12.5" customHeight="1" x14ac:dyDescent="0.3">
      <c r="B71" s="636" t="s">
        <v>1158</v>
      </c>
      <c r="C71" s="641" t="s">
        <v>243</v>
      </c>
      <c r="D71" s="641" t="s">
        <v>243</v>
      </c>
      <c r="E71" s="641" t="s">
        <v>243</v>
      </c>
      <c r="F71" s="641" t="s">
        <v>243</v>
      </c>
      <c r="G71" s="641" t="s">
        <v>243</v>
      </c>
      <c r="H71" s="409" t="s">
        <v>243</v>
      </c>
      <c r="I71" s="409" t="s">
        <v>243</v>
      </c>
      <c r="J71" s="409">
        <v>0.9</v>
      </c>
      <c r="K71" s="409">
        <v>0.9</v>
      </c>
    </row>
    <row r="72" spans="2:11" x14ac:dyDescent="0.3">
      <c r="B72" s="636" t="s">
        <v>1159</v>
      </c>
      <c r="C72" s="641" t="s">
        <v>243</v>
      </c>
      <c r="D72" s="641" t="s">
        <v>243</v>
      </c>
      <c r="E72" s="641" t="s">
        <v>243</v>
      </c>
      <c r="F72" s="641" t="s">
        <v>243</v>
      </c>
      <c r="G72" s="641" t="s">
        <v>243</v>
      </c>
      <c r="H72" s="641" t="s">
        <v>243</v>
      </c>
      <c r="I72" s="641" t="s">
        <v>243</v>
      </c>
      <c r="J72" s="409">
        <v>143</v>
      </c>
      <c r="K72" s="409">
        <v>18</v>
      </c>
    </row>
    <row r="73" spans="2:11" x14ac:dyDescent="0.3">
      <c r="B73" s="636" t="s">
        <v>1160</v>
      </c>
      <c r="C73" s="641" t="s">
        <v>243</v>
      </c>
      <c r="D73" s="641" t="s">
        <v>243</v>
      </c>
      <c r="E73" s="641" t="s">
        <v>243</v>
      </c>
      <c r="F73" s="641" t="s">
        <v>243</v>
      </c>
      <c r="G73" s="641" t="s">
        <v>243</v>
      </c>
      <c r="H73" s="641" t="s">
        <v>243</v>
      </c>
      <c r="I73" s="641" t="s">
        <v>243</v>
      </c>
      <c r="J73" s="637" t="s">
        <v>1161</v>
      </c>
      <c r="K73" s="637">
        <v>416.4</v>
      </c>
    </row>
    <row r="74" spans="2:11" x14ac:dyDescent="0.3">
      <c r="B74" s="636" t="s">
        <v>1162</v>
      </c>
      <c r="C74" s="641" t="s">
        <v>243</v>
      </c>
      <c r="D74" s="641" t="s">
        <v>243</v>
      </c>
      <c r="E74" s="641" t="s">
        <v>243</v>
      </c>
      <c r="F74" s="641" t="s">
        <v>243</v>
      </c>
      <c r="G74" s="641" t="s">
        <v>243</v>
      </c>
      <c r="H74" s="641" t="s">
        <v>243</v>
      </c>
      <c r="I74" s="641" t="s">
        <v>243</v>
      </c>
      <c r="J74" s="637">
        <v>630</v>
      </c>
      <c r="K74" s="637">
        <v>631.13999999999987</v>
      </c>
    </row>
    <row r="75" spans="2:11" x14ac:dyDescent="0.3">
      <c r="B75" s="636" t="s">
        <v>1163</v>
      </c>
      <c r="C75" s="641" t="s">
        <v>243</v>
      </c>
      <c r="D75" s="641" t="s">
        <v>243</v>
      </c>
      <c r="E75" s="641" t="s">
        <v>243</v>
      </c>
      <c r="F75" s="641" t="s">
        <v>243</v>
      </c>
      <c r="G75" s="641" t="s">
        <v>243</v>
      </c>
      <c r="H75" s="641" t="s">
        <v>243</v>
      </c>
      <c r="I75" s="641" t="s">
        <v>243</v>
      </c>
      <c r="J75" s="637">
        <v>70</v>
      </c>
      <c r="K75" s="637">
        <v>9382</v>
      </c>
    </row>
    <row r="76" spans="2:11" x14ac:dyDescent="0.3">
      <c r="B76" s="636" t="s">
        <v>1164</v>
      </c>
      <c r="C76" s="641" t="s">
        <v>243</v>
      </c>
      <c r="D76" s="641" t="s">
        <v>243</v>
      </c>
      <c r="E76" s="641" t="s">
        <v>243</v>
      </c>
      <c r="F76" s="641" t="s">
        <v>243</v>
      </c>
      <c r="G76" s="641" t="s">
        <v>243</v>
      </c>
      <c r="H76" s="641" t="s">
        <v>243</v>
      </c>
      <c r="I76" s="641" t="s">
        <v>243</v>
      </c>
      <c r="J76" s="637">
        <v>10336</v>
      </c>
      <c r="K76" s="637">
        <v>11127</v>
      </c>
    </row>
    <row r="78" spans="2:11" x14ac:dyDescent="0.3">
      <c r="B78" s="642"/>
      <c r="C78" s="643">
        <v>2014</v>
      </c>
      <c r="D78" s="643">
        <v>2015</v>
      </c>
      <c r="E78" s="643">
        <v>2016</v>
      </c>
      <c r="F78" s="643">
        <v>2017</v>
      </c>
      <c r="G78" s="643">
        <v>2018</v>
      </c>
      <c r="H78" s="643">
        <v>2019</v>
      </c>
      <c r="I78" s="643">
        <v>2020</v>
      </c>
      <c r="J78" s="643">
        <v>2021</v>
      </c>
      <c r="K78" s="643">
        <f>K66</f>
        <v>2022</v>
      </c>
    </row>
    <row r="80" spans="2:11" x14ac:dyDescent="0.3">
      <c r="B80" s="631" t="s">
        <v>140</v>
      </c>
      <c r="C80" s="635"/>
      <c r="D80" s="635"/>
      <c r="E80" s="635"/>
      <c r="F80" s="635"/>
      <c r="G80" s="635"/>
      <c r="H80" s="635"/>
      <c r="I80" s="635"/>
      <c r="J80" s="635"/>
      <c r="K80" s="635"/>
    </row>
    <row r="81" spans="2:11" ht="13.5" x14ac:dyDescent="0.3">
      <c r="B81" s="636" t="s">
        <v>1156</v>
      </c>
      <c r="C81" s="641" t="s">
        <v>243</v>
      </c>
      <c r="D81" s="641" t="s">
        <v>243</v>
      </c>
      <c r="E81" s="641" t="s">
        <v>243</v>
      </c>
      <c r="F81" s="641" t="s">
        <v>243</v>
      </c>
      <c r="G81" s="641" t="s">
        <v>243</v>
      </c>
      <c r="H81" s="641" t="s">
        <v>243</v>
      </c>
      <c r="I81" s="641" t="s">
        <v>243</v>
      </c>
      <c r="J81" s="641" t="s">
        <v>243</v>
      </c>
      <c r="K81" s="637"/>
    </row>
    <row r="82" spans="2:11" x14ac:dyDescent="0.3">
      <c r="B82" s="636" t="s">
        <v>1157</v>
      </c>
      <c r="C82" s="641" t="s">
        <v>243</v>
      </c>
      <c r="D82" s="641" t="s">
        <v>243</v>
      </c>
      <c r="E82" s="641" t="s">
        <v>243</v>
      </c>
      <c r="F82" s="641" t="s">
        <v>243</v>
      </c>
      <c r="G82" s="641" t="s">
        <v>243</v>
      </c>
      <c r="H82" s="641" t="s">
        <v>243</v>
      </c>
      <c r="I82" s="641" t="s">
        <v>243</v>
      </c>
      <c r="J82" s="641" t="s">
        <v>243</v>
      </c>
      <c r="K82" s="409"/>
    </row>
    <row r="83" spans="2:11" x14ac:dyDescent="0.3">
      <c r="B83" s="636" t="s">
        <v>1158</v>
      </c>
      <c r="C83" s="641" t="s">
        <v>243</v>
      </c>
      <c r="D83" s="641" t="s">
        <v>243</v>
      </c>
      <c r="E83" s="641" t="s">
        <v>243</v>
      </c>
      <c r="F83" s="641" t="s">
        <v>243</v>
      </c>
      <c r="G83" s="641" t="s">
        <v>243</v>
      </c>
      <c r="H83" s="409" t="s">
        <v>243</v>
      </c>
      <c r="I83" s="409" t="s">
        <v>243</v>
      </c>
      <c r="J83" s="409" t="s">
        <v>243</v>
      </c>
      <c r="K83" s="409"/>
    </row>
    <row r="84" spans="2:11" x14ac:dyDescent="0.3">
      <c r="B84" s="636" t="s">
        <v>1159</v>
      </c>
      <c r="C84" s="641" t="s">
        <v>243</v>
      </c>
      <c r="D84" s="641" t="s">
        <v>243</v>
      </c>
      <c r="E84" s="641" t="s">
        <v>243</v>
      </c>
      <c r="F84" s="641" t="s">
        <v>243</v>
      </c>
      <c r="G84" s="641" t="s">
        <v>243</v>
      </c>
      <c r="H84" s="641" t="s">
        <v>243</v>
      </c>
      <c r="I84" s="641" t="s">
        <v>243</v>
      </c>
      <c r="J84" s="641" t="s">
        <v>243</v>
      </c>
      <c r="K84" s="409"/>
    </row>
    <row r="85" spans="2:11" x14ac:dyDescent="0.3">
      <c r="B85" s="636" t="s">
        <v>1160</v>
      </c>
      <c r="C85" s="641" t="s">
        <v>243</v>
      </c>
      <c r="D85" s="641" t="s">
        <v>243</v>
      </c>
      <c r="E85" s="641" t="s">
        <v>243</v>
      </c>
      <c r="F85" s="641" t="s">
        <v>243</v>
      </c>
      <c r="G85" s="641" t="s">
        <v>243</v>
      </c>
      <c r="H85" s="641" t="s">
        <v>243</v>
      </c>
      <c r="I85" s="641" t="s">
        <v>243</v>
      </c>
      <c r="J85" s="641" t="s">
        <v>243</v>
      </c>
      <c r="K85" s="637"/>
    </row>
    <row r="86" spans="2:11" x14ac:dyDescent="0.3">
      <c r="B86" s="636" t="s">
        <v>1162</v>
      </c>
      <c r="C86" s="641" t="s">
        <v>243</v>
      </c>
      <c r="D86" s="641" t="s">
        <v>243</v>
      </c>
      <c r="E86" s="641" t="s">
        <v>243</v>
      </c>
      <c r="F86" s="641" t="s">
        <v>243</v>
      </c>
      <c r="G86" s="641" t="s">
        <v>243</v>
      </c>
      <c r="H86" s="641" t="s">
        <v>243</v>
      </c>
      <c r="I86" s="641" t="s">
        <v>243</v>
      </c>
      <c r="J86" s="641" t="s">
        <v>243</v>
      </c>
      <c r="K86" s="637"/>
    </row>
    <row r="87" spans="2:11" x14ac:dyDescent="0.3">
      <c r="B87" s="636" t="s">
        <v>1163</v>
      </c>
      <c r="C87" s="641" t="s">
        <v>243</v>
      </c>
      <c r="D87" s="641" t="s">
        <v>243</v>
      </c>
      <c r="E87" s="641" t="s">
        <v>243</v>
      </c>
      <c r="F87" s="641" t="s">
        <v>243</v>
      </c>
      <c r="G87" s="641" t="s">
        <v>243</v>
      </c>
      <c r="H87" s="641" t="s">
        <v>243</v>
      </c>
      <c r="I87" s="641" t="s">
        <v>243</v>
      </c>
      <c r="J87" s="641" t="s">
        <v>243</v>
      </c>
      <c r="K87" s="637"/>
    </row>
    <row r="88" spans="2:11" x14ac:dyDescent="0.3">
      <c r="B88" s="636" t="s">
        <v>1164</v>
      </c>
      <c r="C88" s="641" t="s">
        <v>243</v>
      </c>
      <c r="D88" s="641" t="s">
        <v>243</v>
      </c>
      <c r="E88" s="641" t="s">
        <v>243</v>
      </c>
      <c r="F88" s="641" t="s">
        <v>243</v>
      </c>
      <c r="G88" s="641" t="s">
        <v>243</v>
      </c>
      <c r="H88" s="641" t="s">
        <v>243</v>
      </c>
      <c r="I88" s="641" t="s">
        <v>243</v>
      </c>
      <c r="J88" s="641" t="s">
        <v>243</v>
      </c>
      <c r="K88" s="63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10CBB-DB70-46E1-89B4-33085A73F8BD}">
  <sheetPr>
    <tabColor theme="9" tint="0.79998168889431442"/>
  </sheetPr>
  <dimension ref="B5:R59"/>
  <sheetViews>
    <sheetView zoomScale="55" zoomScaleNormal="55" workbookViewId="0">
      <selection activeCell="H37" sqref="H37"/>
    </sheetView>
  </sheetViews>
  <sheetFormatPr defaultColWidth="9.1796875" defaultRowHeight="14.5" x14ac:dyDescent="0.35"/>
  <cols>
    <col min="1" max="1" width="9.1796875" style="37"/>
    <col min="2" max="2" width="22.81640625" style="37" bestFit="1" customWidth="1"/>
    <col min="3" max="9" width="13.453125" style="37" customWidth="1"/>
    <col min="10" max="10" width="9.1796875" style="37"/>
    <col min="11" max="11" width="22.81640625" style="37" bestFit="1" customWidth="1"/>
    <col min="12" max="18" width="13.453125" style="37" customWidth="1"/>
    <col min="19" max="16384" width="9.1796875" style="37"/>
  </cols>
  <sheetData>
    <row r="5" spans="2:18" x14ac:dyDescent="0.35">
      <c r="B5" s="303" t="s">
        <v>1</v>
      </c>
      <c r="C5" s="304"/>
      <c r="D5" s="304"/>
      <c r="E5" s="304"/>
      <c r="F5" s="305"/>
      <c r="G5" s="305"/>
      <c r="H5" s="305"/>
      <c r="I5" s="305"/>
      <c r="K5" s="303"/>
      <c r="L5" s="304"/>
      <c r="M5" s="304"/>
      <c r="N5" s="304"/>
      <c r="O5" s="305"/>
      <c r="P5" s="305"/>
      <c r="Q5" s="305"/>
      <c r="R5" s="305"/>
    </row>
    <row r="6" spans="2:18" x14ac:dyDescent="0.35">
      <c r="B6" s="576" t="s">
        <v>478</v>
      </c>
      <c r="C6" s="577">
        <v>2020</v>
      </c>
      <c r="D6" s="577">
        <v>2021</v>
      </c>
      <c r="E6" s="577">
        <v>2022</v>
      </c>
      <c r="F6" s="577">
        <v>2023</v>
      </c>
      <c r="G6" s="577">
        <v>2024</v>
      </c>
      <c r="H6" s="577">
        <v>2025</v>
      </c>
      <c r="I6" s="577">
        <v>2026</v>
      </c>
      <c r="K6" s="576" t="s">
        <v>478</v>
      </c>
      <c r="L6" s="577">
        <v>2020</v>
      </c>
      <c r="M6" s="577">
        <v>2021</v>
      </c>
      <c r="N6" s="577">
        <v>2022</v>
      </c>
      <c r="O6" s="577">
        <v>2023</v>
      </c>
      <c r="P6" s="577">
        <v>2024</v>
      </c>
      <c r="Q6" s="577">
        <v>2025</v>
      </c>
      <c r="R6" s="577">
        <v>2026</v>
      </c>
    </row>
    <row r="7" spans="2:18" x14ac:dyDescent="0.35">
      <c r="B7" s="306" t="s">
        <v>479</v>
      </c>
      <c r="C7" s="307">
        <v>3363097.633586999</v>
      </c>
      <c r="D7" s="307">
        <v>2790577.661216002</v>
      </c>
      <c r="E7" s="307">
        <v>2872313.7619200004</v>
      </c>
      <c r="F7" s="307">
        <v>2375802.0231410014</v>
      </c>
      <c r="G7" s="307">
        <v>2207051.566773809</v>
      </c>
      <c r="H7" s="307">
        <v>2947606.6291946704</v>
      </c>
      <c r="I7" s="307">
        <v>2921173.6934016324</v>
      </c>
      <c r="K7" s="306" t="s">
        <v>479</v>
      </c>
      <c r="L7" s="308">
        <f>+C7/C$11</f>
        <v>0.42659382970119608</v>
      </c>
      <c r="M7" s="308">
        <f t="shared" ref="M7:R11" si="0">+D7/D$11</f>
        <v>0.34545402237453404</v>
      </c>
      <c r="N7" s="308">
        <f t="shared" si="0"/>
        <v>0.34897488652135505</v>
      </c>
      <c r="O7" s="308">
        <f t="shared" si="0"/>
        <v>0.27590283654764564</v>
      </c>
      <c r="P7" s="308">
        <f t="shared" si="0"/>
        <v>0.27590283654764569</v>
      </c>
      <c r="Q7" s="308">
        <f t="shared" si="0"/>
        <v>0.35378000556294598</v>
      </c>
      <c r="R7" s="308">
        <f t="shared" si="0"/>
        <v>0.35378000556294598</v>
      </c>
    </row>
    <row r="8" spans="2:18" x14ac:dyDescent="0.35">
      <c r="B8" s="306" t="s">
        <v>480</v>
      </c>
      <c r="C8" s="307">
        <v>1782270.6932140002</v>
      </c>
      <c r="D8" s="307">
        <v>2135962.1050000004</v>
      </c>
      <c r="E8" s="307">
        <v>2338881.4125980008</v>
      </c>
      <c r="F8" s="307">
        <v>3201821.7113199998</v>
      </c>
      <c r="G8" s="307">
        <v>2974400.0365639096</v>
      </c>
      <c r="H8" s="307">
        <v>2271745.9242882663</v>
      </c>
      <c r="I8" s="307">
        <v>2251373.832042289</v>
      </c>
      <c r="K8" s="306" t="s">
        <v>480</v>
      </c>
      <c r="L8" s="308">
        <f t="shared" ref="L8:L11" si="1">+C8/C$11</f>
        <v>0.22607303248922991</v>
      </c>
      <c r="M8" s="308">
        <f t="shared" si="0"/>
        <v>0.26441718898097077</v>
      </c>
      <c r="N8" s="308">
        <f t="shared" si="0"/>
        <v>0.28416494269160103</v>
      </c>
      <c r="O8" s="308">
        <f t="shared" si="0"/>
        <v>0.37182883239787384</v>
      </c>
      <c r="P8" s="308">
        <f t="shared" si="0"/>
        <v>0.3718288323978739</v>
      </c>
      <c r="Q8" s="308">
        <f t="shared" si="0"/>
        <v>0.27266131028884438</v>
      </c>
      <c r="R8" s="308">
        <f t="shared" si="0"/>
        <v>0.27266131028884438</v>
      </c>
    </row>
    <row r="9" spans="2:18" x14ac:dyDescent="0.35">
      <c r="B9" s="306" t="s">
        <v>481</v>
      </c>
      <c r="C9" s="307">
        <v>1839854.3160230003</v>
      </c>
      <c r="D9" s="307">
        <v>1762385.0949999997</v>
      </c>
      <c r="E9" s="307">
        <v>1763293.3960070002</v>
      </c>
      <c r="F9" s="307">
        <v>1377315.9839999999</v>
      </c>
      <c r="G9" s="307">
        <v>1279486.8304771206</v>
      </c>
      <c r="H9" s="307">
        <v>1809515.1623724925</v>
      </c>
      <c r="I9" s="307">
        <v>1793288.1673488759</v>
      </c>
      <c r="K9" s="306" t="s">
        <v>481</v>
      </c>
      <c r="L9" s="308">
        <f t="shared" si="1"/>
        <v>0.2333772564097113</v>
      </c>
      <c r="M9" s="308">
        <f t="shared" si="0"/>
        <v>0.21817096456487037</v>
      </c>
      <c r="N9" s="308">
        <f t="shared" si="0"/>
        <v>0.21423325018784498</v>
      </c>
      <c r="O9" s="308">
        <f t="shared" si="0"/>
        <v>0.15994825457115069</v>
      </c>
      <c r="P9" s="308">
        <f t="shared" si="0"/>
        <v>0.15994825457115069</v>
      </c>
      <c r="Q9" s="308">
        <f t="shared" si="0"/>
        <v>0.21718307927176816</v>
      </c>
      <c r="R9" s="308">
        <f t="shared" si="0"/>
        <v>0.21718307927176816</v>
      </c>
    </row>
    <row r="10" spans="2:18" ht="15" thickBot="1" x14ac:dyDescent="0.4">
      <c r="B10" s="306" t="s">
        <v>482</v>
      </c>
      <c r="C10" s="307">
        <v>898383.2591710001</v>
      </c>
      <c r="D10" s="307">
        <v>1389075.3370000024</v>
      </c>
      <c r="E10" s="307">
        <v>1256229.0910000009</v>
      </c>
      <c r="F10" s="307">
        <v>1656070.0590000006</v>
      </c>
      <c r="G10" s="307">
        <v>1538441.3275189064</v>
      </c>
      <c r="H10" s="307">
        <v>1302882.4759179736</v>
      </c>
      <c r="I10" s="307">
        <v>1291198.7564926227</v>
      </c>
      <c r="K10" s="306" t="s">
        <v>482</v>
      </c>
      <c r="L10" s="308">
        <f t="shared" si="1"/>
        <v>0.11395588139986275</v>
      </c>
      <c r="M10" s="308">
        <f t="shared" si="0"/>
        <v>0.17195782407962484</v>
      </c>
      <c r="N10" s="308">
        <f t="shared" si="0"/>
        <v>0.15262692059919894</v>
      </c>
      <c r="O10" s="308">
        <f t="shared" si="0"/>
        <v>0.1923200764833298</v>
      </c>
      <c r="P10" s="308">
        <f t="shared" si="0"/>
        <v>0.19232007648332983</v>
      </c>
      <c r="Q10" s="308">
        <f t="shared" si="0"/>
        <v>0.15637560487644153</v>
      </c>
      <c r="R10" s="308">
        <f t="shared" si="0"/>
        <v>0.1563756048764415</v>
      </c>
    </row>
    <row r="11" spans="2:18" ht="15" thickBot="1" x14ac:dyDescent="0.4">
      <c r="B11" s="309" t="s">
        <v>483</v>
      </c>
      <c r="C11" s="310">
        <f>SUM(C7:C10)</f>
        <v>7883605.9019949995</v>
      </c>
      <c r="D11" s="310">
        <f t="shared" ref="D11:I11" si="2">SUM(D7:D10)</f>
        <v>8078000.1982160043</v>
      </c>
      <c r="E11" s="310">
        <f t="shared" si="2"/>
        <v>8230717.6615250027</v>
      </c>
      <c r="F11" s="310">
        <f t="shared" si="2"/>
        <v>8611009.7774610016</v>
      </c>
      <c r="G11" s="310">
        <f t="shared" si="2"/>
        <v>7999379.761333745</v>
      </c>
      <c r="H11" s="310">
        <f t="shared" si="2"/>
        <v>8331750.1917734025</v>
      </c>
      <c r="I11" s="310">
        <f t="shared" si="2"/>
        <v>8257034.4492854197</v>
      </c>
      <c r="K11" s="309" t="s">
        <v>483</v>
      </c>
      <c r="L11" s="311">
        <f t="shared" si="1"/>
        <v>1</v>
      </c>
      <c r="M11" s="311">
        <f t="shared" si="0"/>
        <v>1</v>
      </c>
      <c r="N11" s="311">
        <f t="shared" si="0"/>
        <v>1</v>
      </c>
      <c r="O11" s="311">
        <f t="shared" si="0"/>
        <v>1</v>
      </c>
      <c r="P11" s="311">
        <f t="shared" si="0"/>
        <v>1</v>
      </c>
      <c r="Q11" s="311">
        <f t="shared" si="0"/>
        <v>1</v>
      </c>
      <c r="R11" s="311">
        <f t="shared" si="0"/>
        <v>1</v>
      </c>
    </row>
    <row r="12" spans="2:18" x14ac:dyDescent="0.35">
      <c r="B12" s="305"/>
      <c r="C12" s="312"/>
      <c r="D12" s="312"/>
      <c r="E12" s="312"/>
      <c r="F12" s="312"/>
      <c r="G12" s="312"/>
      <c r="H12" s="312"/>
      <c r="I12" s="312"/>
      <c r="K12" s="305"/>
      <c r="L12" s="312"/>
      <c r="M12" s="312"/>
      <c r="N12" s="312"/>
      <c r="O12" s="312"/>
      <c r="P12" s="312"/>
      <c r="Q12" s="312"/>
      <c r="R12" s="312"/>
    </row>
    <row r="13" spans="2:18" x14ac:dyDescent="0.35">
      <c r="B13" s="303" t="s">
        <v>2</v>
      </c>
      <c r="C13" s="313"/>
      <c r="D13" s="313"/>
      <c r="E13" s="313"/>
      <c r="F13" s="314"/>
      <c r="G13" s="314"/>
      <c r="H13" s="314"/>
      <c r="I13" s="314"/>
      <c r="K13" s="303"/>
      <c r="L13" s="313"/>
      <c r="M13" s="313"/>
      <c r="N13" s="313"/>
      <c r="O13" s="314"/>
      <c r="P13" s="314"/>
      <c r="Q13" s="314"/>
      <c r="R13" s="314"/>
    </row>
    <row r="14" spans="2:18" x14ac:dyDescent="0.35">
      <c r="B14" s="576" t="s">
        <v>478</v>
      </c>
      <c r="C14" s="577">
        <v>2020</v>
      </c>
      <c r="D14" s="577">
        <v>2021</v>
      </c>
      <c r="E14" s="577">
        <v>2022</v>
      </c>
      <c r="F14" s="577">
        <v>2023</v>
      </c>
      <c r="G14" s="577">
        <v>2024</v>
      </c>
      <c r="H14" s="577">
        <v>2025</v>
      </c>
      <c r="I14" s="577">
        <v>2026</v>
      </c>
      <c r="K14" s="576" t="str">
        <f>+K6</f>
        <v>Contratos  (MWh)</v>
      </c>
      <c r="L14" s="576">
        <f t="shared" ref="L14:R14" si="3">+L6</f>
        <v>2020</v>
      </c>
      <c r="M14" s="576">
        <f t="shared" si="3"/>
        <v>2021</v>
      </c>
      <c r="N14" s="576">
        <f t="shared" si="3"/>
        <v>2022</v>
      </c>
      <c r="O14" s="576">
        <f t="shared" si="3"/>
        <v>2023</v>
      </c>
      <c r="P14" s="576">
        <f t="shared" si="3"/>
        <v>2024</v>
      </c>
      <c r="Q14" s="576">
        <f t="shared" si="3"/>
        <v>2025</v>
      </c>
      <c r="R14" s="576">
        <f t="shared" si="3"/>
        <v>2026</v>
      </c>
    </row>
    <row r="15" spans="2:18" x14ac:dyDescent="0.35">
      <c r="B15" s="306" t="s">
        <v>479</v>
      </c>
      <c r="C15" s="307">
        <v>4717392.5183778051</v>
      </c>
      <c r="D15" s="307">
        <v>3760561.5309999967</v>
      </c>
      <c r="E15" s="307">
        <v>4355989.8380000023</v>
      </c>
      <c r="F15" s="307">
        <v>4607504.5775730014</v>
      </c>
      <c r="G15" s="307">
        <v>4665083.0761588747</v>
      </c>
      <c r="H15" s="307">
        <v>4368605.859139313</v>
      </c>
      <c r="I15" s="307">
        <v>4467155.6582652954</v>
      </c>
      <c r="K15" s="306" t="s">
        <v>479</v>
      </c>
      <c r="L15" s="315">
        <f>+C15/C$19</f>
        <v>0.41113376274496038</v>
      </c>
      <c r="M15" s="315">
        <f t="shared" ref="M15:R19" si="4">+D15/D$19</f>
        <v>0.3174805474081866</v>
      </c>
      <c r="N15" s="315">
        <f t="shared" si="4"/>
        <v>0.36858126096969873</v>
      </c>
      <c r="O15" s="315">
        <f t="shared" si="4"/>
        <v>0.38510505100220094</v>
      </c>
      <c r="P15" s="315">
        <f t="shared" si="4"/>
        <v>0.38510505100220094</v>
      </c>
      <c r="Q15" s="315">
        <f t="shared" si="4"/>
        <v>0.37050032335735994</v>
      </c>
      <c r="R15" s="315">
        <f t="shared" si="4"/>
        <v>0.37050032335735983</v>
      </c>
    </row>
    <row r="16" spans="2:18" x14ac:dyDescent="0.35">
      <c r="B16" s="306" t="s">
        <v>480</v>
      </c>
      <c r="C16" s="307">
        <v>3021550.8899999997</v>
      </c>
      <c r="D16" s="307">
        <v>2937296.6119999974</v>
      </c>
      <c r="E16" s="307">
        <v>3203493.3404860008</v>
      </c>
      <c r="F16" s="307">
        <v>3749742.6154160015</v>
      </c>
      <c r="G16" s="307">
        <v>3796601.9394262335</v>
      </c>
      <c r="H16" s="307">
        <v>3140784.1284110467</v>
      </c>
      <c r="I16" s="307">
        <v>3211635.9413081626</v>
      </c>
      <c r="K16" s="306" t="s">
        <v>480</v>
      </c>
      <c r="L16" s="315">
        <f t="shared" ref="L16:L19" si="5">+C16/C$19</f>
        <v>0.26333648978573165</v>
      </c>
      <c r="M16" s="315">
        <f t="shared" si="4"/>
        <v>0.24797747054280864</v>
      </c>
      <c r="N16" s="315">
        <f t="shared" si="4"/>
        <v>0.27106298656713307</v>
      </c>
      <c r="O16" s="315">
        <f t="shared" si="4"/>
        <v>0.31341147834855865</v>
      </c>
      <c r="P16" s="315">
        <f t="shared" si="4"/>
        <v>0.31341147834855865</v>
      </c>
      <c r="Q16" s="315">
        <f t="shared" si="4"/>
        <v>0.26636908265311376</v>
      </c>
      <c r="R16" s="315">
        <f t="shared" si="4"/>
        <v>0.26636908265311371</v>
      </c>
    </row>
    <row r="17" spans="2:18" x14ac:dyDescent="0.35">
      <c r="B17" s="306" t="s">
        <v>481</v>
      </c>
      <c r="C17" s="307">
        <v>2440117.094</v>
      </c>
      <c r="D17" s="307">
        <v>2279192.5530000003</v>
      </c>
      <c r="E17" s="307">
        <v>2220687.9070030004</v>
      </c>
      <c r="F17" s="307">
        <v>1673986.4630000005</v>
      </c>
      <c r="G17" s="307">
        <v>1694905.7318948754</v>
      </c>
      <c r="H17" s="307">
        <v>2227119.5669977409</v>
      </c>
      <c r="I17" s="307">
        <v>2277360.3515945035</v>
      </c>
      <c r="K17" s="306" t="s">
        <v>481</v>
      </c>
      <c r="L17" s="315">
        <f t="shared" si="5"/>
        <v>0.21266293158481944</v>
      </c>
      <c r="M17" s="315">
        <f t="shared" si="4"/>
        <v>0.19241788584235323</v>
      </c>
      <c r="N17" s="315">
        <f t="shared" si="4"/>
        <v>0.18790308963602467</v>
      </c>
      <c r="O17" s="315">
        <f t="shared" si="4"/>
        <v>0.13991535577598568</v>
      </c>
      <c r="P17" s="315">
        <f t="shared" si="4"/>
        <v>0.13991535577598568</v>
      </c>
      <c r="Q17" s="315">
        <f t="shared" si="4"/>
        <v>0.18888142953018294</v>
      </c>
      <c r="R17" s="315">
        <f t="shared" si="4"/>
        <v>0.18888142953018291</v>
      </c>
    </row>
    <row r="18" spans="2:18" ht="15" thickBot="1" x14ac:dyDescent="0.4">
      <c r="B18" s="306" t="s">
        <v>482</v>
      </c>
      <c r="C18" s="307">
        <v>1295045.8490000002</v>
      </c>
      <c r="D18" s="307">
        <v>2867963.3110000025</v>
      </c>
      <c r="E18" s="307">
        <v>2038090.7179999989</v>
      </c>
      <c r="F18" s="307">
        <v>1933046.1309999991</v>
      </c>
      <c r="G18" s="307">
        <v>1957202.7850078915</v>
      </c>
      <c r="H18" s="307">
        <v>2054589.0862097573</v>
      </c>
      <c r="I18" s="307">
        <v>2100937.8181075575</v>
      </c>
      <c r="K18" s="306" t="s">
        <v>482</v>
      </c>
      <c r="L18" s="315">
        <f t="shared" si="5"/>
        <v>0.11286681588448863</v>
      </c>
      <c r="M18" s="315">
        <f t="shared" si="4"/>
        <v>0.24212409620665154</v>
      </c>
      <c r="N18" s="315">
        <f t="shared" si="4"/>
        <v>0.17245266282714361</v>
      </c>
      <c r="O18" s="315">
        <f t="shared" si="4"/>
        <v>0.16156811487325476</v>
      </c>
      <c r="P18" s="315">
        <f t="shared" si="4"/>
        <v>0.16156811487325476</v>
      </c>
      <c r="Q18" s="315">
        <f t="shared" si="4"/>
        <v>0.17424916445934349</v>
      </c>
      <c r="R18" s="315">
        <f t="shared" si="4"/>
        <v>0.17424916445934346</v>
      </c>
    </row>
    <row r="19" spans="2:18" ht="15" thickBot="1" x14ac:dyDescent="0.4">
      <c r="B19" s="309" t="s">
        <v>483</v>
      </c>
      <c r="C19" s="310">
        <f t="shared" ref="C19:I19" si="6">SUM(C15:C18)</f>
        <v>11474106.351377804</v>
      </c>
      <c r="D19" s="310">
        <f t="shared" si="6"/>
        <v>11845014.006999997</v>
      </c>
      <c r="E19" s="310">
        <f t="shared" si="6"/>
        <v>11818261.803489001</v>
      </c>
      <c r="F19" s="310">
        <f t="shared" si="6"/>
        <v>11964279.786989002</v>
      </c>
      <c r="G19" s="310">
        <f t="shared" si="6"/>
        <v>12113793.532487875</v>
      </c>
      <c r="H19" s="310">
        <f t="shared" si="6"/>
        <v>11791098.640757857</v>
      </c>
      <c r="I19" s="310">
        <f t="shared" si="6"/>
        <v>12057089.76927552</v>
      </c>
      <c r="K19" s="309" t="s">
        <v>483</v>
      </c>
      <c r="L19" s="316">
        <f t="shared" si="5"/>
        <v>1</v>
      </c>
      <c r="M19" s="316">
        <f t="shared" si="4"/>
        <v>1</v>
      </c>
      <c r="N19" s="316">
        <f t="shared" si="4"/>
        <v>1</v>
      </c>
      <c r="O19" s="316">
        <f t="shared" si="4"/>
        <v>1</v>
      </c>
      <c r="P19" s="316">
        <f t="shared" si="4"/>
        <v>1</v>
      </c>
      <c r="Q19" s="316">
        <f t="shared" si="4"/>
        <v>1</v>
      </c>
      <c r="R19" s="316">
        <f t="shared" si="4"/>
        <v>1</v>
      </c>
    </row>
    <row r="20" spans="2:18" x14ac:dyDescent="0.35">
      <c r="C20" s="317"/>
      <c r="D20" s="317"/>
      <c r="E20" s="317"/>
      <c r="F20" s="317"/>
      <c r="G20" s="317"/>
      <c r="H20" s="317"/>
      <c r="I20" s="317"/>
      <c r="L20" s="317"/>
      <c r="M20" s="317"/>
      <c r="N20" s="317"/>
      <c r="O20" s="317"/>
      <c r="P20" s="317"/>
      <c r="Q20" s="317"/>
      <c r="R20" s="317"/>
    </row>
    <row r="21" spans="2:18" x14ac:dyDescent="0.35">
      <c r="B21" s="303" t="s">
        <v>3</v>
      </c>
      <c r="C21" s="313"/>
      <c r="D21" s="313"/>
      <c r="E21" s="313"/>
      <c r="F21" s="314"/>
      <c r="G21" s="314"/>
      <c r="H21" s="314"/>
      <c r="I21" s="314"/>
      <c r="K21" s="303"/>
      <c r="L21" s="313"/>
      <c r="M21" s="313"/>
      <c r="N21" s="313"/>
      <c r="O21" s="314"/>
      <c r="P21" s="314"/>
      <c r="Q21" s="314"/>
      <c r="R21" s="314"/>
    </row>
    <row r="22" spans="2:18" x14ac:dyDescent="0.35">
      <c r="B22" s="576" t="s">
        <v>478</v>
      </c>
      <c r="C22" s="577">
        <v>2020</v>
      </c>
      <c r="D22" s="577">
        <v>2021</v>
      </c>
      <c r="E22" s="577">
        <v>2022</v>
      </c>
      <c r="F22" s="577">
        <v>2023</v>
      </c>
      <c r="G22" s="577">
        <v>2024</v>
      </c>
      <c r="H22" s="577">
        <v>2025</v>
      </c>
      <c r="I22" s="577">
        <v>2026</v>
      </c>
      <c r="K22" s="576" t="str">
        <f>+K14</f>
        <v>Contratos  (MWh)</v>
      </c>
      <c r="L22" s="576">
        <f t="shared" ref="L22:R22" si="7">+L14</f>
        <v>2020</v>
      </c>
      <c r="M22" s="576">
        <f t="shared" si="7"/>
        <v>2021</v>
      </c>
      <c r="N22" s="576">
        <f t="shared" si="7"/>
        <v>2022</v>
      </c>
      <c r="O22" s="576">
        <f t="shared" si="7"/>
        <v>2023</v>
      </c>
      <c r="P22" s="576">
        <f t="shared" si="7"/>
        <v>2024</v>
      </c>
      <c r="Q22" s="576">
        <f t="shared" si="7"/>
        <v>2025</v>
      </c>
      <c r="R22" s="576">
        <f t="shared" si="7"/>
        <v>2026</v>
      </c>
    </row>
    <row r="23" spans="2:18" x14ac:dyDescent="0.35">
      <c r="B23" s="306" t="s">
        <v>479</v>
      </c>
      <c r="C23" s="307">
        <v>3007415.2467840007</v>
      </c>
      <c r="D23" s="307">
        <v>2002640.557826004</v>
      </c>
      <c r="E23" s="307">
        <v>2022525.4520829997</v>
      </c>
      <c r="F23" s="307">
        <v>2044676.8824769994</v>
      </c>
      <c r="G23" s="307">
        <v>1963362.7851816996</v>
      </c>
      <c r="H23" s="307">
        <v>1964595.0492693351</v>
      </c>
      <c r="I23" s="307">
        <v>1988564.684248612</v>
      </c>
      <c r="K23" s="306" t="s">
        <v>479</v>
      </c>
      <c r="L23" s="315">
        <f>+C23/C$27</f>
        <v>0.55693729391149671</v>
      </c>
      <c r="M23" s="315">
        <f t="shared" ref="M23:R27" si="8">+D23/D$27</f>
        <v>0.41333244397813163</v>
      </c>
      <c r="N23" s="315">
        <f t="shared" si="8"/>
        <v>0.430123033455446</v>
      </c>
      <c r="O23" s="315">
        <f t="shared" si="8"/>
        <v>0.4396856154868421</v>
      </c>
      <c r="P23" s="315">
        <f t="shared" si="8"/>
        <v>0.4396856154868421</v>
      </c>
      <c r="Q23" s="315">
        <f t="shared" si="8"/>
        <v>0.42945989770897786</v>
      </c>
      <c r="R23" s="315">
        <f t="shared" si="8"/>
        <v>0.42945989770897786</v>
      </c>
    </row>
    <row r="24" spans="2:18" x14ac:dyDescent="0.35">
      <c r="B24" s="306" t="s">
        <v>480</v>
      </c>
      <c r="C24" s="307">
        <v>927289.44700000004</v>
      </c>
      <c r="D24" s="307">
        <v>1078292.6369999999</v>
      </c>
      <c r="E24" s="307">
        <v>931870.34252599988</v>
      </c>
      <c r="F24" s="307">
        <v>1288240.442447999</v>
      </c>
      <c r="G24" s="307">
        <v>1237008.8226381952</v>
      </c>
      <c r="H24" s="307">
        <v>902488.20680764562</v>
      </c>
      <c r="I24" s="307">
        <v>913499.28662194463</v>
      </c>
      <c r="K24" s="306" t="s">
        <v>480</v>
      </c>
      <c r="L24" s="315">
        <f t="shared" ref="L24:L27" si="9">+C24/C$27</f>
        <v>0.17172290252805264</v>
      </c>
      <c r="M24" s="315">
        <f t="shared" si="8"/>
        <v>0.22255283367408837</v>
      </c>
      <c r="N24" s="315">
        <f t="shared" si="8"/>
        <v>0.19817743114265635</v>
      </c>
      <c r="O24" s="315">
        <f t="shared" si="8"/>
        <v>0.27702215283355996</v>
      </c>
      <c r="P24" s="315">
        <f t="shared" si="8"/>
        <v>0.27702215283355996</v>
      </c>
      <c r="Q24" s="315">
        <f t="shared" si="8"/>
        <v>0.19728365554179655</v>
      </c>
      <c r="R24" s="315">
        <f t="shared" si="8"/>
        <v>0.19728365554179655</v>
      </c>
    </row>
    <row r="25" spans="2:18" x14ac:dyDescent="0.35">
      <c r="B25" s="306" t="s">
        <v>481</v>
      </c>
      <c r="C25" s="307">
        <v>1058220.898</v>
      </c>
      <c r="D25" s="307">
        <v>1019773.277001</v>
      </c>
      <c r="E25" s="307">
        <v>1003022.1840060003</v>
      </c>
      <c r="F25" s="307">
        <v>827646.56400000013</v>
      </c>
      <c r="G25" s="307">
        <v>794732.15399811883</v>
      </c>
      <c r="H25" s="307">
        <v>976356.34908531478</v>
      </c>
      <c r="I25" s="307">
        <v>988268.67946911487</v>
      </c>
      <c r="K25" s="306" t="s">
        <v>481</v>
      </c>
      <c r="L25" s="315">
        <f t="shared" si="9"/>
        <v>0.19596983952347549</v>
      </c>
      <c r="M25" s="315">
        <f t="shared" si="8"/>
        <v>0.21047480499645074</v>
      </c>
      <c r="N25" s="315">
        <f t="shared" si="8"/>
        <v>0.2133090310252683</v>
      </c>
      <c r="O25" s="315">
        <f t="shared" si="8"/>
        <v>0.17797642845996411</v>
      </c>
      <c r="P25" s="315">
        <f t="shared" si="8"/>
        <v>0.17797642845996411</v>
      </c>
      <c r="Q25" s="315">
        <f t="shared" si="8"/>
        <v>0.21343120963357667</v>
      </c>
      <c r="R25" s="315">
        <f t="shared" si="8"/>
        <v>0.21343120963357667</v>
      </c>
    </row>
    <row r="26" spans="2:18" ht="15" thickBot="1" x14ac:dyDescent="0.4">
      <c r="B26" s="306" t="s">
        <v>482</v>
      </c>
      <c r="C26" s="307">
        <v>406991.56165753427</v>
      </c>
      <c r="D26" s="307">
        <v>744402.0769999997</v>
      </c>
      <c r="E26" s="307">
        <v>744784.16999999993</v>
      </c>
      <c r="F26" s="307">
        <v>489751.72400000016</v>
      </c>
      <c r="G26" s="307">
        <v>470274.94521056477</v>
      </c>
      <c r="H26" s="307">
        <v>731131.98988017486</v>
      </c>
      <c r="I26" s="307">
        <v>740052.38644007558</v>
      </c>
      <c r="K26" s="306" t="s">
        <v>482</v>
      </c>
      <c r="L26" s="315">
        <f t="shared" si="9"/>
        <v>7.5369964036975268E-2</v>
      </c>
      <c r="M26" s="315">
        <f t="shared" si="8"/>
        <v>0.15363991735132926</v>
      </c>
      <c r="N26" s="315">
        <f t="shared" si="8"/>
        <v>0.15839050437662933</v>
      </c>
      <c r="O26" s="315">
        <f t="shared" si="8"/>
        <v>0.10531580321963385</v>
      </c>
      <c r="P26" s="315">
        <f t="shared" si="8"/>
        <v>0.10531580321963385</v>
      </c>
      <c r="Q26" s="315">
        <f t="shared" si="8"/>
        <v>0.15982523711564886</v>
      </c>
      <c r="R26" s="315">
        <f t="shared" si="8"/>
        <v>0.15982523711564886</v>
      </c>
    </row>
    <row r="27" spans="2:18" ht="15" thickBot="1" x14ac:dyDescent="0.4">
      <c r="B27" s="309" t="s">
        <v>483</v>
      </c>
      <c r="C27" s="310">
        <f t="shared" ref="C27:I27" si="10">SUM(C23:C26)</f>
        <v>5399917.1534415344</v>
      </c>
      <c r="D27" s="310">
        <f t="shared" si="10"/>
        <v>4845108.5488270037</v>
      </c>
      <c r="E27" s="310">
        <f t="shared" si="10"/>
        <v>4702202.1486149998</v>
      </c>
      <c r="F27" s="310">
        <f t="shared" si="10"/>
        <v>4650315.6129249986</v>
      </c>
      <c r="G27" s="310">
        <f t="shared" si="10"/>
        <v>4465378.707028578</v>
      </c>
      <c r="H27" s="310">
        <f t="shared" si="10"/>
        <v>4574571.5950424708</v>
      </c>
      <c r="I27" s="310">
        <f t="shared" si="10"/>
        <v>4630385.0367797473</v>
      </c>
      <c r="K27" s="309" t="s">
        <v>483</v>
      </c>
      <c r="L27" s="316">
        <f t="shared" si="9"/>
        <v>1</v>
      </c>
      <c r="M27" s="316">
        <f t="shared" si="8"/>
        <v>1</v>
      </c>
      <c r="N27" s="316">
        <f t="shared" si="8"/>
        <v>1</v>
      </c>
      <c r="O27" s="316">
        <f t="shared" si="8"/>
        <v>1</v>
      </c>
      <c r="P27" s="316">
        <f t="shared" si="8"/>
        <v>1</v>
      </c>
      <c r="Q27" s="316">
        <f t="shared" si="8"/>
        <v>1</v>
      </c>
      <c r="R27" s="316">
        <f t="shared" si="8"/>
        <v>1</v>
      </c>
    </row>
    <row r="28" spans="2:18" x14ac:dyDescent="0.35">
      <c r="C28" s="317"/>
      <c r="D28" s="317"/>
      <c r="E28" s="317"/>
      <c r="F28" s="317"/>
      <c r="G28" s="317"/>
      <c r="H28" s="317"/>
      <c r="I28" s="317"/>
      <c r="L28" s="317"/>
      <c r="M28" s="317"/>
      <c r="N28" s="317"/>
      <c r="O28" s="317"/>
      <c r="P28" s="317"/>
      <c r="Q28" s="317"/>
      <c r="R28" s="317"/>
    </row>
    <row r="29" spans="2:18" x14ac:dyDescent="0.35">
      <c r="B29" s="303" t="s">
        <v>4</v>
      </c>
      <c r="C29" s="313"/>
      <c r="D29" s="313"/>
      <c r="E29" s="313"/>
      <c r="F29" s="314"/>
      <c r="G29" s="314"/>
      <c r="H29" s="314"/>
      <c r="I29" s="314"/>
      <c r="K29" s="303"/>
      <c r="L29" s="313"/>
      <c r="M29" s="313"/>
      <c r="N29" s="313"/>
      <c r="O29" s="314"/>
      <c r="P29" s="314"/>
      <c r="Q29" s="314"/>
      <c r="R29" s="314"/>
    </row>
    <row r="30" spans="2:18" x14ac:dyDescent="0.35">
      <c r="B30" s="576" t="s">
        <v>478</v>
      </c>
      <c r="C30" s="577">
        <v>2020</v>
      </c>
      <c r="D30" s="577">
        <v>2021</v>
      </c>
      <c r="E30" s="577">
        <v>2022</v>
      </c>
      <c r="F30" s="577">
        <v>2023</v>
      </c>
      <c r="G30" s="577">
        <v>2024</v>
      </c>
      <c r="H30" s="577">
        <v>2025</v>
      </c>
      <c r="I30" s="577">
        <v>2026</v>
      </c>
      <c r="K30" s="576" t="str">
        <f>+K22</f>
        <v>Contratos  (MWh)</v>
      </c>
      <c r="L30" s="576">
        <f t="shared" ref="L30:R30" si="11">+L22</f>
        <v>2020</v>
      </c>
      <c r="M30" s="576">
        <f t="shared" si="11"/>
        <v>2021</v>
      </c>
      <c r="N30" s="576">
        <f t="shared" si="11"/>
        <v>2022</v>
      </c>
      <c r="O30" s="576">
        <f t="shared" si="11"/>
        <v>2023</v>
      </c>
      <c r="P30" s="576">
        <f t="shared" si="11"/>
        <v>2024</v>
      </c>
      <c r="Q30" s="576">
        <f t="shared" si="11"/>
        <v>2025</v>
      </c>
      <c r="R30" s="576">
        <f t="shared" si="11"/>
        <v>2026</v>
      </c>
    </row>
    <row r="31" spans="2:18" x14ac:dyDescent="0.35">
      <c r="B31" s="306" t="s">
        <v>479</v>
      </c>
      <c r="C31" s="307">
        <v>1265017.453</v>
      </c>
      <c r="D31" s="307">
        <v>1249432.9670010009</v>
      </c>
      <c r="E31" s="307">
        <v>1287942.7945989999</v>
      </c>
      <c r="F31" s="307">
        <v>1174471.6658409999</v>
      </c>
      <c r="G31" s="307">
        <v>1251361.2917928097</v>
      </c>
      <c r="H31" s="307">
        <v>1285425.1160197761</v>
      </c>
      <c r="I31" s="307">
        <v>1308090.9550146481</v>
      </c>
      <c r="K31" s="306" t="s">
        <v>479</v>
      </c>
      <c r="L31" s="315">
        <f>+C31/C$35</f>
        <v>0.27138288590987425</v>
      </c>
      <c r="M31" s="315">
        <f t="shared" ref="M31:R35" si="12">+D31/D$35</f>
        <v>0.26454908432986962</v>
      </c>
      <c r="N31" s="315">
        <f t="shared" si="12"/>
        <v>0.27449023246991805</v>
      </c>
      <c r="O31" s="315">
        <f t="shared" si="12"/>
        <v>0.28151619412402767</v>
      </c>
      <c r="P31" s="315">
        <f t="shared" si="12"/>
        <v>0.28151619412402773</v>
      </c>
      <c r="Q31" s="315">
        <f t="shared" si="12"/>
        <v>0.27419713672529122</v>
      </c>
      <c r="R31" s="315">
        <f t="shared" si="12"/>
        <v>0.27419713672529122</v>
      </c>
    </row>
    <row r="32" spans="2:18" x14ac:dyDescent="0.35">
      <c r="B32" s="306" t="s">
        <v>480</v>
      </c>
      <c r="C32" s="307">
        <v>640502.28399999999</v>
      </c>
      <c r="D32" s="307">
        <v>547026.04181700025</v>
      </c>
      <c r="E32" s="307">
        <v>503265.32912600006</v>
      </c>
      <c r="F32" s="307">
        <v>609693.01572000014</v>
      </c>
      <c r="G32" s="307">
        <v>649608.04244018334</v>
      </c>
      <c r="H32" s="307">
        <v>497265.61804943479</v>
      </c>
      <c r="I32" s="307">
        <v>506033.8786784893</v>
      </c>
      <c r="K32" s="306" t="s">
        <v>480</v>
      </c>
      <c r="L32" s="315">
        <f t="shared" ref="L32:L35" si="13">+C32/C$35</f>
        <v>0.13740629257846759</v>
      </c>
      <c r="M32" s="315">
        <f t="shared" si="12"/>
        <v>0.1158247319299079</v>
      </c>
      <c r="N32" s="315">
        <f t="shared" si="12"/>
        <v>0.10725741683958549</v>
      </c>
      <c r="O32" s="315">
        <f t="shared" si="12"/>
        <v>0.14614099459486818</v>
      </c>
      <c r="P32" s="315">
        <f t="shared" si="12"/>
        <v>0.14614099459486821</v>
      </c>
      <c r="Q32" s="315">
        <f t="shared" si="12"/>
        <v>0.106072930240605</v>
      </c>
      <c r="R32" s="315">
        <f t="shared" si="12"/>
        <v>0.106072930240605</v>
      </c>
    </row>
    <row r="33" spans="2:18" x14ac:dyDescent="0.35">
      <c r="B33" s="306" t="s">
        <v>481</v>
      </c>
      <c r="C33" s="307">
        <v>1099080.4949999999</v>
      </c>
      <c r="D33" s="307">
        <v>991332.72900000005</v>
      </c>
      <c r="E33" s="307">
        <v>962479.04000799998</v>
      </c>
      <c r="F33" s="307">
        <v>666321.42000000016</v>
      </c>
      <c r="G33" s="307">
        <v>709943.76206032757</v>
      </c>
      <c r="H33" s="307">
        <v>961472.83236352867</v>
      </c>
      <c r="I33" s="307">
        <v>978426.43638503284</v>
      </c>
      <c r="K33" s="306" t="s">
        <v>481</v>
      </c>
      <c r="L33" s="315">
        <f t="shared" si="13"/>
        <v>0.23578460192228912</v>
      </c>
      <c r="M33" s="315">
        <f t="shared" si="12"/>
        <v>0.20990014882724853</v>
      </c>
      <c r="N33" s="315">
        <f t="shared" si="12"/>
        <v>0.20512642063537859</v>
      </c>
      <c r="O33" s="315">
        <f t="shared" si="12"/>
        <v>0.15971459821246334</v>
      </c>
      <c r="P33" s="315">
        <f t="shared" si="12"/>
        <v>0.15971459821246337</v>
      </c>
      <c r="Q33" s="315">
        <f t="shared" si="12"/>
        <v>0.20509409252057861</v>
      </c>
      <c r="R33" s="315">
        <f t="shared" si="12"/>
        <v>0.20509409252057861</v>
      </c>
    </row>
    <row r="34" spans="2:18" ht="15" thickBot="1" x14ac:dyDescent="0.4">
      <c r="B34" s="306" t="s">
        <v>482</v>
      </c>
      <c r="C34" s="307">
        <v>1656774.9640030004</v>
      </c>
      <c r="D34" s="307">
        <v>1935085.9473040046</v>
      </c>
      <c r="E34" s="307">
        <v>1938438.9749999996</v>
      </c>
      <c r="F34" s="307">
        <v>1721464.5370000005</v>
      </c>
      <c r="G34" s="307">
        <v>1834164.3731807692</v>
      </c>
      <c r="H34" s="307">
        <v>1943796.0941657585</v>
      </c>
      <c r="I34" s="307">
        <v>1978070.9568241481</v>
      </c>
      <c r="K34" s="306" t="s">
        <v>482</v>
      </c>
      <c r="L34" s="315">
        <f t="shared" si="13"/>
        <v>0.35542621958936904</v>
      </c>
      <c r="M34" s="315">
        <f t="shared" si="12"/>
        <v>0.40972603491297399</v>
      </c>
      <c r="N34" s="315">
        <f t="shared" si="12"/>
        <v>0.41312593005511788</v>
      </c>
      <c r="O34" s="315">
        <f t="shared" si="12"/>
        <v>0.41262821306864073</v>
      </c>
      <c r="P34" s="315">
        <f t="shared" si="12"/>
        <v>0.41262821306864078</v>
      </c>
      <c r="Q34" s="315">
        <f t="shared" si="12"/>
        <v>0.4146358405135252</v>
      </c>
      <c r="R34" s="315">
        <f t="shared" si="12"/>
        <v>0.4146358405135252</v>
      </c>
    </row>
    <row r="35" spans="2:18" ht="15" thickBot="1" x14ac:dyDescent="0.4">
      <c r="B35" s="309" t="s">
        <v>483</v>
      </c>
      <c r="C35" s="310">
        <f t="shared" ref="C35:I35" si="14">SUM(C31:C34)</f>
        <v>4661375.1960030003</v>
      </c>
      <c r="D35" s="310">
        <f t="shared" si="14"/>
        <v>4722877.6851220056</v>
      </c>
      <c r="E35" s="310">
        <f t="shared" si="14"/>
        <v>4692126.1387329996</v>
      </c>
      <c r="F35" s="310">
        <f t="shared" si="14"/>
        <v>4171950.638561001</v>
      </c>
      <c r="G35" s="310">
        <f t="shared" si="14"/>
        <v>4445077.4694740893</v>
      </c>
      <c r="H35" s="310">
        <f t="shared" si="14"/>
        <v>4687959.6605984978</v>
      </c>
      <c r="I35" s="310">
        <f t="shared" si="14"/>
        <v>4770622.2269023182</v>
      </c>
      <c r="K35" s="309" t="s">
        <v>483</v>
      </c>
      <c r="L35" s="316">
        <f t="shared" si="13"/>
        <v>1</v>
      </c>
      <c r="M35" s="316">
        <f t="shared" si="12"/>
        <v>1</v>
      </c>
      <c r="N35" s="316">
        <f t="shared" si="12"/>
        <v>1</v>
      </c>
      <c r="O35" s="316">
        <f t="shared" si="12"/>
        <v>1</v>
      </c>
      <c r="P35" s="316">
        <f t="shared" si="12"/>
        <v>1</v>
      </c>
      <c r="Q35" s="316">
        <f t="shared" si="12"/>
        <v>1</v>
      </c>
      <c r="R35" s="316">
        <f t="shared" si="12"/>
        <v>1</v>
      </c>
    </row>
    <row r="37" spans="2:18" x14ac:dyDescent="0.35">
      <c r="B37" s="303" t="s">
        <v>5</v>
      </c>
      <c r="C37" s="313"/>
      <c r="D37" s="313"/>
      <c r="E37" s="313"/>
      <c r="F37" s="314"/>
      <c r="G37" s="314"/>
      <c r="H37" s="314"/>
      <c r="I37" s="314"/>
      <c r="K37" s="303"/>
      <c r="L37" s="313"/>
      <c r="M37" s="313"/>
      <c r="N37" s="313"/>
      <c r="O37" s="314"/>
      <c r="P37" s="314"/>
      <c r="Q37" s="314"/>
      <c r="R37" s="314"/>
    </row>
    <row r="38" spans="2:18" x14ac:dyDescent="0.35">
      <c r="B38" s="576" t="s">
        <v>478</v>
      </c>
      <c r="C38" s="577">
        <v>2020</v>
      </c>
      <c r="D38" s="577">
        <v>2021</v>
      </c>
      <c r="E38" s="577">
        <v>2022</v>
      </c>
      <c r="F38" s="577">
        <v>2023</v>
      </c>
      <c r="G38" s="577">
        <v>2024</v>
      </c>
      <c r="H38" s="577">
        <v>2025</v>
      </c>
      <c r="I38" s="577">
        <v>2026</v>
      </c>
      <c r="K38" s="576" t="str">
        <f>+K30</f>
        <v>Contratos  (MWh)</v>
      </c>
      <c r="L38" s="576">
        <f t="shared" ref="L38:R38" si="15">+L30</f>
        <v>2020</v>
      </c>
      <c r="M38" s="576">
        <f t="shared" si="15"/>
        <v>2021</v>
      </c>
      <c r="N38" s="576">
        <f t="shared" si="15"/>
        <v>2022</v>
      </c>
      <c r="O38" s="576">
        <f t="shared" si="15"/>
        <v>2023</v>
      </c>
      <c r="P38" s="576">
        <f t="shared" si="15"/>
        <v>2024</v>
      </c>
      <c r="Q38" s="576">
        <f t="shared" si="15"/>
        <v>2025</v>
      </c>
      <c r="R38" s="576">
        <f t="shared" si="15"/>
        <v>2026</v>
      </c>
    </row>
    <row r="39" spans="2:18" x14ac:dyDescent="0.35">
      <c r="B39" s="306" t="s">
        <v>479</v>
      </c>
      <c r="C39" s="318">
        <v>0</v>
      </c>
      <c r="D39" s="318">
        <v>3304444.707987254</v>
      </c>
      <c r="E39" s="318">
        <v>3543059.1541240006</v>
      </c>
      <c r="F39" s="318">
        <v>3405719.3482371918</v>
      </c>
      <c r="G39" s="318">
        <v>3389949.3290482159</v>
      </c>
      <c r="H39" s="307">
        <v>3560904.0283262851</v>
      </c>
      <c r="I39" s="307">
        <v>3701470.1799758398</v>
      </c>
      <c r="K39" s="306" t="s">
        <v>479</v>
      </c>
      <c r="L39" s="319"/>
      <c r="M39" s="308">
        <f t="shared" ref="M39:R43" si="16">+D39/D$43</f>
        <v>0.37319297048438732</v>
      </c>
      <c r="N39" s="308">
        <f t="shared" si="16"/>
        <v>0.40826071042509143</v>
      </c>
      <c r="O39" s="308">
        <f t="shared" si="16"/>
        <v>0.41381152516191322</v>
      </c>
      <c r="P39" s="308">
        <f t="shared" si="16"/>
        <v>0.41381152516191322</v>
      </c>
      <c r="Q39" s="308">
        <f t="shared" si="16"/>
        <v>0.40903059440795048</v>
      </c>
      <c r="R39" s="308">
        <f t="shared" si="16"/>
        <v>0.40903059440795048</v>
      </c>
    </row>
    <row r="40" spans="2:18" x14ac:dyDescent="0.35">
      <c r="B40" s="306" t="s">
        <v>480</v>
      </c>
      <c r="C40" s="318">
        <v>0</v>
      </c>
      <c r="D40" s="318">
        <v>2104305.1080000019</v>
      </c>
      <c r="E40" s="318">
        <v>1855633.4720640006</v>
      </c>
      <c r="F40" s="318">
        <v>2354642.7537040007</v>
      </c>
      <c r="G40" s="318">
        <v>2343739.6939940709</v>
      </c>
      <c r="H40" s="307">
        <v>1848511.409493241</v>
      </c>
      <c r="I40" s="307">
        <v>1921481.1197257547</v>
      </c>
      <c r="K40" s="306" t="s">
        <v>480</v>
      </c>
      <c r="L40" s="320"/>
      <c r="M40" s="308">
        <f t="shared" si="16"/>
        <v>0.2376532045344241</v>
      </c>
      <c r="N40" s="308">
        <f t="shared" si="16"/>
        <v>0.21382150470494626</v>
      </c>
      <c r="O40" s="308">
        <f t="shared" si="16"/>
        <v>0.28610058830186352</v>
      </c>
      <c r="P40" s="308">
        <f t="shared" si="16"/>
        <v>0.28610058830186352</v>
      </c>
      <c r="Q40" s="308">
        <f t="shared" si="16"/>
        <v>0.21233308018983141</v>
      </c>
      <c r="R40" s="308">
        <f t="shared" si="16"/>
        <v>0.21233308018983141</v>
      </c>
    </row>
    <row r="41" spans="2:18" x14ac:dyDescent="0.35">
      <c r="B41" s="306" t="s">
        <v>481</v>
      </c>
      <c r="C41" s="318">
        <v>0</v>
      </c>
      <c r="D41" s="318">
        <v>2028463.5410100003</v>
      </c>
      <c r="E41" s="318">
        <v>2044703.7210010006</v>
      </c>
      <c r="F41" s="318">
        <v>1514140.8359999999</v>
      </c>
      <c r="G41" s="318">
        <v>1507129.6798837772</v>
      </c>
      <c r="H41" s="307">
        <v>2055002.0195405253</v>
      </c>
      <c r="I41" s="307">
        <v>2136122.9155885573</v>
      </c>
      <c r="K41" s="306" t="s">
        <v>481</v>
      </c>
      <c r="L41" s="320"/>
      <c r="M41" s="308">
        <f t="shared" si="16"/>
        <v>0.22908791076425564</v>
      </c>
      <c r="N41" s="308">
        <f t="shared" si="16"/>
        <v>0.23560774952714236</v>
      </c>
      <c r="O41" s="308">
        <f t="shared" si="16"/>
        <v>0.18397550255554904</v>
      </c>
      <c r="P41" s="308">
        <f t="shared" si="16"/>
        <v>0.18397550255554906</v>
      </c>
      <c r="Q41" s="308">
        <f t="shared" si="16"/>
        <v>0.23605205051181444</v>
      </c>
      <c r="R41" s="308">
        <f t="shared" si="16"/>
        <v>0.23605205051181441</v>
      </c>
    </row>
    <row r="42" spans="2:18" ht="15" thickBot="1" x14ac:dyDescent="0.4">
      <c r="B42" s="306" t="s">
        <v>482</v>
      </c>
      <c r="C42" s="318">
        <v>0</v>
      </c>
      <c r="D42" s="318">
        <v>1417306.8760560006</v>
      </c>
      <c r="E42" s="318">
        <v>1235026.6889999995</v>
      </c>
      <c r="F42" s="318">
        <v>955619.08900000073</v>
      </c>
      <c r="G42" s="318">
        <v>951194.14089654596</v>
      </c>
      <c r="H42" s="307">
        <v>1241298.1468247655</v>
      </c>
      <c r="I42" s="307">
        <v>1290298.2047204268</v>
      </c>
      <c r="K42" s="306" t="s">
        <v>482</v>
      </c>
      <c r="L42" s="320"/>
      <c r="M42" s="308">
        <f t="shared" si="16"/>
        <v>0.16006591421693306</v>
      </c>
      <c r="N42" s="308">
        <f t="shared" si="16"/>
        <v>0.14231003534281994</v>
      </c>
      <c r="O42" s="308">
        <f t="shared" si="16"/>
        <v>0.11611238398067424</v>
      </c>
      <c r="P42" s="308">
        <f t="shared" si="16"/>
        <v>0.11611238398067424</v>
      </c>
      <c r="Q42" s="308">
        <f t="shared" si="16"/>
        <v>0.14258427489040379</v>
      </c>
      <c r="R42" s="308">
        <f t="shared" si="16"/>
        <v>0.14258427489040379</v>
      </c>
    </row>
    <row r="43" spans="2:18" ht="15" thickBot="1" x14ac:dyDescent="0.4">
      <c r="B43" s="309" t="s">
        <v>483</v>
      </c>
      <c r="C43" s="310">
        <v>0</v>
      </c>
      <c r="D43" s="310">
        <f t="shared" ref="D43:I43" si="17">SUM(D39:D42)</f>
        <v>8854520.2330532558</v>
      </c>
      <c r="E43" s="310">
        <f t="shared" si="17"/>
        <v>8678423.0361890011</v>
      </c>
      <c r="F43" s="310">
        <f t="shared" si="17"/>
        <v>8230122.0269411933</v>
      </c>
      <c r="G43" s="310">
        <f t="shared" si="17"/>
        <v>8192012.8438226096</v>
      </c>
      <c r="H43" s="310">
        <f t="shared" si="17"/>
        <v>8705715.6041848157</v>
      </c>
      <c r="I43" s="310">
        <f t="shared" si="17"/>
        <v>9049372.4200105779</v>
      </c>
      <c r="K43" s="309" t="s">
        <v>483</v>
      </c>
      <c r="L43" s="321"/>
      <c r="M43" s="311">
        <f t="shared" si="16"/>
        <v>1</v>
      </c>
      <c r="N43" s="311">
        <f t="shared" si="16"/>
        <v>1</v>
      </c>
      <c r="O43" s="311">
        <f t="shared" si="16"/>
        <v>1</v>
      </c>
      <c r="P43" s="311">
        <f t="shared" si="16"/>
        <v>1</v>
      </c>
      <c r="Q43" s="311">
        <f t="shared" si="16"/>
        <v>1</v>
      </c>
      <c r="R43" s="311">
        <f t="shared" si="16"/>
        <v>1</v>
      </c>
    </row>
    <row r="45" spans="2:18" x14ac:dyDescent="0.35">
      <c r="B45" s="303" t="s">
        <v>6</v>
      </c>
      <c r="C45" s="313"/>
      <c r="D45" s="313"/>
      <c r="E45" s="313"/>
      <c r="F45" s="314"/>
      <c r="G45" s="314"/>
      <c r="H45" s="314"/>
      <c r="I45" s="314"/>
      <c r="K45" s="303"/>
      <c r="L45" s="313"/>
      <c r="M45" s="313"/>
      <c r="N45" s="313"/>
      <c r="O45" s="314"/>
      <c r="P45" s="314"/>
      <c r="Q45" s="314"/>
      <c r="R45" s="314"/>
    </row>
    <row r="46" spans="2:18" x14ac:dyDescent="0.35">
      <c r="B46" s="576" t="s">
        <v>478</v>
      </c>
      <c r="C46" s="577">
        <v>2020</v>
      </c>
      <c r="D46" s="577">
        <v>2021</v>
      </c>
      <c r="E46" s="577">
        <v>2022</v>
      </c>
      <c r="F46" s="577">
        <v>2023</v>
      </c>
      <c r="G46" s="577">
        <v>2024</v>
      </c>
      <c r="H46" s="577">
        <v>2025</v>
      </c>
      <c r="I46" s="577">
        <v>2026</v>
      </c>
      <c r="K46" s="576" t="str">
        <f>+K38</f>
        <v>Contratos  (MWh)</v>
      </c>
      <c r="L46" s="576">
        <f t="shared" ref="L46:R46" si="18">+L38</f>
        <v>2020</v>
      </c>
      <c r="M46" s="576">
        <f t="shared" si="18"/>
        <v>2021</v>
      </c>
      <c r="N46" s="576">
        <f t="shared" si="18"/>
        <v>2022</v>
      </c>
      <c r="O46" s="576">
        <f t="shared" si="18"/>
        <v>2023</v>
      </c>
      <c r="P46" s="576">
        <f t="shared" si="18"/>
        <v>2024</v>
      </c>
      <c r="Q46" s="576">
        <f t="shared" si="18"/>
        <v>2025</v>
      </c>
      <c r="R46" s="576">
        <f t="shared" si="18"/>
        <v>2026</v>
      </c>
    </row>
    <row r="47" spans="2:18" x14ac:dyDescent="0.35">
      <c r="B47" s="306" t="s">
        <v>479</v>
      </c>
      <c r="C47" s="318">
        <v>0</v>
      </c>
      <c r="D47" s="318">
        <v>393261.41889999993</v>
      </c>
      <c r="E47" s="318">
        <v>371237.48800000013</v>
      </c>
      <c r="F47" s="318">
        <v>383884.24199999997</v>
      </c>
      <c r="G47" s="318">
        <v>365869.14960101899</v>
      </c>
      <c r="H47" s="307">
        <v>439925.05160753813</v>
      </c>
      <c r="I47" s="307">
        <v>444027.43723620434</v>
      </c>
      <c r="K47" s="306" t="s">
        <v>479</v>
      </c>
      <c r="L47" s="322"/>
      <c r="M47" s="323">
        <f t="shared" ref="M47:R51" si="19">+D47/D$51</f>
        <v>0.17833575034202459</v>
      </c>
      <c r="N47" s="323">
        <f t="shared" si="19"/>
        <v>0.17084074233166954</v>
      </c>
      <c r="O47" s="323">
        <f t="shared" si="19"/>
        <v>0.16794737027514409</v>
      </c>
      <c r="P47" s="323">
        <f t="shared" si="19"/>
        <v>0.16794737027514409</v>
      </c>
      <c r="Q47" s="323">
        <f t="shared" si="19"/>
        <v>0.17128615155762333</v>
      </c>
      <c r="R47" s="323">
        <f t="shared" si="19"/>
        <v>0.17128615155762333</v>
      </c>
    </row>
    <row r="48" spans="2:18" x14ac:dyDescent="0.35">
      <c r="B48" s="306" t="s">
        <v>480</v>
      </c>
      <c r="C48" s="318">
        <v>0</v>
      </c>
      <c r="D48" s="318">
        <v>389512.62100000045</v>
      </c>
      <c r="E48" s="318">
        <v>386795.23212800018</v>
      </c>
      <c r="F48" s="318">
        <v>312039.72414399986</v>
      </c>
      <c r="G48" s="318">
        <v>297396.1835982363</v>
      </c>
      <c r="H48" s="307">
        <v>458160.45793128328</v>
      </c>
      <c r="I48" s="307">
        <v>462432.89222747146</v>
      </c>
      <c r="K48" s="306" t="s">
        <v>480</v>
      </c>
      <c r="L48" s="324"/>
      <c r="M48" s="323">
        <f t="shared" si="19"/>
        <v>0.17663574964465892</v>
      </c>
      <c r="N48" s="323">
        <f t="shared" si="19"/>
        <v>0.17800030094778027</v>
      </c>
      <c r="O48" s="323">
        <f t="shared" si="19"/>
        <v>0.13651576532116722</v>
      </c>
      <c r="P48" s="323">
        <f t="shared" si="19"/>
        <v>0.13651576532116722</v>
      </c>
      <c r="Q48" s="323">
        <f t="shared" si="19"/>
        <v>0.17838616225233214</v>
      </c>
      <c r="R48" s="323">
        <f t="shared" si="19"/>
        <v>0.17838616225233214</v>
      </c>
    </row>
    <row r="49" spans="2:18" x14ac:dyDescent="0.35">
      <c r="B49" s="306" t="s">
        <v>481</v>
      </c>
      <c r="C49" s="318">
        <v>0</v>
      </c>
      <c r="D49" s="318">
        <v>320525.75900599995</v>
      </c>
      <c r="E49" s="318">
        <v>317723.9390040001</v>
      </c>
      <c r="F49" s="318">
        <v>248083.46900000001</v>
      </c>
      <c r="G49" s="318">
        <v>236441.29636636862</v>
      </c>
      <c r="H49" s="307">
        <v>375051.77854949847</v>
      </c>
      <c r="I49" s="307">
        <v>378549.20844285167</v>
      </c>
      <c r="K49" s="306" t="s">
        <v>481</v>
      </c>
      <c r="L49" s="324"/>
      <c r="M49" s="323">
        <f t="shared" si="19"/>
        <v>0.14535166428521973</v>
      </c>
      <c r="N49" s="323">
        <f t="shared" si="19"/>
        <v>0.14621420344269073</v>
      </c>
      <c r="O49" s="323">
        <f t="shared" si="19"/>
        <v>0.10853523450250202</v>
      </c>
      <c r="P49" s="323">
        <f t="shared" si="19"/>
        <v>0.10853523450250202</v>
      </c>
      <c r="Q49" s="323">
        <f t="shared" si="19"/>
        <v>0.14602754616460401</v>
      </c>
      <c r="R49" s="323">
        <f t="shared" si="19"/>
        <v>0.14602754616460401</v>
      </c>
    </row>
    <row r="50" spans="2:18" ht="15" thickBot="1" x14ac:dyDescent="0.4">
      <c r="B50" s="306" t="s">
        <v>482</v>
      </c>
      <c r="C50" s="318">
        <v>0</v>
      </c>
      <c r="D50" s="318">
        <v>1101874.5317920006</v>
      </c>
      <c r="E50" s="318">
        <v>1097246.5890000002</v>
      </c>
      <c r="F50" s="318">
        <v>1341733.8740000001</v>
      </c>
      <c r="G50" s="318">
        <v>1278768.3831816697</v>
      </c>
      <c r="H50" s="307">
        <v>1295225.931045251</v>
      </c>
      <c r="I50" s="307">
        <v>1307304.1617029042</v>
      </c>
      <c r="K50" s="306" t="s">
        <v>482</v>
      </c>
      <c r="L50" s="324"/>
      <c r="M50" s="323">
        <f t="shared" si="19"/>
        <v>0.49967683572809668</v>
      </c>
      <c r="N50" s="323">
        <f t="shared" si="19"/>
        <v>0.50494475327785937</v>
      </c>
      <c r="O50" s="323">
        <f t="shared" si="19"/>
        <v>0.58700162990118665</v>
      </c>
      <c r="P50" s="323">
        <f t="shared" si="19"/>
        <v>0.58700162990118665</v>
      </c>
      <c r="Q50" s="323">
        <f t="shared" si="19"/>
        <v>0.50430014002544055</v>
      </c>
      <c r="R50" s="323">
        <f t="shared" si="19"/>
        <v>0.50430014002544055</v>
      </c>
    </row>
    <row r="51" spans="2:18" ht="15" thickBot="1" x14ac:dyDescent="0.4">
      <c r="B51" s="309" t="s">
        <v>483</v>
      </c>
      <c r="C51" s="310">
        <v>0</v>
      </c>
      <c r="D51" s="310">
        <f t="shared" ref="D51:I51" si="20">SUM(D47:D50)</f>
        <v>2205174.3306980012</v>
      </c>
      <c r="E51" s="310">
        <f t="shared" si="20"/>
        <v>2173003.2481320007</v>
      </c>
      <c r="F51" s="310">
        <f t="shared" si="20"/>
        <v>2285741.3091440001</v>
      </c>
      <c r="G51" s="310">
        <f t="shared" si="20"/>
        <v>2178475.0127472938</v>
      </c>
      <c r="H51" s="310">
        <f t="shared" si="20"/>
        <v>2568363.2191335708</v>
      </c>
      <c r="I51" s="310">
        <f t="shared" si="20"/>
        <v>2592313.6996094314</v>
      </c>
      <c r="K51" s="309" t="s">
        <v>483</v>
      </c>
      <c r="L51" s="325"/>
      <c r="M51" s="326">
        <f t="shared" si="19"/>
        <v>1</v>
      </c>
      <c r="N51" s="326">
        <f t="shared" si="19"/>
        <v>1</v>
      </c>
      <c r="O51" s="326">
        <f t="shared" si="19"/>
        <v>1</v>
      </c>
      <c r="P51" s="326">
        <f t="shared" si="19"/>
        <v>1</v>
      </c>
      <c r="Q51" s="326">
        <f t="shared" si="19"/>
        <v>1</v>
      </c>
      <c r="R51" s="326">
        <f t="shared" si="19"/>
        <v>1</v>
      </c>
    </row>
    <row r="53" spans="2:18" x14ac:dyDescent="0.35">
      <c r="B53" s="303" t="s">
        <v>7</v>
      </c>
      <c r="C53" s="313"/>
      <c r="D53" s="313"/>
      <c r="E53" s="313"/>
      <c r="F53" s="314"/>
      <c r="G53" s="314"/>
      <c r="H53" s="314"/>
      <c r="I53" s="314"/>
      <c r="K53" s="303"/>
      <c r="L53" s="313"/>
      <c r="M53" s="313"/>
      <c r="N53" s="313"/>
      <c r="O53" s="314"/>
      <c r="P53" s="314"/>
      <c r="Q53" s="314"/>
      <c r="R53" s="314"/>
    </row>
    <row r="54" spans="2:18" x14ac:dyDescent="0.35">
      <c r="B54" s="576" t="s">
        <v>478</v>
      </c>
      <c r="C54" s="577">
        <v>2020</v>
      </c>
      <c r="D54" s="577">
        <v>2021</v>
      </c>
      <c r="E54" s="577">
        <v>2022</v>
      </c>
      <c r="F54" s="577">
        <v>2023</v>
      </c>
      <c r="G54" s="577">
        <v>2024</v>
      </c>
      <c r="H54" s="577">
        <v>2025</v>
      </c>
      <c r="I54" s="577">
        <v>2026</v>
      </c>
      <c r="K54" s="576" t="str">
        <f>+K46</f>
        <v>Contratos  (MWh)</v>
      </c>
      <c r="L54" s="576">
        <f t="shared" ref="L54:R54" si="21">+L46</f>
        <v>2020</v>
      </c>
      <c r="M54" s="576">
        <f t="shared" si="21"/>
        <v>2021</v>
      </c>
      <c r="N54" s="576">
        <f t="shared" si="21"/>
        <v>2022</v>
      </c>
      <c r="O54" s="576">
        <f t="shared" si="21"/>
        <v>2023</v>
      </c>
      <c r="P54" s="576">
        <f t="shared" si="21"/>
        <v>2024</v>
      </c>
      <c r="Q54" s="576">
        <f t="shared" si="21"/>
        <v>2025</v>
      </c>
      <c r="R54" s="576">
        <f t="shared" si="21"/>
        <v>2026</v>
      </c>
    </row>
    <row r="55" spans="2:18" x14ac:dyDescent="0.35">
      <c r="B55" s="306" t="s">
        <v>479</v>
      </c>
      <c r="C55" s="318"/>
      <c r="D55" s="318"/>
      <c r="E55" s="318">
        <v>6089494.084919</v>
      </c>
      <c r="F55" s="318">
        <v>6011362.0001427522</v>
      </c>
      <c r="G55" s="318">
        <v>6579134.1179872137</v>
      </c>
      <c r="H55" s="307"/>
      <c r="I55" s="307"/>
      <c r="K55" s="306"/>
      <c r="L55" s="322"/>
      <c r="M55" s="323"/>
      <c r="N55" s="323">
        <f>+E55/E$59</f>
        <v>0.45297264079950039</v>
      </c>
      <c r="O55" s="323">
        <f t="shared" ref="O55:P58" si="22">+F55/F$59</f>
        <v>0.41558530502889357</v>
      </c>
      <c r="P55" s="323">
        <f t="shared" si="22"/>
        <v>0.41558530502889351</v>
      </c>
      <c r="Q55" s="323"/>
      <c r="R55" s="323"/>
    </row>
    <row r="56" spans="2:18" x14ac:dyDescent="0.35">
      <c r="B56" s="306" t="s">
        <v>480</v>
      </c>
      <c r="C56" s="318"/>
      <c r="D56" s="318"/>
      <c r="E56" s="318">
        <v>3743866.6098221643</v>
      </c>
      <c r="F56" s="318">
        <v>3643532.6427440038</v>
      </c>
      <c r="G56" s="318">
        <v>3987663.6807611897</v>
      </c>
      <c r="H56" s="307"/>
      <c r="I56" s="307"/>
      <c r="K56" s="306"/>
      <c r="L56" s="324"/>
      <c r="M56" s="323"/>
      <c r="N56" s="323">
        <f t="shared" ref="N56:N58" si="23">+E56/E$59</f>
        <v>0.27849097501418729</v>
      </c>
      <c r="O56" s="323">
        <f t="shared" si="22"/>
        <v>0.25188944280539749</v>
      </c>
      <c r="P56" s="323">
        <f t="shared" si="22"/>
        <v>0.25188944280539749</v>
      </c>
      <c r="Q56" s="323"/>
      <c r="R56" s="323"/>
    </row>
    <row r="57" spans="2:18" x14ac:dyDescent="0.35">
      <c r="B57" s="306" t="s">
        <v>481</v>
      </c>
      <c r="C57" s="318"/>
      <c r="D57" s="318"/>
      <c r="E57" s="318">
        <v>3332690.0280080005</v>
      </c>
      <c r="F57" s="318">
        <v>2608272.4469999997</v>
      </c>
      <c r="G57" s="318">
        <v>2854623.3357192911</v>
      </c>
      <c r="H57" s="307"/>
      <c r="I57" s="307"/>
      <c r="K57" s="306"/>
      <c r="L57" s="324"/>
      <c r="M57" s="323"/>
      <c r="N57" s="323">
        <f t="shared" si="23"/>
        <v>0.24790522527833692</v>
      </c>
      <c r="O57" s="323">
        <f t="shared" si="22"/>
        <v>0.18031848696837965</v>
      </c>
      <c r="P57" s="323">
        <f t="shared" si="22"/>
        <v>0.18031848696837963</v>
      </c>
      <c r="Q57" s="323"/>
      <c r="R57" s="323"/>
    </row>
    <row r="58" spans="2:18" ht="15" thickBot="1" x14ac:dyDescent="0.4">
      <c r="B58" s="306" t="s">
        <v>482</v>
      </c>
      <c r="C58" s="318"/>
      <c r="D58" s="318"/>
      <c r="E58" s="318">
        <v>277352.99843583629</v>
      </c>
      <c r="F58" s="318">
        <v>2201641.7649999987</v>
      </c>
      <c r="G58" s="318">
        <v>2409586.4550085496</v>
      </c>
      <c r="H58" s="307"/>
      <c r="I58" s="307"/>
      <c r="K58" s="306"/>
      <c r="L58" s="324"/>
      <c r="M58" s="323"/>
      <c r="N58" s="323">
        <f t="shared" si="23"/>
        <v>2.0631158907975452E-2</v>
      </c>
      <c r="O58" s="323">
        <f t="shared" si="22"/>
        <v>0.15220676519732937</v>
      </c>
      <c r="P58" s="323">
        <f t="shared" si="22"/>
        <v>0.15220676519732934</v>
      </c>
      <c r="Q58" s="323"/>
      <c r="R58" s="323"/>
    </row>
    <row r="59" spans="2:18" ht="15" thickBot="1" x14ac:dyDescent="0.4">
      <c r="B59" s="309" t="s">
        <v>483</v>
      </c>
      <c r="C59" s="310">
        <v>0</v>
      </c>
      <c r="D59" s="310">
        <f t="shared" ref="D59:I59" si="24">SUM(D55:D58)</f>
        <v>0</v>
      </c>
      <c r="E59" s="310">
        <f t="shared" si="24"/>
        <v>13443403.721185001</v>
      </c>
      <c r="F59" s="310">
        <f t="shared" si="24"/>
        <v>14464808.854886753</v>
      </c>
      <c r="G59" s="310">
        <f t="shared" si="24"/>
        <v>15831007.589476245</v>
      </c>
      <c r="H59" s="310">
        <f t="shared" si="24"/>
        <v>0</v>
      </c>
      <c r="I59" s="310">
        <f t="shared" si="24"/>
        <v>0</v>
      </c>
      <c r="K59" s="309" t="s">
        <v>483</v>
      </c>
      <c r="L59" s="325"/>
      <c r="M59" s="326">
        <f t="shared" ref="M59" si="25">+D59/D$51</f>
        <v>0</v>
      </c>
      <c r="N59" s="326">
        <f>SUM(N55:N58)</f>
        <v>1</v>
      </c>
      <c r="O59" s="326">
        <f t="shared" ref="O59:R59" si="26">SUM(O55:O58)</f>
        <v>1</v>
      </c>
      <c r="P59" s="326">
        <f t="shared" si="26"/>
        <v>1</v>
      </c>
      <c r="Q59" s="326">
        <f t="shared" si="26"/>
        <v>0</v>
      </c>
      <c r="R59" s="326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3ECE-E82D-4605-B81F-EFEAC081826D}">
  <sheetPr>
    <tabColor theme="9" tint="0.79998168889431442"/>
  </sheetPr>
  <dimension ref="C4:P245"/>
  <sheetViews>
    <sheetView showGridLines="0" zoomScale="85" zoomScaleNormal="85" workbookViewId="0"/>
  </sheetViews>
  <sheetFormatPr defaultRowHeight="12" x14ac:dyDescent="0.3"/>
  <cols>
    <col min="1" max="1" width="8.7265625" style="3"/>
    <col min="2" max="2" width="1.90625" style="3" customWidth="1"/>
    <col min="3" max="3" width="42.7265625" style="3" customWidth="1"/>
    <col min="4" max="4" width="0.6328125" style="3" customWidth="1"/>
    <col min="5" max="15" width="12.1796875" style="3" customWidth="1"/>
    <col min="16" max="16" width="12.1796875" style="3" hidden="1" customWidth="1"/>
    <col min="17" max="16384" width="8.7265625" style="3"/>
  </cols>
  <sheetData>
    <row r="4" spans="3:16" x14ac:dyDescent="0.3">
      <c r="N4" s="4"/>
      <c r="O4" s="4"/>
      <c r="P4" s="4"/>
    </row>
    <row r="5" spans="3:16" x14ac:dyDescent="0.3">
      <c r="C5" s="5"/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</row>
    <row r="6" spans="3:16" ht="3.5" customHeight="1" x14ac:dyDescent="0.3">
      <c r="M6" s="7"/>
    </row>
    <row r="7" spans="3:16" x14ac:dyDescent="0.3">
      <c r="C7" s="8" t="s">
        <v>8</v>
      </c>
      <c r="E7" s="9">
        <f>M20</f>
        <v>4365.6003672457146</v>
      </c>
      <c r="F7" s="9">
        <f>O53</f>
        <v>8544.9870004013137</v>
      </c>
      <c r="G7" s="10">
        <f>O86</f>
        <v>3102.549072619659</v>
      </c>
      <c r="H7" s="10">
        <f>L119</f>
        <v>1354.0702513288197</v>
      </c>
      <c r="I7" s="10">
        <f>M152</f>
        <v>2953.4600352930588</v>
      </c>
      <c r="J7" s="10">
        <f>I185</f>
        <v>465.50859184775999</v>
      </c>
      <c r="K7" s="10">
        <f>O218</f>
        <v>9392.7278946522347</v>
      </c>
      <c r="L7" s="11"/>
      <c r="M7" s="7"/>
      <c r="N7" s="11"/>
      <c r="O7" s="11"/>
      <c r="P7" s="11"/>
    </row>
    <row r="8" spans="3:16" x14ac:dyDescent="0.3">
      <c r="C8" s="8" t="s">
        <v>9</v>
      </c>
      <c r="E8" s="9">
        <f>O40</f>
        <v>1781.6699004932386</v>
      </c>
      <c r="F8" s="9">
        <f>O73</f>
        <v>3294.2340767195465</v>
      </c>
      <c r="G8" s="9">
        <f>O106</f>
        <v>1249.0558107425582</v>
      </c>
      <c r="H8" s="9">
        <f>O139</f>
        <v>855.95278829565541</v>
      </c>
      <c r="I8" s="9">
        <f>N172</f>
        <v>1048.528272564879</v>
      </c>
      <c r="J8" s="9">
        <f>N205</f>
        <v>276.30216334839128</v>
      </c>
      <c r="K8" s="9">
        <f>O238</f>
        <v>3045.8684813985224</v>
      </c>
      <c r="L8" s="11"/>
      <c r="M8" s="7"/>
      <c r="N8" s="11"/>
      <c r="O8" s="11"/>
      <c r="P8" s="11"/>
    </row>
    <row r="9" spans="3:16" x14ac:dyDescent="0.3">
      <c r="C9" s="8" t="s">
        <v>10</v>
      </c>
      <c r="E9" s="9">
        <f>O42</f>
        <v>241.4669008525116</v>
      </c>
      <c r="F9" s="9">
        <f>O75</f>
        <v>331.06824496213028</v>
      </c>
      <c r="G9" s="9">
        <f>O108</f>
        <v>306.41370242068666</v>
      </c>
      <c r="H9" s="9">
        <f>O141</f>
        <v>211.59568665506416</v>
      </c>
      <c r="I9" s="9">
        <f>N174</f>
        <v>131.38186255227652</v>
      </c>
      <c r="J9" s="9">
        <f>N207</f>
        <v>255.37568738917665</v>
      </c>
      <c r="K9" s="9">
        <f>O240</f>
        <v>202.80162487675707</v>
      </c>
      <c r="L9" s="11"/>
      <c r="M9" s="12"/>
      <c r="N9" s="11"/>
      <c r="O9" s="11"/>
      <c r="P9" s="11"/>
    </row>
    <row r="10" spans="3:16" x14ac:dyDescent="0.3">
      <c r="C10" s="8" t="s">
        <v>11</v>
      </c>
      <c r="E10" s="13" t="s">
        <v>12</v>
      </c>
      <c r="F10" s="13" t="s">
        <v>13</v>
      </c>
      <c r="G10" s="13" t="s">
        <v>13</v>
      </c>
      <c r="H10" s="13" t="s">
        <v>12</v>
      </c>
      <c r="I10" s="13" t="s">
        <v>14</v>
      </c>
      <c r="J10" s="13" t="s">
        <v>14</v>
      </c>
      <c r="K10" s="14" t="s">
        <v>12</v>
      </c>
      <c r="L10" s="11"/>
      <c r="M10" s="15"/>
      <c r="N10" s="11"/>
      <c r="O10" s="11"/>
      <c r="P10" s="11"/>
    </row>
    <row r="11" spans="3:16" x14ac:dyDescent="0.3">
      <c r="C11" s="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3:16" x14ac:dyDescent="0.3">
      <c r="C12" s="8"/>
      <c r="E12" s="11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3:16" x14ac:dyDescent="0.3">
      <c r="C13" s="8"/>
      <c r="E13" s="11"/>
      <c r="F13" s="9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3:16" x14ac:dyDescent="0.3">
      <c r="N14" s="4"/>
      <c r="O14" s="16"/>
      <c r="P14" s="16"/>
    </row>
    <row r="16" spans="3:16" x14ac:dyDescent="0.3">
      <c r="C16" s="5" t="s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3:16" ht="3.5" customHeight="1" x14ac:dyDescent="0.3"/>
    <row r="18" spans="3:16" x14ac:dyDescent="0.3">
      <c r="C18" s="17" t="s">
        <v>15</v>
      </c>
      <c r="E18" s="18">
        <f t="shared" ref="E18:G18" si="0">F18-1</f>
        <v>2013</v>
      </c>
      <c r="F18" s="18">
        <f t="shared" si="0"/>
        <v>2014</v>
      </c>
      <c r="G18" s="18">
        <f t="shared" si="0"/>
        <v>2015</v>
      </c>
      <c r="H18" s="18">
        <f>I18-1</f>
        <v>2016</v>
      </c>
      <c r="I18" s="18">
        <v>2017</v>
      </c>
      <c r="J18" s="18">
        <f>I18+1</f>
        <v>2018</v>
      </c>
      <c r="K18" s="18">
        <f t="shared" ref="K18:O18" si="1">J18+1</f>
        <v>2019</v>
      </c>
      <c r="L18" s="18">
        <f t="shared" si="1"/>
        <v>2020</v>
      </c>
      <c r="M18" s="18">
        <f t="shared" si="1"/>
        <v>2021</v>
      </c>
      <c r="N18" s="18">
        <f t="shared" si="1"/>
        <v>2022</v>
      </c>
      <c r="O18" s="18">
        <f t="shared" si="1"/>
        <v>2023</v>
      </c>
      <c r="P18" s="18"/>
    </row>
    <row r="19" spans="3:16" x14ac:dyDescent="0.3">
      <c r="C19" s="3" t="s">
        <v>16</v>
      </c>
      <c r="E19" s="19" t="s">
        <v>17</v>
      </c>
      <c r="F19" s="20" t="s">
        <v>18</v>
      </c>
      <c r="G19" s="20" t="str">
        <f>F19</f>
        <v>RTA</v>
      </c>
      <c r="H19" s="20" t="str">
        <f>G19</f>
        <v>RTA</v>
      </c>
      <c r="I19" s="19" t="s">
        <v>17</v>
      </c>
      <c r="J19" s="20" t="s">
        <v>18</v>
      </c>
      <c r="K19" s="20" t="str">
        <f>J19</f>
        <v>RTA</v>
      </c>
      <c r="L19" s="20" t="str">
        <f>K19</f>
        <v>RTA</v>
      </c>
      <c r="M19" s="19" t="s">
        <v>17</v>
      </c>
      <c r="N19" s="20" t="s">
        <v>17</v>
      </c>
      <c r="O19" s="20" t="s">
        <v>18</v>
      </c>
      <c r="P19" s="20"/>
    </row>
    <row r="20" spans="3:16" x14ac:dyDescent="0.3">
      <c r="C20" s="3" t="s">
        <v>19</v>
      </c>
      <c r="E20" s="21">
        <v>2069.4811228100007</v>
      </c>
      <c r="F20" s="22">
        <v>0</v>
      </c>
      <c r="G20" s="22">
        <v>0</v>
      </c>
      <c r="H20" s="22">
        <v>0</v>
      </c>
      <c r="I20" s="21">
        <v>3309.9566568925097</v>
      </c>
      <c r="J20" s="22">
        <v>0</v>
      </c>
      <c r="K20" s="22">
        <v>0</v>
      </c>
      <c r="L20" s="22">
        <v>0</v>
      </c>
      <c r="M20" s="21">
        <v>4365.6003672457146</v>
      </c>
      <c r="N20" s="22">
        <v>0</v>
      </c>
      <c r="O20" s="22">
        <v>0</v>
      </c>
      <c r="P20" s="22"/>
    </row>
    <row r="21" spans="3:16" x14ac:dyDescent="0.3">
      <c r="C21" s="23" t="s">
        <v>20</v>
      </c>
      <c r="E21" s="21"/>
      <c r="F21" s="22"/>
      <c r="G21" s="22"/>
      <c r="H21" s="22"/>
      <c r="I21" s="21"/>
      <c r="J21" s="22"/>
      <c r="K21" s="22"/>
      <c r="L21" s="22"/>
      <c r="M21" s="21"/>
      <c r="N21" s="22"/>
      <c r="O21" s="22"/>
      <c r="P21" s="22"/>
    </row>
    <row r="22" spans="3:16" x14ac:dyDescent="0.3">
      <c r="C22" s="23" t="s">
        <v>21</v>
      </c>
      <c r="E22" s="21"/>
      <c r="F22" s="22"/>
      <c r="G22" s="22"/>
      <c r="H22" s="22"/>
      <c r="I22" s="21"/>
      <c r="J22" s="22"/>
      <c r="K22" s="22"/>
      <c r="L22" s="22"/>
      <c r="M22" s="21"/>
      <c r="N22" s="22"/>
      <c r="O22" s="22"/>
      <c r="P22" s="22"/>
    </row>
    <row r="23" spans="3:16" ht="4.5" customHeight="1" x14ac:dyDescent="0.3"/>
    <row r="24" spans="3:16" x14ac:dyDescent="0.3">
      <c r="C24" s="24" t="s">
        <v>22</v>
      </c>
      <c r="D24" s="23"/>
      <c r="E24" s="25">
        <f t="shared" ref="E24:H24" si="2">SUM(E25:E27)</f>
        <v>427.82194355355722</v>
      </c>
      <c r="F24" s="25">
        <f t="shared" si="2"/>
        <v>0</v>
      </c>
      <c r="G24" s="25">
        <f t="shared" si="2"/>
        <v>0</v>
      </c>
      <c r="H24" s="25">
        <f t="shared" si="2"/>
        <v>0</v>
      </c>
      <c r="I24" s="25">
        <f>SUM(I25:I27)</f>
        <v>632.5306939036883</v>
      </c>
      <c r="J24" s="25">
        <f t="shared" ref="J24:O24" si="3">SUM(J25:J27)</f>
        <v>0</v>
      </c>
      <c r="K24" s="25">
        <f t="shared" si="3"/>
        <v>0</v>
      </c>
      <c r="L24" s="25">
        <f t="shared" si="3"/>
        <v>0</v>
      </c>
      <c r="M24" s="25">
        <f t="shared" si="3"/>
        <v>815.77836056852607</v>
      </c>
      <c r="N24" s="25">
        <f t="shared" si="3"/>
        <v>0</v>
      </c>
      <c r="O24" s="25">
        <f t="shared" si="3"/>
        <v>0</v>
      </c>
      <c r="P24" s="25"/>
    </row>
    <row r="25" spans="3:16" x14ac:dyDescent="0.3">
      <c r="C25" s="3" t="s">
        <v>23</v>
      </c>
      <c r="E25" s="4">
        <v>409.23963935899752</v>
      </c>
      <c r="F25" s="4"/>
      <c r="G25" s="4"/>
      <c r="H25" s="4"/>
      <c r="I25" s="4">
        <v>576.83593994179819</v>
      </c>
      <c r="J25" s="4"/>
      <c r="K25" s="4"/>
      <c r="L25" s="4"/>
      <c r="M25" s="4">
        <v>738.19963611455626</v>
      </c>
      <c r="N25" s="4"/>
      <c r="O25" s="4"/>
      <c r="P25" s="4"/>
    </row>
    <row r="26" spans="3:16" x14ac:dyDescent="0.3">
      <c r="C26" s="3" t="s">
        <v>24</v>
      </c>
      <c r="E26" s="4">
        <v>2.699911179040412</v>
      </c>
      <c r="F26" s="4"/>
      <c r="G26" s="4"/>
      <c r="H26" s="4"/>
      <c r="I26" s="4">
        <v>6.3320684675445502</v>
      </c>
      <c r="J26" s="4"/>
      <c r="K26" s="4"/>
      <c r="L26" s="4"/>
      <c r="M26" s="4">
        <v>9.3877705799639983</v>
      </c>
      <c r="N26" s="4"/>
      <c r="O26" s="4"/>
      <c r="P26" s="4"/>
    </row>
    <row r="27" spans="3:16" x14ac:dyDescent="0.3">
      <c r="C27" s="3" t="s">
        <v>25</v>
      </c>
      <c r="E27" s="4">
        <v>15.882393015519304</v>
      </c>
      <c r="F27" s="4"/>
      <c r="G27" s="4"/>
      <c r="H27" s="4"/>
      <c r="I27" s="4">
        <v>49.362685494345577</v>
      </c>
      <c r="J27" s="4"/>
      <c r="K27" s="4"/>
      <c r="L27" s="4"/>
      <c r="M27" s="4">
        <v>68.190953874005842</v>
      </c>
      <c r="N27" s="4"/>
      <c r="O27" s="4"/>
      <c r="P27" s="4"/>
    </row>
    <row r="28" spans="3:16" x14ac:dyDescent="0.3">
      <c r="C28" s="24" t="s">
        <v>26</v>
      </c>
      <c r="D28" s="23"/>
      <c r="E28" s="25">
        <f t="shared" ref="E28:H28" si="4">SUM(E29:E31)</f>
        <v>385.42985380412949</v>
      </c>
      <c r="F28" s="25">
        <f t="shared" si="4"/>
        <v>0</v>
      </c>
      <c r="G28" s="25">
        <f t="shared" si="4"/>
        <v>0</v>
      </c>
      <c r="H28" s="25">
        <f t="shared" si="4"/>
        <v>0</v>
      </c>
      <c r="I28" s="25">
        <f>SUM(I29:I31)</f>
        <v>709.0292589303815</v>
      </c>
      <c r="J28" s="25">
        <f t="shared" ref="J28:O28" si="5">SUM(J29:J31)</f>
        <v>0</v>
      </c>
      <c r="K28" s="25">
        <f t="shared" si="5"/>
        <v>0</v>
      </c>
      <c r="L28" s="25">
        <f t="shared" si="5"/>
        <v>0</v>
      </c>
      <c r="M28" s="25">
        <f t="shared" si="5"/>
        <v>869.64779027729617</v>
      </c>
      <c r="N28" s="25">
        <f t="shared" si="5"/>
        <v>0</v>
      </c>
      <c r="O28" s="25">
        <f t="shared" si="5"/>
        <v>0</v>
      </c>
      <c r="P28" s="25"/>
    </row>
    <row r="29" spans="3:16" x14ac:dyDescent="0.3">
      <c r="C29" s="3" t="s">
        <v>27</v>
      </c>
      <c r="E29" s="4">
        <v>215.77988597994806</v>
      </c>
      <c r="F29" s="4"/>
      <c r="G29" s="4"/>
      <c r="H29" s="4"/>
      <c r="I29" s="4">
        <v>430.0577739758383</v>
      </c>
      <c r="J29" s="4"/>
      <c r="K29" s="4"/>
      <c r="L29" s="4"/>
      <c r="M29" s="4">
        <v>515.8289017508597</v>
      </c>
      <c r="N29" s="4"/>
      <c r="O29" s="4"/>
      <c r="P29" s="4"/>
    </row>
    <row r="30" spans="3:16" x14ac:dyDescent="0.3">
      <c r="C30" s="3" t="s">
        <v>28</v>
      </c>
      <c r="E30" s="4">
        <v>125.12602869</v>
      </c>
      <c r="F30" s="4"/>
      <c r="G30" s="4"/>
      <c r="H30" s="4"/>
      <c r="I30" s="4">
        <v>190.46458053510949</v>
      </c>
      <c r="J30" s="4"/>
      <c r="K30" s="4"/>
      <c r="L30" s="4"/>
      <c r="M30" s="4">
        <v>244.03578951005028</v>
      </c>
      <c r="N30" s="4"/>
      <c r="O30" s="4"/>
      <c r="P30" s="4"/>
    </row>
    <row r="31" spans="3:16" x14ac:dyDescent="0.3">
      <c r="C31" s="3" t="s">
        <v>29</v>
      </c>
      <c r="E31" s="4">
        <v>44.523939134181425</v>
      </c>
      <c r="F31" s="4"/>
      <c r="G31" s="4"/>
      <c r="H31" s="4"/>
      <c r="I31" s="4">
        <v>88.506904419433639</v>
      </c>
      <c r="J31" s="4"/>
      <c r="K31" s="4"/>
      <c r="L31" s="4"/>
      <c r="M31" s="4">
        <v>109.78309901638622</v>
      </c>
      <c r="N31" s="4"/>
      <c r="O31" s="4"/>
      <c r="P31" s="4"/>
    </row>
    <row r="32" spans="3:16" x14ac:dyDescent="0.3">
      <c r="C32" s="24" t="s">
        <v>30</v>
      </c>
      <c r="D32" s="23"/>
      <c r="E32" s="25">
        <f t="shared" ref="E32:H32" si="6">E28+E24</f>
        <v>813.25179735768666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>I28+I24</f>
        <v>1341.5599528340699</v>
      </c>
      <c r="J32" s="25">
        <f t="shared" ref="J32:O32" si="7">J28+J24</f>
        <v>0</v>
      </c>
      <c r="K32" s="25">
        <f t="shared" si="7"/>
        <v>0</v>
      </c>
      <c r="L32" s="25">
        <f t="shared" si="7"/>
        <v>0</v>
      </c>
      <c r="M32" s="25">
        <f t="shared" si="7"/>
        <v>1685.4261508458221</v>
      </c>
      <c r="N32" s="25">
        <f t="shared" si="7"/>
        <v>0</v>
      </c>
      <c r="O32" s="25">
        <f t="shared" si="7"/>
        <v>0</v>
      </c>
      <c r="P32" s="25"/>
    </row>
    <row r="33" spans="3:16" x14ac:dyDescent="0.3">
      <c r="C33" s="3" t="s">
        <v>31</v>
      </c>
      <c r="E33" s="4">
        <f>E32*(1-E45-E47)</f>
        <v>802.63696706191206</v>
      </c>
      <c r="F33" s="4"/>
      <c r="G33" s="4"/>
      <c r="H33" s="4"/>
      <c r="I33" s="4">
        <f t="shared" ref="I33:M33" si="8">I32*(1-I45-I47)</f>
        <v>1329.2178776965411</v>
      </c>
      <c r="J33" s="4"/>
      <c r="K33" s="4"/>
      <c r="L33" s="4"/>
      <c r="M33" s="4">
        <f t="shared" si="8"/>
        <v>1673.1391245992293</v>
      </c>
      <c r="N33" s="4"/>
      <c r="O33" s="4"/>
      <c r="P33" s="4"/>
    </row>
    <row r="34" spans="3:16" x14ac:dyDescent="0.3">
      <c r="C34" s="3" t="s">
        <v>32</v>
      </c>
      <c r="E34" s="4">
        <v>0</v>
      </c>
      <c r="F34" s="4"/>
      <c r="G34" s="4"/>
      <c r="H34" s="4"/>
      <c r="I34" s="4">
        <v>0</v>
      </c>
      <c r="J34" s="4"/>
      <c r="K34" s="4"/>
      <c r="L34" s="4"/>
      <c r="M34" s="4">
        <v>0</v>
      </c>
      <c r="N34" s="4"/>
      <c r="O34" s="4"/>
      <c r="P34" s="4"/>
    </row>
    <row r="35" spans="3:16" x14ac:dyDescent="0.3">
      <c r="C35" s="644" t="s">
        <v>1165</v>
      </c>
      <c r="E35" s="646">
        <v>13.223121472635805</v>
      </c>
      <c r="F35" s="646"/>
      <c r="G35" s="646"/>
      <c r="H35" s="646"/>
      <c r="I35" s="646">
        <v>21.186149435441521</v>
      </c>
      <c r="J35" s="646"/>
      <c r="K35" s="646"/>
      <c r="L35" s="646"/>
      <c r="M35" s="646">
        <v>52.082428074161022</v>
      </c>
      <c r="N35" s="646"/>
      <c r="O35" s="646"/>
      <c r="P35" s="4"/>
    </row>
    <row r="36" spans="3:16" x14ac:dyDescent="0.3">
      <c r="C36" s="644" t="s">
        <v>1166</v>
      </c>
      <c r="E36" s="646">
        <v>0</v>
      </c>
      <c r="F36" s="646"/>
      <c r="G36" s="646"/>
      <c r="H36" s="646"/>
      <c r="I36" s="646">
        <v>0</v>
      </c>
      <c r="J36" s="646"/>
      <c r="K36" s="646"/>
      <c r="L36" s="646"/>
      <c r="M36" s="646">
        <v>4.4058149571406648</v>
      </c>
      <c r="N36" s="646"/>
      <c r="O36" s="646"/>
      <c r="P36" s="4"/>
    </row>
    <row r="37" spans="3:16" x14ac:dyDescent="0.3">
      <c r="C37" s="644" t="s">
        <v>1167</v>
      </c>
      <c r="E37" s="646">
        <v>0</v>
      </c>
      <c r="F37" s="646"/>
      <c r="G37" s="646"/>
      <c r="H37" s="646"/>
      <c r="I37" s="646">
        <v>0</v>
      </c>
      <c r="J37" s="646"/>
      <c r="K37" s="646"/>
      <c r="L37" s="646"/>
      <c r="M37" s="646">
        <v>7.6561699981912819</v>
      </c>
      <c r="N37" s="646"/>
      <c r="O37" s="646"/>
      <c r="P37" s="4"/>
    </row>
    <row r="38" spans="3:16" x14ac:dyDescent="0.3">
      <c r="C38" s="3" t="s">
        <v>33</v>
      </c>
      <c r="E38" s="4">
        <f>SUM(E35:E37)</f>
        <v>13.223121472635805</v>
      </c>
      <c r="F38" s="4"/>
      <c r="G38" s="4"/>
      <c r="H38" s="4"/>
      <c r="I38" s="4">
        <f>SUM(I35:I37)</f>
        <v>21.186149435441521</v>
      </c>
      <c r="J38" s="4"/>
      <c r="K38" s="4"/>
      <c r="L38" s="4"/>
      <c r="M38" s="4">
        <f>SUM(M35:M37)</f>
        <v>64.144413029492966</v>
      </c>
      <c r="N38" s="4"/>
      <c r="O38" s="4"/>
      <c r="P38" s="4"/>
    </row>
    <row r="39" spans="3:16" x14ac:dyDescent="0.3">
      <c r="C39" s="645" t="s">
        <v>1168</v>
      </c>
      <c r="E39" s="4">
        <f>SUM(E26:E27)</f>
        <v>18.582304194559715</v>
      </c>
      <c r="F39" s="4">
        <v>0</v>
      </c>
      <c r="G39" s="4">
        <v>0</v>
      </c>
      <c r="H39" s="4">
        <v>0</v>
      </c>
      <c r="I39" s="4">
        <f>SUM(I26:I27)</f>
        <v>55.694753961890129</v>
      </c>
      <c r="J39" s="4">
        <v>0</v>
      </c>
      <c r="K39" s="4">
        <v>0</v>
      </c>
      <c r="L39" s="4">
        <v>0</v>
      </c>
      <c r="M39" s="4">
        <f>SUM(M26:M27)</f>
        <v>77.578724453969841</v>
      </c>
      <c r="N39" s="4">
        <v>0</v>
      </c>
      <c r="O39" s="4">
        <v>0</v>
      </c>
      <c r="P39" s="4"/>
    </row>
    <row r="40" spans="3:16" x14ac:dyDescent="0.3">
      <c r="C40" s="26" t="s">
        <v>34</v>
      </c>
      <c r="D40" s="23"/>
      <c r="E40" s="27">
        <f>E33-E38+E34</f>
        <v>789.41384558927621</v>
      </c>
      <c r="F40" s="27">
        <v>906.33587882670997</v>
      </c>
      <c r="G40" s="27">
        <v>1011.6748465768513</v>
      </c>
      <c r="H40" s="27">
        <v>1185.4574893704462</v>
      </c>
      <c r="I40" s="27">
        <f>I33-I38+I34</f>
        <v>1308.0317282610995</v>
      </c>
      <c r="J40" s="27">
        <v>1403.02623299022</v>
      </c>
      <c r="K40" s="27">
        <v>1473.0209684423601</v>
      </c>
      <c r="L40" s="27">
        <v>1641.9032979416099</v>
      </c>
      <c r="M40" s="27">
        <f>M33-M38+M34</f>
        <v>1608.9947115697364</v>
      </c>
      <c r="N40" s="27">
        <v>1794.0949846996332</v>
      </c>
      <c r="O40" s="27">
        <v>1781.6699004932386</v>
      </c>
      <c r="P40" s="27"/>
    </row>
    <row r="41" spans="3:16" x14ac:dyDescent="0.3">
      <c r="C41" s="3" t="s">
        <v>35</v>
      </c>
      <c r="E41" s="4">
        <v>5020.8578789999974</v>
      </c>
      <c r="F41" s="4">
        <v>5519.0481580000005</v>
      </c>
      <c r="G41" s="4">
        <v>5876.2327650000016</v>
      </c>
      <c r="H41" s="4">
        <v>6122.8068510000039</v>
      </c>
      <c r="I41" s="4">
        <v>6065.9351947499936</v>
      </c>
      <c r="J41" s="4">
        <v>6306.3137800000122</v>
      </c>
      <c r="K41" s="4">
        <v>6287.2760260000005</v>
      </c>
      <c r="L41" s="4">
        <v>6516.9830250000086</v>
      </c>
      <c r="M41" s="4">
        <v>6747.2274290000032</v>
      </c>
      <c r="N41" s="4">
        <v>6961.8698600000052</v>
      </c>
      <c r="O41" s="4">
        <v>7378.5263910000058</v>
      </c>
      <c r="P41" s="4"/>
    </row>
    <row r="42" spans="3:16" x14ac:dyDescent="0.3">
      <c r="C42" s="26" t="s">
        <v>36</v>
      </c>
      <c r="D42" s="23"/>
      <c r="E42" s="27">
        <f>IFERROR(E40/E41*1000,"N/A")</f>
        <v>157.22688524824437</v>
      </c>
      <c r="F42" s="27">
        <f t="shared" ref="F42:O42" si="9">IFERROR(F40/F41*1000,"N/A")</f>
        <v>164.21959962660466</v>
      </c>
      <c r="G42" s="27">
        <f t="shared" si="9"/>
        <v>172.16384834218715</v>
      </c>
      <c r="H42" s="27">
        <f t="shared" si="9"/>
        <v>193.61340610913311</v>
      </c>
      <c r="I42" s="27">
        <f t="shared" si="9"/>
        <v>215.63562521953548</v>
      </c>
      <c r="J42" s="27">
        <f t="shared" si="9"/>
        <v>222.47961042468415</v>
      </c>
      <c r="K42" s="27">
        <f t="shared" si="9"/>
        <v>234.28603458014615</v>
      </c>
      <c r="L42" s="27">
        <f t="shared" si="9"/>
        <v>251.94223947539095</v>
      </c>
      <c r="M42" s="27">
        <f t="shared" si="9"/>
        <v>238.46753774063953</v>
      </c>
      <c r="N42" s="27">
        <f t="shared" si="9"/>
        <v>257.70303392307761</v>
      </c>
      <c r="O42" s="27">
        <f t="shared" si="9"/>
        <v>241.4669008525116</v>
      </c>
      <c r="P42" s="27"/>
    </row>
    <row r="43" spans="3:16" ht="4.5" customHeight="1" x14ac:dyDescent="0.3"/>
    <row r="44" spans="3:16" x14ac:dyDescent="0.3">
      <c r="C44" s="24" t="s">
        <v>37</v>
      </c>
      <c r="E44" s="28">
        <f t="shared" ref="E44:H44" si="10">SUM(E45:E47)</f>
        <v>2.7594234679631992E-2</v>
      </c>
      <c r="F44" s="28">
        <f t="shared" si="10"/>
        <v>2.2699999999999998E-2</v>
      </c>
      <c r="G44" s="28">
        <f t="shared" si="10"/>
        <v>2.4299999999999999E-2</v>
      </c>
      <c r="H44" s="28">
        <f t="shared" si="10"/>
        <v>1.9699999999999999E-2</v>
      </c>
      <c r="I44" s="28">
        <f>SUM(I45:I47)</f>
        <v>1.2621066326449607E-2</v>
      </c>
      <c r="J44" s="28">
        <f t="shared" ref="J44:O44" si="11">SUM(J45:J47)</f>
        <v>1.3719457488301091E-2</v>
      </c>
      <c r="K44" s="28">
        <f t="shared" si="11"/>
        <v>1.6908981156226351E-2</v>
      </c>
      <c r="L44" s="28">
        <f t="shared" si="11"/>
        <v>1.5688890930363526E-2</v>
      </c>
      <c r="M44" s="28">
        <f t="shared" si="11"/>
        <v>4.5028258011470396E-3</v>
      </c>
      <c r="N44" s="28">
        <f t="shared" si="11"/>
        <v>1.9522940465036602E-2</v>
      </c>
      <c r="O44" s="28">
        <f t="shared" si="11"/>
        <v>1.7886416381209165E-3</v>
      </c>
      <c r="P44" s="28"/>
    </row>
    <row r="45" spans="3:16" x14ac:dyDescent="0.3">
      <c r="C45" s="3" t="s">
        <v>38</v>
      </c>
      <c r="E45" s="29">
        <v>1.3052329340387471E-2</v>
      </c>
      <c r="F45" s="29">
        <v>1.3100000000000001E-2</v>
      </c>
      <c r="G45" s="29">
        <v>1.3100000000000001E-2</v>
      </c>
      <c r="H45" s="29">
        <v>1.3100000000000001E-2</v>
      </c>
      <c r="I45" s="29">
        <v>1.5251886417567547E-2</v>
      </c>
      <c r="J45" s="29">
        <f t="shared" ref="J45:L46" si="12">I45</f>
        <v>1.5251886417567547E-2</v>
      </c>
      <c r="K45" s="29">
        <f t="shared" si="12"/>
        <v>1.5251886417567547E-2</v>
      </c>
      <c r="L45" s="29">
        <f t="shared" si="12"/>
        <v>1.5251886417567547E-2</v>
      </c>
      <c r="M45" s="29">
        <v>7.1853142466422795E-3</v>
      </c>
      <c r="N45" s="29">
        <f t="shared" ref="N45:O46" si="13">M45</f>
        <v>7.1853142466422795E-3</v>
      </c>
      <c r="O45" s="29">
        <f t="shared" si="13"/>
        <v>7.1853142466422795E-3</v>
      </c>
      <c r="P45" s="29"/>
    </row>
    <row r="46" spans="3:16" x14ac:dyDescent="0.3">
      <c r="C46" s="3" t="s">
        <v>39</v>
      </c>
      <c r="E46" s="29">
        <v>1.4541905339244519E-2</v>
      </c>
      <c r="F46" s="29">
        <v>1.4500000000000001E-2</v>
      </c>
      <c r="G46" s="29">
        <v>1.4500000000000001E-2</v>
      </c>
      <c r="H46" s="29">
        <v>1.4500000000000001E-2</v>
      </c>
      <c r="I46" s="29">
        <v>3.4212723765363307E-3</v>
      </c>
      <c r="J46" s="29">
        <f t="shared" si="12"/>
        <v>3.4212723765363307E-3</v>
      </c>
      <c r="K46" s="29">
        <f t="shared" si="12"/>
        <v>3.4212723765363307E-3</v>
      </c>
      <c r="L46" s="29">
        <f t="shared" si="12"/>
        <v>3.4212723765363307E-3</v>
      </c>
      <c r="M46" s="29">
        <v>-2.787334162507705E-3</v>
      </c>
      <c r="N46" s="29">
        <f t="shared" si="13"/>
        <v>-2.787334162507705E-3</v>
      </c>
      <c r="O46" s="29">
        <f t="shared" si="13"/>
        <v>-2.787334162507705E-3</v>
      </c>
      <c r="P46" s="29"/>
    </row>
    <row r="47" spans="3:16" x14ac:dyDescent="0.3">
      <c r="C47" s="30" t="s">
        <v>40</v>
      </c>
      <c r="E47" s="31">
        <v>0</v>
      </c>
      <c r="F47" s="31">
        <v>-4.8999999999999998E-3</v>
      </c>
      <c r="G47" s="31">
        <v>-3.3E-3</v>
      </c>
      <c r="H47" s="31">
        <v>-7.9000000000000008E-3</v>
      </c>
      <c r="I47" s="31">
        <v>-6.0520924676542723E-3</v>
      </c>
      <c r="J47" s="31">
        <v>-4.9537013058027872E-3</v>
      </c>
      <c r="K47" s="31">
        <v>-1.7641776378775273E-3</v>
      </c>
      <c r="L47" s="31">
        <v>-2.9842678637403523E-3</v>
      </c>
      <c r="M47" s="31">
        <v>1.0484571701246545E-4</v>
      </c>
      <c r="N47" s="31">
        <v>1.5124960380902028E-2</v>
      </c>
      <c r="O47" s="31">
        <v>-2.609338446013658E-3</v>
      </c>
      <c r="P47" s="31"/>
    </row>
    <row r="49" spans="3:16" x14ac:dyDescent="0.3">
      <c r="C49" s="5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3:16" ht="3.5" customHeight="1" x14ac:dyDescent="0.3"/>
    <row r="51" spans="3:16" x14ac:dyDescent="0.3">
      <c r="C51" s="17" t="s">
        <v>15</v>
      </c>
      <c r="E51" s="18">
        <f t="shared" ref="E51:G51" si="14">F51-1</f>
        <v>2013</v>
      </c>
      <c r="F51" s="18">
        <f t="shared" si="14"/>
        <v>2014</v>
      </c>
      <c r="G51" s="18">
        <f t="shared" si="14"/>
        <v>2015</v>
      </c>
      <c r="H51" s="18">
        <f>I51-1</f>
        <v>2016</v>
      </c>
      <c r="I51" s="18">
        <v>2017</v>
      </c>
      <c r="J51" s="18">
        <f>I51+1</f>
        <v>2018</v>
      </c>
      <c r="K51" s="18">
        <f t="shared" ref="K51:O51" si="15">J51+1</f>
        <v>2019</v>
      </c>
      <c r="L51" s="18">
        <f t="shared" si="15"/>
        <v>2020</v>
      </c>
      <c r="M51" s="18">
        <f t="shared" si="15"/>
        <v>2021</v>
      </c>
      <c r="N51" s="18">
        <f t="shared" si="15"/>
        <v>2022</v>
      </c>
      <c r="O51" s="18">
        <f t="shared" si="15"/>
        <v>2023</v>
      </c>
      <c r="P51" s="18"/>
    </row>
    <row r="52" spans="3:16" x14ac:dyDescent="0.3">
      <c r="C52" s="3" t="s">
        <v>16</v>
      </c>
      <c r="E52" s="20" t="s">
        <v>18</v>
      </c>
      <c r="F52" s="20" t="s">
        <v>18</v>
      </c>
      <c r="G52" s="19" t="s">
        <v>17</v>
      </c>
      <c r="H52" s="20" t="s">
        <v>18</v>
      </c>
      <c r="I52" s="20" t="s">
        <v>18</v>
      </c>
      <c r="J52" s="20" t="s">
        <v>18</v>
      </c>
      <c r="K52" s="19" t="s">
        <v>17</v>
      </c>
      <c r="L52" s="20" t="s">
        <v>18</v>
      </c>
      <c r="M52" s="20" t="s">
        <v>18</v>
      </c>
      <c r="N52" s="20" t="s">
        <v>18</v>
      </c>
      <c r="O52" s="19" t="s">
        <v>17</v>
      </c>
      <c r="P52" s="19"/>
    </row>
    <row r="53" spans="3:16" x14ac:dyDescent="0.3">
      <c r="C53" s="3" t="s">
        <v>19</v>
      </c>
      <c r="E53" s="22">
        <v>0</v>
      </c>
      <c r="F53" s="22">
        <v>0</v>
      </c>
      <c r="G53" s="21">
        <v>3090.0347351721193</v>
      </c>
      <c r="H53" s="22">
        <v>0</v>
      </c>
      <c r="I53" s="22">
        <v>0</v>
      </c>
      <c r="J53" s="22">
        <v>0</v>
      </c>
      <c r="K53" s="21">
        <v>5046.7551679628923</v>
      </c>
      <c r="L53" s="22">
        <v>0</v>
      </c>
      <c r="M53" s="22">
        <v>0</v>
      </c>
      <c r="N53" s="22">
        <v>0</v>
      </c>
      <c r="O53" s="21">
        <v>8544.9870004013137</v>
      </c>
      <c r="P53" s="21"/>
    </row>
    <row r="54" spans="3:16" x14ac:dyDescent="0.3">
      <c r="C54" s="23" t="s">
        <v>41</v>
      </c>
      <c r="E54" s="21"/>
      <c r="F54" s="22"/>
      <c r="G54" s="22"/>
      <c r="H54" s="22"/>
      <c r="I54" s="21"/>
      <c r="J54" s="22"/>
      <c r="K54" s="22"/>
      <c r="L54" s="22"/>
      <c r="M54" s="21"/>
      <c r="N54" s="22"/>
      <c r="O54" s="22"/>
      <c r="P54" s="22"/>
    </row>
    <row r="55" spans="3:16" x14ac:dyDescent="0.3">
      <c r="C55" s="23" t="s">
        <v>42</v>
      </c>
      <c r="E55" s="21"/>
      <c r="F55" s="22"/>
      <c r="G55" s="22"/>
      <c r="H55" s="22"/>
      <c r="I55" s="21"/>
      <c r="J55" s="22"/>
      <c r="K55" s="22"/>
      <c r="L55" s="22"/>
      <c r="M55" s="21"/>
      <c r="N55" s="22"/>
      <c r="O55" s="22"/>
      <c r="P55" s="22"/>
    </row>
    <row r="56" spans="3:16" ht="4.5" customHeight="1" x14ac:dyDescent="0.3"/>
    <row r="57" spans="3:16" x14ac:dyDescent="0.3">
      <c r="C57" s="24" t="s">
        <v>22</v>
      </c>
      <c r="D57" s="23"/>
      <c r="E57" s="25">
        <f t="shared" ref="E57:H57" si="16">SUM(E58:E60)</f>
        <v>0</v>
      </c>
      <c r="F57" s="25">
        <f t="shared" si="16"/>
        <v>0</v>
      </c>
      <c r="G57" s="25">
        <f t="shared" si="16"/>
        <v>670.15653066493348</v>
      </c>
      <c r="H57" s="25">
        <f t="shared" si="16"/>
        <v>0</v>
      </c>
      <c r="I57" s="25">
        <f>SUM(I58:I60)</f>
        <v>0</v>
      </c>
      <c r="J57" s="25">
        <f t="shared" ref="J57:O57" si="17">SUM(J58:J60)</f>
        <v>0</v>
      </c>
      <c r="K57" s="25">
        <f t="shared" si="17"/>
        <v>845.11859281323859</v>
      </c>
      <c r="L57" s="25">
        <f t="shared" si="17"/>
        <v>0</v>
      </c>
      <c r="M57" s="25">
        <f t="shared" si="17"/>
        <v>0</v>
      </c>
      <c r="N57" s="25">
        <f t="shared" si="17"/>
        <v>0</v>
      </c>
      <c r="O57" s="25">
        <f t="shared" si="17"/>
        <v>1591.0426455148943</v>
      </c>
      <c r="P57" s="25"/>
    </row>
    <row r="58" spans="3:16" x14ac:dyDescent="0.3">
      <c r="C58" s="3" t="s">
        <v>23</v>
      </c>
      <c r="E58" s="4"/>
      <c r="F58" s="4"/>
      <c r="G58" s="4">
        <v>588.34515476664751</v>
      </c>
      <c r="H58" s="4"/>
      <c r="I58" s="4"/>
      <c r="J58" s="4"/>
      <c r="K58" s="4">
        <v>738.3017106482165</v>
      </c>
      <c r="L58" s="4"/>
      <c r="M58" s="4"/>
      <c r="N58" s="4"/>
      <c r="O58" s="4">
        <v>1432.8528183609114</v>
      </c>
      <c r="P58" s="4"/>
    </row>
    <row r="59" spans="3:16" x14ac:dyDescent="0.3">
      <c r="C59" s="3" t="s">
        <v>24</v>
      </c>
      <c r="E59" s="4"/>
      <c r="F59" s="4"/>
      <c r="G59" s="4">
        <v>14.711370737791992</v>
      </c>
      <c r="H59" s="4"/>
      <c r="I59" s="4"/>
      <c r="J59" s="4"/>
      <c r="K59" s="4">
        <v>9.4422404953891927</v>
      </c>
      <c r="L59" s="4"/>
      <c r="M59" s="4"/>
      <c r="N59" s="4"/>
      <c r="O59" s="4">
        <v>30.147785883640594</v>
      </c>
      <c r="P59" s="4"/>
    </row>
    <row r="60" spans="3:16" x14ac:dyDescent="0.3">
      <c r="C60" s="3" t="s">
        <v>25</v>
      </c>
      <c r="E60" s="4"/>
      <c r="F60" s="4"/>
      <c r="G60" s="4">
        <v>67.100005160493993</v>
      </c>
      <c r="H60" s="4"/>
      <c r="I60" s="4"/>
      <c r="J60" s="4"/>
      <c r="K60" s="4">
        <v>97.374641669632808</v>
      </c>
      <c r="L60" s="4"/>
      <c r="M60" s="4"/>
      <c r="N60" s="4"/>
      <c r="O60" s="4">
        <v>128.0420412703422</v>
      </c>
      <c r="P60" s="4"/>
    </row>
    <row r="61" spans="3:16" x14ac:dyDescent="0.3">
      <c r="C61" s="24" t="s">
        <v>26</v>
      </c>
      <c r="D61" s="23"/>
      <c r="E61" s="25">
        <f t="shared" ref="E61:H61" si="18">SUM(E62:E64)</f>
        <v>0</v>
      </c>
      <c r="F61" s="25">
        <f t="shared" si="18"/>
        <v>0</v>
      </c>
      <c r="G61" s="25">
        <f t="shared" si="18"/>
        <v>639.83337081546972</v>
      </c>
      <c r="H61" s="25">
        <f t="shared" si="18"/>
        <v>0</v>
      </c>
      <c r="I61" s="25">
        <f>SUM(I62:I64)</f>
        <v>0</v>
      </c>
      <c r="J61" s="25">
        <f t="shared" ref="J61:O61" si="19">SUM(J62:J64)</f>
        <v>0</v>
      </c>
      <c r="K61" s="25">
        <f t="shared" si="19"/>
        <v>1054.2404433369645</v>
      </c>
      <c r="L61" s="25">
        <f t="shared" si="19"/>
        <v>0</v>
      </c>
      <c r="M61" s="25">
        <f t="shared" si="19"/>
        <v>0</v>
      </c>
      <c r="N61" s="25">
        <f t="shared" si="19"/>
        <v>0</v>
      </c>
      <c r="O61" s="25">
        <f t="shared" si="19"/>
        <v>1721.3083144842458</v>
      </c>
      <c r="P61" s="25"/>
    </row>
    <row r="62" spans="3:16" x14ac:dyDescent="0.3">
      <c r="C62" s="3" t="s">
        <v>27</v>
      </c>
      <c r="E62" s="4"/>
      <c r="F62" s="4"/>
      <c r="G62" s="4">
        <v>405.18514404889731</v>
      </c>
      <c r="H62" s="4"/>
      <c r="I62" s="4"/>
      <c r="J62" s="4"/>
      <c r="K62" s="4">
        <v>660.41869300058852</v>
      </c>
      <c r="L62" s="4"/>
      <c r="M62" s="4"/>
      <c r="N62" s="4"/>
      <c r="O62" s="4">
        <v>1054.3882530466715</v>
      </c>
      <c r="P62" s="4"/>
    </row>
    <row r="63" spans="3:16" x14ac:dyDescent="0.3">
      <c r="C63" s="3" t="s">
        <v>28</v>
      </c>
      <c r="E63" s="4"/>
      <c r="F63" s="4"/>
      <c r="G63" s="4">
        <v>178.06619684612556</v>
      </c>
      <c r="H63" s="4"/>
      <c r="I63" s="4"/>
      <c r="J63" s="4"/>
      <c r="K63" s="4">
        <v>275.28918925513113</v>
      </c>
      <c r="L63" s="4"/>
      <c r="M63" s="4"/>
      <c r="N63" s="4"/>
      <c r="O63" s="4">
        <v>482.79659043036617</v>
      </c>
      <c r="P63" s="4"/>
    </row>
    <row r="64" spans="3:16" x14ac:dyDescent="0.3">
      <c r="C64" s="3" t="s">
        <v>29</v>
      </c>
      <c r="E64" s="4"/>
      <c r="F64" s="4"/>
      <c r="G64" s="4">
        <v>56.582029920446828</v>
      </c>
      <c r="H64" s="4"/>
      <c r="I64" s="4"/>
      <c r="J64" s="4"/>
      <c r="K64" s="4">
        <v>118.53256108124498</v>
      </c>
      <c r="L64" s="4"/>
      <c r="M64" s="4"/>
      <c r="N64" s="4"/>
      <c r="O64" s="4">
        <v>184.123471007208</v>
      </c>
      <c r="P64" s="4"/>
    </row>
    <row r="65" spans="3:16" x14ac:dyDescent="0.3">
      <c r="C65" s="24" t="s">
        <v>30</v>
      </c>
      <c r="D65" s="23"/>
      <c r="E65" s="25">
        <f t="shared" ref="E65:O65" si="20">E61+E57</f>
        <v>0</v>
      </c>
      <c r="F65" s="25">
        <f t="shared" si="20"/>
        <v>0</v>
      </c>
      <c r="G65" s="25">
        <f t="shared" si="20"/>
        <v>1309.9899014804032</v>
      </c>
      <c r="H65" s="25">
        <f t="shared" si="20"/>
        <v>0</v>
      </c>
      <c r="I65" s="25">
        <f>I61+I57</f>
        <v>0</v>
      </c>
      <c r="J65" s="25">
        <f t="shared" si="20"/>
        <v>0</v>
      </c>
      <c r="K65" s="25">
        <f t="shared" si="20"/>
        <v>1899.3590361502031</v>
      </c>
      <c r="L65" s="25">
        <f t="shared" si="20"/>
        <v>0</v>
      </c>
      <c r="M65" s="25">
        <f t="shared" si="20"/>
        <v>0</v>
      </c>
      <c r="N65" s="25">
        <f t="shared" si="20"/>
        <v>0</v>
      </c>
      <c r="O65" s="25">
        <f t="shared" si="20"/>
        <v>3312.3509599991403</v>
      </c>
      <c r="P65" s="25"/>
    </row>
    <row r="66" spans="3:16" x14ac:dyDescent="0.3">
      <c r="C66" s="3" t="s">
        <v>31</v>
      </c>
      <c r="E66" s="4"/>
      <c r="F66" s="4"/>
      <c r="G66" s="4">
        <f>G65*(1-G78-G80)</f>
        <v>1296.9119972581841</v>
      </c>
      <c r="H66" s="4"/>
      <c r="I66" s="4"/>
      <c r="J66" s="4"/>
      <c r="K66" s="4">
        <f>K65*(1-K78-K80)</f>
        <v>1883.2149906070297</v>
      </c>
      <c r="L66" s="4"/>
      <c r="M66" s="4"/>
      <c r="N66" s="4"/>
      <c r="O66" s="4">
        <f>O65*(1-O78-O80)</f>
        <v>3322.4215941261846</v>
      </c>
      <c r="P66" s="4"/>
    </row>
    <row r="67" spans="3:16" x14ac:dyDescent="0.3">
      <c r="C67" s="3" t="s">
        <v>32</v>
      </c>
      <c r="E67" s="4"/>
      <c r="F67" s="4"/>
      <c r="G67" s="4">
        <v>0</v>
      </c>
      <c r="H67" s="4"/>
      <c r="I67" s="4"/>
      <c r="J67" s="4"/>
      <c r="K67" s="4">
        <v>0</v>
      </c>
      <c r="L67" s="4"/>
      <c r="M67" s="4"/>
      <c r="N67" s="4"/>
      <c r="O67" s="4">
        <v>54.423117772415949</v>
      </c>
      <c r="P67" s="4"/>
    </row>
    <row r="68" spans="3:16" x14ac:dyDescent="0.3">
      <c r="C68" s="644" t="s">
        <v>1165</v>
      </c>
      <c r="E68" s="646"/>
      <c r="F68" s="646"/>
      <c r="G68" s="4">
        <v>19.390424970914495</v>
      </c>
      <c r="H68" s="646"/>
      <c r="I68" s="646"/>
      <c r="J68" s="646"/>
      <c r="K68" s="646">
        <v>43.500289750165813</v>
      </c>
      <c r="L68" s="646"/>
      <c r="M68" s="646"/>
      <c r="N68" s="646"/>
      <c r="O68" s="646">
        <v>59.32342919148217</v>
      </c>
      <c r="P68" s="4"/>
    </row>
    <row r="69" spans="3:16" x14ac:dyDescent="0.3">
      <c r="C69" s="644" t="s">
        <v>1166</v>
      </c>
      <c r="E69" s="646"/>
      <c r="F69" s="646"/>
      <c r="G69" s="4">
        <v>0</v>
      </c>
      <c r="H69" s="646"/>
      <c r="I69" s="646"/>
      <c r="J69" s="646"/>
      <c r="K69" s="646">
        <v>13.186833631158498</v>
      </c>
      <c r="L69" s="646"/>
      <c r="M69" s="646"/>
      <c r="N69" s="646"/>
      <c r="O69" s="646">
        <v>7.6485684617257848</v>
      </c>
      <c r="P69" s="4"/>
    </row>
    <row r="70" spans="3:16" x14ac:dyDescent="0.3">
      <c r="C70" s="644" t="s">
        <v>1167</v>
      </c>
      <c r="E70" s="646"/>
      <c r="F70" s="646"/>
      <c r="G70" s="4">
        <v>0</v>
      </c>
      <c r="H70" s="646"/>
      <c r="I70" s="646"/>
      <c r="J70" s="646"/>
      <c r="K70" s="646">
        <v>37.412058096853698</v>
      </c>
      <c r="L70" s="646"/>
      <c r="M70" s="646"/>
      <c r="N70" s="646"/>
      <c r="O70" s="646">
        <v>15.63863752584601</v>
      </c>
      <c r="P70" s="4"/>
    </row>
    <row r="71" spans="3:16" x14ac:dyDescent="0.3">
      <c r="C71" s="3" t="s">
        <v>33</v>
      </c>
      <c r="E71" s="4"/>
      <c r="F71" s="4"/>
      <c r="G71" s="4">
        <f>SUM(G68:G70)</f>
        <v>19.390424970914495</v>
      </c>
      <c r="H71" s="4"/>
      <c r="I71" s="4"/>
      <c r="J71" s="4"/>
      <c r="K71" s="4">
        <f>SUM(K68:K70)</f>
        <v>94.099181478178011</v>
      </c>
      <c r="L71" s="4"/>
      <c r="M71" s="4"/>
      <c r="N71" s="4"/>
      <c r="O71" s="4">
        <f>SUM(O68:O70)</f>
        <v>82.610635179053958</v>
      </c>
      <c r="P71" s="4"/>
    </row>
    <row r="72" spans="3:16" x14ac:dyDescent="0.3">
      <c r="C72" s="645" t="s">
        <v>1168</v>
      </c>
      <c r="E72" s="4">
        <v>0</v>
      </c>
      <c r="F72" s="4">
        <v>0</v>
      </c>
      <c r="G72" s="4">
        <f>SUM(G59:G60)</f>
        <v>81.811375898285988</v>
      </c>
      <c r="H72" s="4">
        <v>0</v>
      </c>
      <c r="I72" s="4">
        <v>0</v>
      </c>
      <c r="J72" s="4">
        <v>0</v>
      </c>
      <c r="K72" s="4">
        <f>SUM(K59:K60)</f>
        <v>106.81688216502201</v>
      </c>
      <c r="L72" s="4">
        <v>0</v>
      </c>
      <c r="M72" s="4">
        <v>0</v>
      </c>
      <c r="N72" s="4">
        <v>0</v>
      </c>
      <c r="O72" s="4">
        <f>SUM(O59:O60)</f>
        <v>158.18982715398278</v>
      </c>
      <c r="P72" s="4"/>
    </row>
    <row r="73" spans="3:16" x14ac:dyDescent="0.3">
      <c r="C73" s="26" t="s">
        <v>34</v>
      </c>
      <c r="D73" s="23"/>
      <c r="E73" s="27">
        <v>860.95597259825558</v>
      </c>
      <c r="F73" s="27">
        <v>1002.7007055569125</v>
      </c>
      <c r="G73" s="27">
        <f>G66-G71+G67</f>
        <v>1277.5215722872697</v>
      </c>
      <c r="H73" s="27">
        <v>1607.4404046345251</v>
      </c>
      <c r="I73" s="27">
        <v>1623.0259264737485</v>
      </c>
      <c r="J73" s="27">
        <v>1677.7774649016678</v>
      </c>
      <c r="K73" s="27">
        <f>K66-K71+K67</f>
        <v>1789.1158091288517</v>
      </c>
      <c r="L73" s="27">
        <v>2059.1592181599822</v>
      </c>
      <c r="M73" s="27">
        <v>2926.8601487178003</v>
      </c>
      <c r="N73" s="27">
        <v>3414.5081382309868</v>
      </c>
      <c r="O73" s="27">
        <f>O66-O71+O67</f>
        <v>3294.2340767195465</v>
      </c>
      <c r="P73" s="27"/>
    </row>
    <row r="74" spans="3:16" x14ac:dyDescent="0.3">
      <c r="C74" s="3" t="s">
        <v>35</v>
      </c>
      <c r="E74" s="4">
        <v>6918.5990340000044</v>
      </c>
      <c r="F74" s="4">
        <v>7724.3144549999997</v>
      </c>
      <c r="G74" s="4">
        <v>7965.534236999998</v>
      </c>
      <c r="H74" s="4">
        <v>8712.0818150000123</v>
      </c>
      <c r="I74" s="4">
        <v>8757.305947000008</v>
      </c>
      <c r="J74" s="4">
        <v>8821.1328720000074</v>
      </c>
      <c r="K74" s="4">
        <v>8495.4659300000003</v>
      </c>
      <c r="L74" s="4">
        <v>8631.373062000006</v>
      </c>
      <c r="M74" s="4">
        <v>9124.5278219999927</v>
      </c>
      <c r="N74" s="4">
        <v>9559.4739769999778</v>
      </c>
      <c r="O74" s="4">
        <v>9950.3172739999936</v>
      </c>
      <c r="P74" s="4"/>
    </row>
    <row r="75" spans="3:16" x14ac:dyDescent="0.3">
      <c r="C75" s="26" t="s">
        <v>36</v>
      </c>
      <c r="D75" s="23"/>
      <c r="E75" s="27">
        <f t="shared" ref="E75:O75" si="21">IFERROR(E73/E74*1000,"N/A")</f>
        <v>124.44079623161683</v>
      </c>
      <c r="F75" s="27">
        <f t="shared" si="21"/>
        <v>129.81096398889582</v>
      </c>
      <c r="G75" s="27">
        <f t="shared" si="21"/>
        <v>160.38115389086741</v>
      </c>
      <c r="H75" s="27">
        <f t="shared" si="21"/>
        <v>184.50703732682092</v>
      </c>
      <c r="I75" s="27">
        <f t="shared" si="21"/>
        <v>185.33392989767006</v>
      </c>
      <c r="J75" s="27">
        <f t="shared" si="21"/>
        <v>190.19977243821594</v>
      </c>
      <c r="K75" s="27">
        <f t="shared" si="21"/>
        <v>210.59654924998935</v>
      </c>
      <c r="L75" s="27">
        <f t="shared" si="21"/>
        <v>238.56681936568353</v>
      </c>
      <c r="M75" s="27">
        <f t="shared" si="21"/>
        <v>320.76839545175125</v>
      </c>
      <c r="N75" s="27">
        <f t="shared" si="21"/>
        <v>357.18577679548764</v>
      </c>
      <c r="O75" s="27">
        <f t="shared" si="21"/>
        <v>331.06824496213028</v>
      </c>
      <c r="P75" s="27"/>
    </row>
    <row r="76" spans="3:16" ht="4.5" customHeight="1" x14ac:dyDescent="0.3"/>
    <row r="77" spans="3:16" x14ac:dyDescent="0.3">
      <c r="C77" s="24" t="s">
        <v>37</v>
      </c>
      <c r="E77" s="28">
        <f t="shared" ref="E77" si="22">SUM(E78:E80)</f>
        <v>2.464555286083684E-2</v>
      </c>
      <c r="F77" s="28">
        <f t="shared" ref="F77:H77" si="23">SUM(F78:F80)</f>
        <v>1.9645552860836839E-2</v>
      </c>
      <c r="G77" s="28">
        <f t="shared" si="23"/>
        <v>1.205741439637046E-2</v>
      </c>
      <c r="H77" s="28">
        <f t="shared" si="23"/>
        <v>1.2681460415481093E-2</v>
      </c>
      <c r="I77" s="28">
        <f>SUM(I78:I80)</f>
        <v>1.1952771104850404E-2</v>
      </c>
      <c r="J77" s="28">
        <f t="shared" ref="J77:O77" si="24">SUM(J78:J80)</f>
        <v>1.2776032615271781E-2</v>
      </c>
      <c r="K77" s="28">
        <f t="shared" si="24"/>
        <v>7.7707066734367765E-4</v>
      </c>
      <c r="L77" s="28">
        <f t="shared" si="24"/>
        <v>-3.8439971631731504E-3</v>
      </c>
      <c r="M77" s="28">
        <f t="shared" si="24"/>
        <v>-2.8580297518768219E-3</v>
      </c>
      <c r="N77" s="28">
        <f t="shared" si="24"/>
        <v>1.3787483865457088E-2</v>
      </c>
      <c r="O77" s="28">
        <f t="shared" si="24"/>
        <v>2.8335197876847192E-2</v>
      </c>
      <c r="P77" s="28"/>
    </row>
    <row r="78" spans="3:16" x14ac:dyDescent="0.3">
      <c r="C78" s="3" t="s">
        <v>38</v>
      </c>
      <c r="E78" s="29">
        <v>4.6455528608368383E-3</v>
      </c>
      <c r="F78" s="29">
        <v>4.6455528608368383E-3</v>
      </c>
      <c r="G78" s="29">
        <v>1.4983209952565154E-2</v>
      </c>
      <c r="H78" s="29">
        <f t="shared" ref="H78:J79" si="25">G78</f>
        <v>1.4983209952565154E-2</v>
      </c>
      <c r="I78" s="29">
        <f t="shared" si="25"/>
        <v>1.4983209952565154E-2</v>
      </c>
      <c r="J78" s="29">
        <f t="shared" si="25"/>
        <v>1.4983209952565154E-2</v>
      </c>
      <c r="K78" s="29">
        <v>1.1259559875184644E-2</v>
      </c>
      <c r="L78" s="29">
        <f>K78</f>
        <v>1.1259559875184644E-2</v>
      </c>
      <c r="M78" s="29">
        <f t="shared" ref="M78:N79" si="26">L78</f>
        <v>1.1259559875184644E-2</v>
      </c>
      <c r="N78" s="29">
        <f t="shared" si="26"/>
        <v>1.1259559875184644E-2</v>
      </c>
      <c r="O78" s="29">
        <v>9.9373710080662512E-3</v>
      </c>
      <c r="P78" s="29"/>
    </row>
    <row r="79" spans="3:16" x14ac:dyDescent="0.3">
      <c r="C79" s="3" t="s">
        <v>39</v>
      </c>
      <c r="E79" s="29">
        <v>0.02</v>
      </c>
      <c r="F79" s="29">
        <v>0.02</v>
      </c>
      <c r="G79" s="29">
        <v>2.0742044438053059E-3</v>
      </c>
      <c r="H79" s="29">
        <f t="shared" si="25"/>
        <v>2.0742044438053059E-3</v>
      </c>
      <c r="I79" s="29">
        <f t="shared" si="25"/>
        <v>2.0742044438053059E-3</v>
      </c>
      <c r="J79" s="29">
        <f t="shared" si="25"/>
        <v>2.0742044438053059E-3</v>
      </c>
      <c r="K79" s="29">
        <v>-7.7226627879463574E-3</v>
      </c>
      <c r="L79" s="29">
        <f>K79</f>
        <v>-7.7226627879463574E-3</v>
      </c>
      <c r="M79" s="29">
        <f t="shared" si="26"/>
        <v>-7.7226627879463574E-3</v>
      </c>
      <c r="N79" s="29">
        <f t="shared" si="26"/>
        <v>-7.7226627879463574E-3</v>
      </c>
      <c r="O79" s="29">
        <v>3.1375526105546538E-2</v>
      </c>
      <c r="P79" s="29"/>
    </row>
    <row r="80" spans="3:16" x14ac:dyDescent="0.3">
      <c r="C80" s="30" t="s">
        <v>40</v>
      </c>
      <c r="E80" s="31">
        <v>0</v>
      </c>
      <c r="F80" s="31">
        <v>-5.0000000000000001E-3</v>
      </c>
      <c r="G80" s="31">
        <v>-5.0000000000000001E-3</v>
      </c>
      <c r="H80" s="31">
        <v>-4.3759539808893681E-3</v>
      </c>
      <c r="I80" s="31">
        <v>-5.1046432915200579E-3</v>
      </c>
      <c r="J80" s="31">
        <v>-4.2813817810986787E-3</v>
      </c>
      <c r="K80" s="31">
        <v>-2.759826419894609E-3</v>
      </c>
      <c r="L80" s="31">
        <v>-7.3808942504114371E-3</v>
      </c>
      <c r="M80" s="31">
        <v>-6.3949268391151086E-3</v>
      </c>
      <c r="N80" s="31">
        <v>1.0250586778218801E-2</v>
      </c>
      <c r="O80" s="31">
        <v>-1.2977699236765597E-2</v>
      </c>
      <c r="P80" s="31"/>
    </row>
    <row r="82" spans="3:16" x14ac:dyDescent="0.3">
      <c r="C82" s="5" t="s">
        <v>3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3:16" ht="3.5" customHeight="1" x14ac:dyDescent="0.3"/>
    <row r="84" spans="3:16" x14ac:dyDescent="0.3">
      <c r="C84" s="17" t="s">
        <v>43</v>
      </c>
      <c r="E84" s="18">
        <f t="shared" ref="E84:G84" si="27">F84-1</f>
        <v>2013</v>
      </c>
      <c r="F84" s="18">
        <f t="shared" si="27"/>
        <v>2014</v>
      </c>
      <c r="G84" s="18">
        <f t="shared" si="27"/>
        <v>2015</v>
      </c>
      <c r="H84" s="18">
        <f>I84-1</f>
        <v>2016</v>
      </c>
      <c r="I84" s="18">
        <v>2017</v>
      </c>
      <c r="J84" s="18">
        <f>I84+1</f>
        <v>2018</v>
      </c>
      <c r="K84" s="18">
        <f t="shared" ref="K84:O84" si="28">J84+1</f>
        <v>2019</v>
      </c>
      <c r="L84" s="18">
        <f t="shared" si="28"/>
        <v>2020</v>
      </c>
      <c r="M84" s="18">
        <f t="shared" si="28"/>
        <v>2021</v>
      </c>
      <c r="N84" s="18">
        <f t="shared" si="28"/>
        <v>2022</v>
      </c>
      <c r="O84" s="18">
        <f t="shared" si="28"/>
        <v>2023</v>
      </c>
      <c r="P84" s="18"/>
    </row>
    <row r="85" spans="3:16" x14ac:dyDescent="0.3">
      <c r="C85" s="3" t="s">
        <v>16</v>
      </c>
      <c r="E85" s="19" t="s">
        <v>17</v>
      </c>
      <c r="F85" s="20" t="s">
        <v>18</v>
      </c>
      <c r="G85" s="20" t="s">
        <v>18</v>
      </c>
      <c r="H85" s="20" t="s">
        <v>18</v>
      </c>
      <c r="I85" s="20" t="s">
        <v>18</v>
      </c>
      <c r="J85" s="20" t="s">
        <v>18</v>
      </c>
      <c r="K85" s="20" t="s">
        <v>18</v>
      </c>
      <c r="L85" s="19" t="s">
        <v>44</v>
      </c>
      <c r="M85" s="20" t="s">
        <v>18</v>
      </c>
      <c r="N85" s="20" t="s">
        <v>18</v>
      </c>
      <c r="O85" s="19" t="s">
        <v>17</v>
      </c>
      <c r="P85" s="19"/>
    </row>
    <row r="86" spans="3:16" x14ac:dyDescent="0.3">
      <c r="C86" s="3" t="s">
        <v>19</v>
      </c>
      <c r="E86" s="21">
        <v>317.73632591177255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1">
        <v>1671.301647107229</v>
      </c>
      <c r="M86" s="22">
        <v>0</v>
      </c>
      <c r="N86" s="22">
        <v>0</v>
      </c>
      <c r="O86" s="21">
        <v>3102.549072619659</v>
      </c>
      <c r="P86" s="21"/>
    </row>
    <row r="87" spans="3:16" x14ac:dyDescent="0.3">
      <c r="C87" s="23" t="s">
        <v>1145</v>
      </c>
      <c r="E87" s="21"/>
      <c r="F87" s="22"/>
      <c r="G87" s="22"/>
      <c r="H87" s="22"/>
      <c r="I87" s="21"/>
      <c r="J87" s="22"/>
      <c r="K87" s="22"/>
      <c r="L87" s="22"/>
      <c r="M87" s="21"/>
      <c r="N87" s="22"/>
      <c r="O87" s="22"/>
      <c r="P87" s="22"/>
    </row>
    <row r="88" spans="3:16" x14ac:dyDescent="0.3">
      <c r="C88" s="23" t="s">
        <v>46</v>
      </c>
      <c r="E88" s="21"/>
      <c r="F88" s="22"/>
      <c r="G88" s="22"/>
      <c r="H88" s="22"/>
      <c r="I88" s="21"/>
      <c r="J88" s="22"/>
      <c r="K88" s="22"/>
      <c r="L88" s="22"/>
      <c r="M88" s="21"/>
      <c r="N88" s="22"/>
      <c r="O88" s="22"/>
      <c r="P88" s="22"/>
    </row>
    <row r="89" spans="3:16" ht="4.5" customHeight="1" x14ac:dyDescent="0.3"/>
    <row r="90" spans="3:16" x14ac:dyDescent="0.3">
      <c r="C90" s="24" t="s">
        <v>22</v>
      </c>
      <c r="D90" s="23"/>
      <c r="E90" s="25">
        <f t="shared" ref="E90:H90" si="29">SUM(E91:E93)</f>
        <v>294.54463629895469</v>
      </c>
      <c r="F90" s="25">
        <f t="shared" si="29"/>
        <v>0</v>
      </c>
      <c r="G90" s="25">
        <f t="shared" si="29"/>
        <v>0</v>
      </c>
      <c r="H90" s="25">
        <f t="shared" si="29"/>
        <v>0</v>
      </c>
      <c r="I90" s="25">
        <f>SUM(I91:I93)</f>
        <v>0</v>
      </c>
      <c r="J90" s="25">
        <f t="shared" ref="J90:O90" si="30">SUM(J91:J93)</f>
        <v>0</v>
      </c>
      <c r="K90" s="25">
        <f t="shared" si="30"/>
        <v>0</v>
      </c>
      <c r="L90" s="25">
        <f t="shared" si="30"/>
        <v>486.95731739961258</v>
      </c>
      <c r="M90" s="25">
        <f t="shared" si="30"/>
        <v>0</v>
      </c>
      <c r="N90" s="25">
        <f t="shared" si="30"/>
        <v>0</v>
      </c>
      <c r="O90" s="25">
        <f t="shared" si="30"/>
        <v>609.61827390614371</v>
      </c>
      <c r="P90" s="25"/>
    </row>
    <row r="91" spans="3:16" x14ac:dyDescent="0.3">
      <c r="C91" s="3" t="s">
        <v>23</v>
      </c>
      <c r="E91" s="4">
        <v>284.32433562990241</v>
      </c>
      <c r="F91" s="4"/>
      <c r="G91" s="4"/>
      <c r="H91" s="4"/>
      <c r="I91" s="4"/>
      <c r="J91" s="4"/>
      <c r="K91" s="4"/>
      <c r="L91" s="4">
        <v>486.95731739961258</v>
      </c>
      <c r="M91" s="4"/>
      <c r="N91" s="4"/>
      <c r="O91" s="4">
        <v>609.61827390614371</v>
      </c>
      <c r="P91" s="4"/>
    </row>
    <row r="92" spans="3:16" x14ac:dyDescent="0.3">
      <c r="C92" s="3" t="s">
        <v>24</v>
      </c>
      <c r="E92" s="4">
        <v>1.5374332694116672</v>
      </c>
      <c r="F92" s="4"/>
      <c r="G92" s="4"/>
      <c r="H92" s="4"/>
      <c r="I92" s="4"/>
      <c r="J92" s="4"/>
      <c r="K92" s="4"/>
      <c r="L92" s="4">
        <v>0</v>
      </c>
      <c r="M92" s="4"/>
      <c r="N92" s="4"/>
      <c r="O92" s="4">
        <v>0</v>
      </c>
      <c r="P92" s="4"/>
    </row>
    <row r="93" spans="3:16" x14ac:dyDescent="0.3">
      <c r="C93" s="3" t="s">
        <v>25</v>
      </c>
      <c r="E93" s="4">
        <v>8.6828673996406103</v>
      </c>
      <c r="F93" s="4"/>
      <c r="G93" s="4"/>
      <c r="H93" s="4"/>
      <c r="I93" s="4"/>
      <c r="J93" s="4"/>
      <c r="K93" s="4"/>
      <c r="L93" s="4">
        <v>0</v>
      </c>
      <c r="M93" s="4"/>
      <c r="N93" s="4"/>
      <c r="O93" s="4">
        <v>0</v>
      </c>
      <c r="P93" s="4"/>
    </row>
    <row r="94" spans="3:16" x14ac:dyDescent="0.3">
      <c r="C94" s="24" t="s">
        <v>26</v>
      </c>
      <c r="D94" s="23"/>
      <c r="E94" s="25">
        <f t="shared" ref="E94:H94" si="31">SUM(E95:E97)</f>
        <v>54.004041049106206</v>
      </c>
      <c r="F94" s="25">
        <f t="shared" si="31"/>
        <v>0</v>
      </c>
      <c r="G94" s="25">
        <f t="shared" si="31"/>
        <v>0</v>
      </c>
      <c r="H94" s="25">
        <f t="shared" si="31"/>
        <v>0</v>
      </c>
      <c r="I94" s="25">
        <f>SUM(I95:I97)</f>
        <v>0</v>
      </c>
      <c r="J94" s="25">
        <f t="shared" ref="J94:O94" si="32">SUM(J95:J97)</f>
        <v>0</v>
      </c>
      <c r="K94" s="25">
        <f t="shared" si="32"/>
        <v>0</v>
      </c>
      <c r="L94" s="25">
        <f t="shared" si="32"/>
        <v>387.15327247189668</v>
      </c>
      <c r="M94" s="25">
        <f t="shared" si="32"/>
        <v>0</v>
      </c>
      <c r="N94" s="25">
        <f t="shared" si="32"/>
        <v>0</v>
      </c>
      <c r="O94" s="25">
        <f t="shared" si="32"/>
        <v>660.69813349449225</v>
      </c>
      <c r="P94" s="25"/>
    </row>
    <row r="95" spans="3:16" x14ac:dyDescent="0.3">
      <c r="C95" s="3" t="s">
        <v>27</v>
      </c>
      <c r="E95" s="4">
        <v>10.914162063474167</v>
      </c>
      <c r="F95" s="4"/>
      <c r="G95" s="4"/>
      <c r="H95" s="4"/>
      <c r="I95" s="4"/>
      <c r="J95" s="4"/>
      <c r="K95" s="4"/>
      <c r="L95" s="4">
        <v>211.50678299050853</v>
      </c>
      <c r="M95" s="4"/>
      <c r="N95" s="4"/>
      <c r="O95" s="4">
        <v>393.76128567778176</v>
      </c>
      <c r="P95" s="4"/>
    </row>
    <row r="96" spans="3:16" x14ac:dyDescent="0.3">
      <c r="C96" s="3" t="s">
        <v>28</v>
      </c>
      <c r="E96" s="4">
        <v>24.625020156965263</v>
      </c>
      <c r="F96" s="4"/>
      <c r="G96" s="4"/>
      <c r="H96" s="4"/>
      <c r="I96" s="4"/>
      <c r="J96" s="4"/>
      <c r="K96" s="4"/>
      <c r="L96" s="4">
        <v>105.63945654369184</v>
      </c>
      <c r="M96" s="4"/>
      <c r="N96" s="4"/>
      <c r="O96" s="4">
        <v>169.27297861435949</v>
      </c>
      <c r="P96" s="4"/>
    </row>
    <row r="97" spans="3:16" x14ac:dyDescent="0.3">
      <c r="C97" s="3" t="s">
        <v>29</v>
      </c>
      <c r="E97" s="4">
        <v>18.464858828666777</v>
      </c>
      <c r="F97" s="4"/>
      <c r="G97" s="4"/>
      <c r="H97" s="4"/>
      <c r="I97" s="4"/>
      <c r="J97" s="4"/>
      <c r="K97" s="4"/>
      <c r="L97" s="4">
        <v>70.007032937696309</v>
      </c>
      <c r="M97" s="4"/>
      <c r="N97" s="4"/>
      <c r="O97" s="4">
        <v>97.663869202351037</v>
      </c>
      <c r="P97" s="4"/>
    </row>
    <row r="98" spans="3:16" x14ac:dyDescent="0.3">
      <c r="C98" s="24" t="s">
        <v>30</v>
      </c>
      <c r="D98" s="23"/>
      <c r="E98" s="25">
        <f t="shared" ref="E98:O98" si="33">E94+E90</f>
        <v>348.54867734806089</v>
      </c>
      <c r="F98" s="25">
        <f t="shared" si="33"/>
        <v>0</v>
      </c>
      <c r="G98" s="25">
        <f t="shared" si="33"/>
        <v>0</v>
      </c>
      <c r="H98" s="25">
        <f t="shared" si="33"/>
        <v>0</v>
      </c>
      <c r="I98" s="25">
        <f t="shared" si="33"/>
        <v>0</v>
      </c>
      <c r="J98" s="25">
        <f t="shared" si="33"/>
        <v>0</v>
      </c>
      <c r="K98" s="25">
        <f t="shared" si="33"/>
        <v>0</v>
      </c>
      <c r="L98" s="25">
        <f t="shared" si="33"/>
        <v>874.11058987150932</v>
      </c>
      <c r="M98" s="25">
        <f t="shared" si="33"/>
        <v>0</v>
      </c>
      <c r="N98" s="25">
        <f t="shared" si="33"/>
        <v>0</v>
      </c>
      <c r="O98" s="25">
        <f t="shared" si="33"/>
        <v>1270.3164074006359</v>
      </c>
      <c r="P98" s="25"/>
    </row>
    <row r="99" spans="3:16" x14ac:dyDescent="0.3">
      <c r="C99" s="3" t="s">
        <v>31</v>
      </c>
      <c r="E99" s="4">
        <f>E98*(1-E111-E113)</f>
        <v>341.0707010120413</v>
      </c>
      <c r="F99" s="4"/>
      <c r="G99" s="4"/>
      <c r="H99" s="4"/>
      <c r="I99" s="4"/>
      <c r="J99" s="4"/>
      <c r="K99" s="4"/>
      <c r="L99" s="4">
        <v>867.03008774148918</v>
      </c>
      <c r="M99" s="4"/>
      <c r="N99" s="4"/>
      <c r="O99" s="4">
        <f>O98*(1-O111-O113)</f>
        <v>1260.6014016204083</v>
      </c>
      <c r="P99" s="4"/>
    </row>
    <row r="100" spans="3:16" x14ac:dyDescent="0.3">
      <c r="C100" s="3" t="s">
        <v>32</v>
      </c>
      <c r="E100" s="4">
        <v>0</v>
      </c>
      <c r="F100" s="4"/>
      <c r="G100" s="4"/>
      <c r="H100" s="4"/>
      <c r="I100" s="4"/>
      <c r="J100" s="4"/>
      <c r="K100" s="4"/>
      <c r="L100" s="4">
        <v>0</v>
      </c>
      <c r="M100" s="4"/>
      <c r="N100" s="4"/>
      <c r="O100" s="4">
        <v>25.654544837630478</v>
      </c>
      <c r="P100" s="4"/>
    </row>
    <row r="101" spans="3:16" x14ac:dyDescent="0.3">
      <c r="C101" s="644" t="s">
        <v>1165</v>
      </c>
      <c r="E101" s="646">
        <v>7.0009513150682228</v>
      </c>
      <c r="F101" s="646"/>
      <c r="G101" s="646"/>
      <c r="H101" s="646"/>
      <c r="I101" s="646"/>
      <c r="J101" s="646"/>
      <c r="K101" s="646"/>
      <c r="L101" s="646">
        <v>12.370088395344712</v>
      </c>
      <c r="M101" s="646"/>
      <c r="N101" s="646"/>
      <c r="O101" s="646">
        <v>24.265559671512371</v>
      </c>
      <c r="P101" s="4"/>
    </row>
    <row r="102" spans="3:16" x14ac:dyDescent="0.3">
      <c r="C102" s="644" t="s">
        <v>1166</v>
      </c>
      <c r="E102" s="646">
        <v>0</v>
      </c>
      <c r="F102" s="646"/>
      <c r="G102" s="646"/>
      <c r="H102" s="646"/>
      <c r="I102" s="646"/>
      <c r="J102" s="646"/>
      <c r="K102" s="646"/>
      <c r="L102" s="646">
        <v>2.004903511214605</v>
      </c>
      <c r="M102" s="646"/>
      <c r="N102" s="646"/>
      <c r="O102" s="646">
        <v>6.0165953124255553</v>
      </c>
      <c r="P102" s="4"/>
    </row>
    <row r="103" spans="3:16" x14ac:dyDescent="0.3">
      <c r="C103" s="644" t="s">
        <v>1167</v>
      </c>
      <c r="E103" s="646">
        <v>0</v>
      </c>
      <c r="F103" s="646"/>
      <c r="G103" s="646"/>
      <c r="H103" s="646"/>
      <c r="I103" s="646"/>
      <c r="J103" s="646"/>
      <c r="K103" s="646"/>
      <c r="L103" s="646">
        <v>5.2840518841765514</v>
      </c>
      <c r="M103" s="646"/>
      <c r="N103" s="646"/>
      <c r="O103" s="646">
        <v>6.9179807315428237</v>
      </c>
      <c r="P103" s="4"/>
    </row>
    <row r="104" spans="3:16" x14ac:dyDescent="0.3">
      <c r="C104" s="3" t="s">
        <v>33</v>
      </c>
      <c r="E104" s="4">
        <f>SUM(E101:E103)</f>
        <v>7.0009513150682228</v>
      </c>
      <c r="F104" s="4"/>
      <c r="G104" s="4"/>
      <c r="H104" s="4"/>
      <c r="I104" s="4"/>
      <c r="J104" s="4"/>
      <c r="K104" s="4"/>
      <c r="L104" s="4">
        <f>SUM(L101:L103)</f>
        <v>19.659043790735868</v>
      </c>
      <c r="M104" s="4"/>
      <c r="N104" s="4"/>
      <c r="O104" s="4">
        <f>SUM(O101:O103)</f>
        <v>37.200135715480748</v>
      </c>
      <c r="P104" s="4"/>
    </row>
    <row r="105" spans="3:16" x14ac:dyDescent="0.3">
      <c r="C105" s="645" t="s">
        <v>1168</v>
      </c>
      <c r="E105" s="4">
        <f>SUM(E92:E93)</f>
        <v>10.220300669052278</v>
      </c>
      <c r="F105" s="4">
        <v>0</v>
      </c>
      <c r="G105" s="4">
        <v>0</v>
      </c>
      <c r="H105" s="4">
        <v>0</v>
      </c>
      <c r="I105" s="4">
        <v>20.318959835833024</v>
      </c>
      <c r="J105" s="4">
        <v>24.973481188447682</v>
      </c>
      <c r="K105" s="4">
        <v>22.884466331361288</v>
      </c>
      <c r="L105" s="4">
        <v>25.117282710503282</v>
      </c>
      <c r="M105" s="4">
        <v>32.75759046574337</v>
      </c>
      <c r="N105" s="4">
        <v>23.977579322116075</v>
      </c>
      <c r="O105" s="4">
        <v>27.24787302655724</v>
      </c>
      <c r="P105" s="4"/>
    </row>
    <row r="106" spans="3:16" x14ac:dyDescent="0.3">
      <c r="C106" s="26" t="s">
        <v>34</v>
      </c>
      <c r="D106" s="23"/>
      <c r="E106" s="27">
        <f>E99-E104+E100</f>
        <v>334.06974969697308</v>
      </c>
      <c r="F106" s="27">
        <v>363.72680019390731</v>
      </c>
      <c r="G106" s="27">
        <v>405.83930850460388</v>
      </c>
      <c r="H106" s="27">
        <v>455.66222500942314</v>
      </c>
      <c r="I106" s="27">
        <v>516.53884145230961</v>
      </c>
      <c r="J106" s="27">
        <v>498.60438726773447</v>
      </c>
      <c r="K106" s="27">
        <v>522.33639076363374</v>
      </c>
      <c r="L106" s="27">
        <f>L99-L104+L100</f>
        <v>847.37104395075335</v>
      </c>
      <c r="M106" s="27">
        <v>1001.2677042016904</v>
      </c>
      <c r="N106" s="27">
        <v>1015.4933443707814</v>
      </c>
      <c r="O106" s="27">
        <f>O99-O104+O100</f>
        <v>1249.0558107425582</v>
      </c>
      <c r="P106" s="27"/>
    </row>
    <row r="107" spans="3:16" x14ac:dyDescent="0.3">
      <c r="C107" s="3" t="s">
        <v>35</v>
      </c>
      <c r="E107" s="4">
        <v>2917.5428430000024</v>
      </c>
      <c r="F107" s="4">
        <v>3104.2527025414915</v>
      </c>
      <c r="G107" s="4">
        <v>3224.5680260000013</v>
      </c>
      <c r="H107" s="4">
        <v>3434.9137370000017</v>
      </c>
      <c r="I107" s="4">
        <v>3515.8133170000033</v>
      </c>
      <c r="J107" s="4">
        <v>3681.6613679999973</v>
      </c>
      <c r="K107" s="4">
        <v>3718.9874739999973</v>
      </c>
      <c r="L107" s="4">
        <v>3759.0740119999982</v>
      </c>
      <c r="M107" s="4">
        <v>4037.8642280000031</v>
      </c>
      <c r="N107" s="4">
        <v>3909.0403820000006</v>
      </c>
      <c r="O107" s="4">
        <v>4076.3706089999964</v>
      </c>
      <c r="P107" s="4"/>
    </row>
    <row r="108" spans="3:16" x14ac:dyDescent="0.3">
      <c r="C108" s="26" t="s">
        <v>36</v>
      </c>
      <c r="D108" s="23"/>
      <c r="E108" s="27">
        <f t="shared" ref="E108:O108" si="34">IFERROR(E106/E107*1000,"N/A")</f>
        <v>114.50380257431333</v>
      </c>
      <c r="F108" s="27">
        <f t="shared" si="34"/>
        <v>117.17048676356777</v>
      </c>
      <c r="G108" s="27">
        <f t="shared" si="34"/>
        <v>125.85850421894735</v>
      </c>
      <c r="H108" s="27">
        <f t="shared" si="34"/>
        <v>132.65608975886281</v>
      </c>
      <c r="I108" s="27">
        <f t="shared" si="34"/>
        <v>146.9187339824588</v>
      </c>
      <c r="J108" s="27">
        <f t="shared" si="34"/>
        <v>135.4291819452676</v>
      </c>
      <c r="K108" s="27">
        <f t="shared" si="34"/>
        <v>140.45123690664897</v>
      </c>
      <c r="L108" s="27">
        <f t="shared" si="34"/>
        <v>225.42015433740116</v>
      </c>
      <c r="M108" s="27">
        <f t="shared" si="34"/>
        <v>247.96963138545868</v>
      </c>
      <c r="N108" s="27">
        <f t="shared" si="34"/>
        <v>259.78072496944117</v>
      </c>
      <c r="O108" s="33">
        <f t="shared" si="34"/>
        <v>306.41370242068666</v>
      </c>
      <c r="P108" s="33"/>
    </row>
    <row r="109" spans="3:16" ht="4.5" customHeight="1" x14ac:dyDescent="0.3"/>
    <row r="110" spans="3:16" x14ac:dyDescent="0.3">
      <c r="C110" s="24" t="s">
        <v>37</v>
      </c>
      <c r="E110" s="28">
        <f t="shared" ref="E110" si="35">SUM(E111:E113)</f>
        <v>4.145461114044649E-2</v>
      </c>
      <c r="F110" s="28">
        <f t="shared" ref="F110:H110" si="36">SUM(F111:F113)</f>
        <v>3.8299999999999994E-2</v>
      </c>
      <c r="G110" s="28">
        <f t="shared" si="36"/>
        <v>4.1499999999999995E-2</v>
      </c>
      <c r="H110" s="28">
        <f t="shared" si="36"/>
        <v>4.0891666666666666E-2</v>
      </c>
      <c r="I110" s="28">
        <f>SUM(I111:I113)</f>
        <v>1.3599999999999998E-2</v>
      </c>
      <c r="J110" s="28">
        <f t="shared" ref="J110:O110" si="37">SUM(J111:J113)</f>
        <v>-1.0891243024145302E-3</v>
      </c>
      <c r="K110" s="28">
        <f t="shared" si="37"/>
        <v>2.515670277148334E-3</v>
      </c>
      <c r="L110" s="28">
        <f t="shared" si="37"/>
        <v>8.2677213614064243E-3</v>
      </c>
      <c r="M110" s="28">
        <f t="shared" si="37"/>
        <v>-2.1324684712107204E-3</v>
      </c>
      <c r="N110" s="28">
        <f t="shared" si="37"/>
        <v>1.0010034343415053E-2</v>
      </c>
      <c r="O110" s="28">
        <f t="shared" si="37"/>
        <v>1.2951011235250384E-2</v>
      </c>
      <c r="P110" s="28"/>
    </row>
    <row r="111" spans="3:16" x14ac:dyDescent="0.3">
      <c r="C111" s="3" t="s">
        <v>38</v>
      </c>
      <c r="E111" s="29">
        <v>2.1454611140446493E-2</v>
      </c>
      <c r="F111" s="29">
        <v>2.1499999999999998E-2</v>
      </c>
      <c r="G111" s="29">
        <v>2.1499999999999998E-2</v>
      </c>
      <c r="H111" s="29">
        <v>2.3291666666666665E-2</v>
      </c>
      <c r="I111" s="29">
        <v>2.1499999999999998E-2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8.3127659055259387E-3</v>
      </c>
      <c r="P111" s="29"/>
    </row>
    <row r="112" spans="3:16" x14ac:dyDescent="0.3">
      <c r="C112" s="3" t="s">
        <v>39</v>
      </c>
      <c r="E112" s="29">
        <v>0.02</v>
      </c>
      <c r="F112" s="29">
        <v>0.02</v>
      </c>
      <c r="G112" s="29">
        <v>0.02</v>
      </c>
      <c r="H112" s="29">
        <v>0.02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5.3033057316218242E-3</v>
      </c>
      <c r="P112" s="29"/>
    </row>
    <row r="113" spans="3:16" x14ac:dyDescent="0.3">
      <c r="C113" s="30" t="s">
        <v>40</v>
      </c>
      <c r="E113" s="31">
        <v>0</v>
      </c>
      <c r="F113" s="31">
        <v>-3.2000000000000002E-3</v>
      </c>
      <c r="G113" s="31">
        <v>0</v>
      </c>
      <c r="H113" s="31">
        <v>-2.3999999999999998E-3</v>
      </c>
      <c r="I113" s="31">
        <v>-7.9000000000000008E-3</v>
      </c>
      <c r="J113" s="31">
        <v>-1.0891243024145302E-3</v>
      </c>
      <c r="K113" s="31">
        <v>2.515670277148334E-3</v>
      </c>
      <c r="L113" s="31">
        <v>8.2677213614064243E-3</v>
      </c>
      <c r="M113" s="31">
        <v>-2.1324684712107204E-3</v>
      </c>
      <c r="N113" s="31">
        <v>1.0010034343415053E-2</v>
      </c>
      <c r="O113" s="31">
        <v>-6.6506040189737853E-4</v>
      </c>
      <c r="P113" s="31"/>
    </row>
    <row r="115" spans="3:16" x14ac:dyDescent="0.3">
      <c r="C115" s="5" t="s">
        <v>4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3:16" ht="3.5" customHeight="1" x14ac:dyDescent="0.3"/>
    <row r="117" spans="3:16" x14ac:dyDescent="0.3">
      <c r="C117" s="17" t="s">
        <v>43</v>
      </c>
      <c r="E117" s="18">
        <f t="shared" ref="E117:G117" si="38">F117-1</f>
        <v>2013</v>
      </c>
      <c r="F117" s="18">
        <f t="shared" si="38"/>
        <v>2014</v>
      </c>
      <c r="G117" s="18">
        <f t="shared" si="38"/>
        <v>2015</v>
      </c>
      <c r="H117" s="18">
        <f>I117-1</f>
        <v>2016</v>
      </c>
      <c r="I117" s="18">
        <v>2017</v>
      </c>
      <c r="J117" s="18">
        <f>I117+1</f>
        <v>2018</v>
      </c>
      <c r="K117" s="18">
        <f t="shared" ref="K117:O117" si="39">J117+1</f>
        <v>2019</v>
      </c>
      <c r="L117" s="18">
        <f t="shared" si="39"/>
        <v>2020</v>
      </c>
      <c r="M117" s="18">
        <f t="shared" si="39"/>
        <v>2021</v>
      </c>
      <c r="N117" s="18">
        <f t="shared" si="39"/>
        <v>2022</v>
      </c>
      <c r="O117" s="18">
        <f t="shared" si="39"/>
        <v>2023</v>
      </c>
      <c r="P117" s="18"/>
    </row>
    <row r="118" spans="3:16" x14ac:dyDescent="0.3">
      <c r="C118" s="3" t="s">
        <v>16</v>
      </c>
      <c r="E118" s="19" t="s">
        <v>17</v>
      </c>
      <c r="F118" s="20" t="s">
        <v>18</v>
      </c>
      <c r="G118" s="20" t="s">
        <v>18</v>
      </c>
      <c r="H118" s="20" t="s">
        <v>18</v>
      </c>
      <c r="I118" s="20" t="s">
        <v>18</v>
      </c>
      <c r="J118" s="20" t="s">
        <v>18</v>
      </c>
      <c r="K118" s="20" t="s">
        <v>18</v>
      </c>
      <c r="L118" s="19" t="s">
        <v>44</v>
      </c>
      <c r="M118" s="20" t="s">
        <v>18</v>
      </c>
      <c r="N118" s="20" t="s">
        <v>18</v>
      </c>
      <c r="O118" s="20" t="s">
        <v>18</v>
      </c>
      <c r="P118" s="20"/>
    </row>
    <row r="119" spans="3:16" x14ac:dyDescent="0.3">
      <c r="C119" s="3" t="s">
        <v>19</v>
      </c>
      <c r="E119" s="21">
        <v>443.83680174447778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1">
        <v>1354.0702513288197</v>
      </c>
      <c r="M119" s="22">
        <v>0</v>
      </c>
      <c r="N119" s="22">
        <v>0</v>
      </c>
      <c r="O119" s="21"/>
      <c r="P119" s="21"/>
    </row>
    <row r="120" spans="3:16" x14ac:dyDescent="0.3">
      <c r="C120" s="23" t="s">
        <v>47</v>
      </c>
      <c r="E120" s="21"/>
      <c r="F120" s="22"/>
      <c r="G120" s="22"/>
      <c r="H120" s="22"/>
      <c r="I120" s="21"/>
      <c r="J120" s="22"/>
      <c r="K120" s="22"/>
      <c r="L120" s="22"/>
      <c r="M120" s="21"/>
      <c r="N120" s="22"/>
      <c r="O120" s="22"/>
      <c r="P120" s="22"/>
    </row>
    <row r="121" spans="3:16" x14ac:dyDescent="0.3">
      <c r="C121" s="23" t="s">
        <v>48</v>
      </c>
      <c r="E121" s="21"/>
      <c r="F121" s="22"/>
      <c r="G121" s="22"/>
      <c r="H121" s="22"/>
      <c r="I121" s="21"/>
      <c r="J121" s="22"/>
      <c r="K121" s="22"/>
      <c r="L121" s="22"/>
      <c r="M121" s="21"/>
      <c r="N121" s="22"/>
      <c r="O121" s="22"/>
      <c r="P121" s="22"/>
    </row>
    <row r="122" spans="3:16" ht="4.5" customHeight="1" x14ac:dyDescent="0.3"/>
    <row r="123" spans="3:16" x14ac:dyDescent="0.3">
      <c r="C123" s="24" t="s">
        <v>22</v>
      </c>
      <c r="D123" s="23"/>
      <c r="E123" s="25">
        <f t="shared" ref="E123:H123" si="40">SUM(E124:E126)</f>
        <v>221.41709940006692</v>
      </c>
      <c r="F123" s="25">
        <f t="shared" si="40"/>
        <v>0</v>
      </c>
      <c r="G123" s="25">
        <f t="shared" si="40"/>
        <v>0</v>
      </c>
      <c r="H123" s="25">
        <f t="shared" si="40"/>
        <v>0</v>
      </c>
      <c r="I123" s="25">
        <f>SUM(I124:I126)</f>
        <v>0</v>
      </c>
      <c r="J123" s="25">
        <f t="shared" ref="J123:O123" si="41">SUM(J124:J126)</f>
        <v>0</v>
      </c>
      <c r="K123" s="25">
        <f t="shared" si="41"/>
        <v>0</v>
      </c>
      <c r="L123" s="25">
        <f t="shared" si="41"/>
        <v>377.74854972111672</v>
      </c>
      <c r="M123" s="25">
        <f t="shared" si="41"/>
        <v>0</v>
      </c>
      <c r="N123" s="25">
        <f t="shared" si="41"/>
        <v>0</v>
      </c>
      <c r="O123" s="25">
        <f t="shared" si="41"/>
        <v>0</v>
      </c>
      <c r="P123" s="25"/>
    </row>
    <row r="124" spans="3:16" x14ac:dyDescent="0.3">
      <c r="C124" s="3" t="s">
        <v>23</v>
      </c>
      <c r="E124" s="4">
        <v>212.88371596476739</v>
      </c>
      <c r="F124" s="4"/>
      <c r="G124" s="4"/>
      <c r="H124" s="4"/>
      <c r="I124" s="4"/>
      <c r="J124" s="4"/>
      <c r="K124" s="4"/>
      <c r="L124" s="4">
        <v>377.74854972111672</v>
      </c>
      <c r="M124" s="4"/>
      <c r="N124" s="4"/>
      <c r="O124" s="4"/>
      <c r="P124" s="4"/>
    </row>
    <row r="125" spans="3:16" x14ac:dyDescent="0.3">
      <c r="C125" s="3" t="s">
        <v>24</v>
      </c>
      <c r="E125" s="4">
        <v>0.16376756299028078</v>
      </c>
      <c r="F125" s="4"/>
      <c r="G125" s="4"/>
      <c r="H125" s="4"/>
      <c r="I125" s="4"/>
      <c r="J125" s="4"/>
      <c r="K125" s="4"/>
      <c r="L125" s="4">
        <v>0</v>
      </c>
      <c r="M125" s="4"/>
      <c r="N125" s="4"/>
      <c r="O125" s="4"/>
      <c r="P125" s="4"/>
    </row>
    <row r="126" spans="3:16" x14ac:dyDescent="0.3">
      <c r="C126" s="3" t="s">
        <v>25</v>
      </c>
      <c r="E126" s="4">
        <v>8.3696158723092502</v>
      </c>
      <c r="F126" s="4"/>
      <c r="G126" s="4"/>
      <c r="H126" s="4"/>
      <c r="I126" s="4"/>
      <c r="J126" s="4"/>
      <c r="K126" s="4"/>
      <c r="L126" s="4">
        <v>0</v>
      </c>
      <c r="M126" s="4"/>
      <c r="N126" s="4"/>
      <c r="O126" s="4"/>
      <c r="P126" s="4"/>
    </row>
    <row r="127" spans="3:16" x14ac:dyDescent="0.3">
      <c r="C127" s="24" t="s">
        <v>26</v>
      </c>
      <c r="D127" s="23"/>
      <c r="E127" s="25">
        <f t="shared" ref="E127:H127" si="42">SUM(E128:E130)</f>
        <v>93.690141096749272</v>
      </c>
      <c r="F127" s="25">
        <f t="shared" si="42"/>
        <v>0</v>
      </c>
      <c r="G127" s="25">
        <f t="shared" si="42"/>
        <v>0</v>
      </c>
      <c r="H127" s="25">
        <f t="shared" si="42"/>
        <v>0</v>
      </c>
      <c r="I127" s="25">
        <f>SUM(I128:I130)</f>
        <v>0</v>
      </c>
      <c r="J127" s="25">
        <f t="shared" ref="J127:O127" si="43">SUM(J128:J130)</f>
        <v>0</v>
      </c>
      <c r="K127" s="25">
        <f t="shared" si="43"/>
        <v>0</v>
      </c>
      <c r="L127" s="25">
        <f t="shared" si="43"/>
        <v>298.23973319715429</v>
      </c>
      <c r="M127" s="25">
        <f t="shared" si="43"/>
        <v>0</v>
      </c>
      <c r="N127" s="25">
        <f t="shared" si="43"/>
        <v>0</v>
      </c>
      <c r="O127" s="25">
        <f t="shared" si="43"/>
        <v>0</v>
      </c>
      <c r="P127" s="25"/>
    </row>
    <row r="128" spans="3:16" x14ac:dyDescent="0.3">
      <c r="C128" s="3" t="s">
        <v>27</v>
      </c>
      <c r="E128" s="4">
        <v>32.844595556635682</v>
      </c>
      <c r="F128" s="4"/>
      <c r="G128" s="4"/>
      <c r="H128" s="4"/>
      <c r="I128" s="4"/>
      <c r="J128" s="4"/>
      <c r="K128" s="4"/>
      <c r="L128" s="4">
        <v>156.48462723396435</v>
      </c>
      <c r="M128" s="4"/>
      <c r="N128" s="4"/>
      <c r="O128" s="4"/>
      <c r="P128" s="4"/>
    </row>
    <row r="129" spans="3:16" x14ac:dyDescent="0.3">
      <c r="C129" s="3" t="s">
        <v>28</v>
      </c>
      <c r="E129" s="4">
        <v>43.13071820798308</v>
      </c>
      <c r="F129" s="4"/>
      <c r="G129" s="4"/>
      <c r="H129" s="4"/>
      <c r="I129" s="4"/>
      <c r="J129" s="4"/>
      <c r="K129" s="4"/>
      <c r="L129" s="4">
        <v>96.744207184073886</v>
      </c>
      <c r="M129" s="4"/>
      <c r="N129" s="4"/>
      <c r="O129" s="4"/>
      <c r="P129" s="4"/>
    </row>
    <row r="130" spans="3:16" x14ac:dyDescent="0.3">
      <c r="C130" s="3" t="s">
        <v>29</v>
      </c>
      <c r="E130" s="4">
        <v>17.714827332130504</v>
      </c>
      <c r="F130" s="4"/>
      <c r="G130" s="4"/>
      <c r="H130" s="4"/>
      <c r="I130" s="4"/>
      <c r="J130" s="4"/>
      <c r="K130" s="4"/>
      <c r="L130" s="4">
        <v>45.01089877911609</v>
      </c>
      <c r="M130" s="4"/>
      <c r="N130" s="4"/>
      <c r="O130" s="4"/>
      <c r="P130" s="4"/>
    </row>
    <row r="131" spans="3:16" x14ac:dyDescent="0.3">
      <c r="C131" s="24" t="s">
        <v>30</v>
      </c>
      <c r="D131" s="23"/>
      <c r="E131" s="25">
        <f t="shared" ref="E131:M131" si="44">E127+E123</f>
        <v>315.10724049681619</v>
      </c>
      <c r="F131" s="25">
        <f t="shared" si="44"/>
        <v>0</v>
      </c>
      <c r="G131" s="25">
        <f t="shared" si="44"/>
        <v>0</v>
      </c>
      <c r="H131" s="25">
        <f t="shared" si="44"/>
        <v>0</v>
      </c>
      <c r="I131" s="25">
        <f t="shared" si="44"/>
        <v>0</v>
      </c>
      <c r="J131" s="25">
        <f t="shared" si="44"/>
        <v>0</v>
      </c>
      <c r="K131" s="25">
        <f t="shared" si="44"/>
        <v>0</v>
      </c>
      <c r="L131" s="25">
        <f t="shared" si="44"/>
        <v>675.98828291827101</v>
      </c>
      <c r="M131" s="25">
        <f t="shared" si="44"/>
        <v>0</v>
      </c>
      <c r="N131" s="25"/>
      <c r="O131" s="25">
        <f t="shared" ref="O131" si="45">O127+O123</f>
        <v>0</v>
      </c>
      <c r="P131" s="25"/>
    </row>
    <row r="132" spans="3:16" x14ac:dyDescent="0.3">
      <c r="C132" s="3" t="s">
        <v>31</v>
      </c>
      <c r="E132" s="4">
        <v>307.49259039095926</v>
      </c>
      <c r="F132" s="4"/>
      <c r="G132" s="4"/>
      <c r="H132" s="4"/>
      <c r="I132" s="4"/>
      <c r="J132" s="4"/>
      <c r="K132" s="4">
        <f>K131*(1-K144-K146)</f>
        <v>0</v>
      </c>
      <c r="L132" s="4">
        <v>666.19738657389462</v>
      </c>
      <c r="M132" s="4"/>
      <c r="N132" s="4"/>
      <c r="O132" s="4">
        <f>O131*(1-O144-O146)</f>
        <v>0</v>
      </c>
      <c r="P132" s="4"/>
    </row>
    <row r="133" spans="3:16" x14ac:dyDescent="0.3">
      <c r="C133" s="3" t="s">
        <v>32</v>
      </c>
      <c r="E133" s="4">
        <v>0</v>
      </c>
      <c r="F133" s="4"/>
      <c r="G133" s="4"/>
      <c r="H133" s="4"/>
      <c r="I133" s="4"/>
      <c r="J133" s="4"/>
      <c r="K133" s="4"/>
      <c r="L133" s="4">
        <v>0</v>
      </c>
      <c r="M133" s="4"/>
      <c r="N133" s="4"/>
      <c r="O133" s="4"/>
      <c r="P133" s="4"/>
    </row>
    <row r="134" spans="3:16" x14ac:dyDescent="0.3">
      <c r="C134" s="644" t="s">
        <v>1165</v>
      </c>
      <c r="E134" s="646">
        <v>6.0268193620119224</v>
      </c>
      <c r="F134" s="646"/>
      <c r="G134" s="646"/>
      <c r="H134" s="646"/>
      <c r="I134" s="646"/>
      <c r="J134" s="646"/>
      <c r="K134" s="646"/>
      <c r="L134" s="646">
        <v>15.368919830834292</v>
      </c>
      <c r="M134" s="646"/>
      <c r="N134" s="646"/>
      <c r="O134" s="646"/>
      <c r="P134" s="4"/>
    </row>
    <row r="135" spans="3:16" x14ac:dyDescent="0.3">
      <c r="C135" s="644" t="s">
        <v>1166</v>
      </c>
      <c r="E135" s="646">
        <v>0</v>
      </c>
      <c r="F135" s="646"/>
      <c r="G135" s="646"/>
      <c r="H135" s="646"/>
      <c r="I135" s="646"/>
      <c r="J135" s="646"/>
      <c r="K135" s="646"/>
      <c r="L135" s="646">
        <v>2.5907472043609516</v>
      </c>
      <c r="M135" s="646"/>
      <c r="N135" s="646"/>
      <c r="O135" s="646"/>
      <c r="P135" s="4"/>
    </row>
    <row r="136" spans="3:16" x14ac:dyDescent="0.3">
      <c r="C136" s="644" t="s">
        <v>1167</v>
      </c>
      <c r="E136" s="646">
        <v>0</v>
      </c>
      <c r="F136" s="646"/>
      <c r="G136" s="646"/>
      <c r="H136" s="646"/>
      <c r="I136" s="646"/>
      <c r="J136" s="646"/>
      <c r="K136" s="646"/>
      <c r="L136" s="646">
        <v>6.3854702285508855</v>
      </c>
      <c r="M136" s="646"/>
      <c r="N136" s="646"/>
      <c r="O136" s="646"/>
      <c r="P136" s="4"/>
    </row>
    <row r="137" spans="3:16" x14ac:dyDescent="0.3">
      <c r="C137" s="3" t="s">
        <v>33</v>
      </c>
      <c r="E137" s="4">
        <f>SUM(E134:E136)</f>
        <v>6.0268193620119224</v>
      </c>
      <c r="F137" s="4"/>
      <c r="G137" s="4"/>
      <c r="H137" s="4"/>
      <c r="I137" s="4"/>
      <c r="J137" s="4"/>
      <c r="K137" s="4"/>
      <c r="L137" s="4">
        <f>SUM(L134:L136)</f>
        <v>24.345137263746132</v>
      </c>
      <c r="M137" s="4"/>
      <c r="N137" s="4"/>
      <c r="O137" s="4"/>
      <c r="P137" s="4"/>
    </row>
    <row r="138" spans="3:16" x14ac:dyDescent="0.3">
      <c r="C138" s="645" t="s">
        <v>1168</v>
      </c>
      <c r="E138" s="4">
        <f>SUM(E125:E126)</f>
        <v>8.5333834352995304</v>
      </c>
      <c r="F138" s="4">
        <v>0</v>
      </c>
      <c r="G138" s="4">
        <v>0</v>
      </c>
      <c r="H138" s="4">
        <v>0</v>
      </c>
      <c r="I138" s="4">
        <v>17.642920799456203</v>
      </c>
      <c r="J138" s="4">
        <v>23.492582193776187</v>
      </c>
      <c r="K138" s="4">
        <v>18.522710490166283</v>
      </c>
      <c r="L138" s="4">
        <v>26.00804382769909</v>
      </c>
      <c r="M138" s="4">
        <v>27.624760121901986</v>
      </c>
      <c r="N138" s="4">
        <v>31.00093530029773</v>
      </c>
      <c r="O138" s="4">
        <v>29.001278444303324</v>
      </c>
      <c r="P138" s="4"/>
    </row>
    <row r="139" spans="3:16" x14ac:dyDescent="0.3">
      <c r="C139" s="26" t="s">
        <v>34</v>
      </c>
      <c r="D139" s="23"/>
      <c r="E139" s="27">
        <f t="shared" ref="E139:L139" si="46">E132-E137+E133</f>
        <v>301.46577102894736</v>
      </c>
      <c r="F139" s="27">
        <v>339.71863811374203</v>
      </c>
      <c r="G139" s="27">
        <v>374.08234042702298</v>
      </c>
      <c r="H139" s="27">
        <v>390.49288582977056</v>
      </c>
      <c r="I139" s="27">
        <v>466.00760707485495</v>
      </c>
      <c r="J139" s="27">
        <v>474.6189143487785</v>
      </c>
      <c r="K139" s="27">
        <v>466.28752223750837</v>
      </c>
      <c r="L139" s="27">
        <f t="shared" si="46"/>
        <v>641.85224931014852</v>
      </c>
      <c r="M139" s="27">
        <v>703.71761981788347</v>
      </c>
      <c r="N139" s="27">
        <v>799.02384367477475</v>
      </c>
      <c r="O139" s="27">
        <v>855.95278829565541</v>
      </c>
      <c r="P139" s="27"/>
    </row>
    <row r="140" spans="3:16" x14ac:dyDescent="0.3">
      <c r="C140" s="3" t="s">
        <v>35</v>
      </c>
      <c r="E140" s="4">
        <v>3311.514244</v>
      </c>
      <c r="F140" s="4">
        <v>3498.3136979999981</v>
      </c>
      <c r="G140" s="4">
        <v>3604.9415400000016</v>
      </c>
      <c r="H140" s="4">
        <v>3478.5117000000009</v>
      </c>
      <c r="I140" s="4">
        <v>3601.0475950000009</v>
      </c>
      <c r="J140" s="4">
        <v>3595.3936150000009</v>
      </c>
      <c r="K140" s="4">
        <v>3692.8885480000004</v>
      </c>
      <c r="L140" s="4">
        <v>3868.8364459999993</v>
      </c>
      <c r="M140" s="4">
        <v>3933.7521589999992</v>
      </c>
      <c r="N140" s="4">
        <v>3979.4170909999998</v>
      </c>
      <c r="O140" s="4">
        <v>4045.2279619999986</v>
      </c>
      <c r="P140" s="4"/>
    </row>
    <row r="141" spans="3:16" x14ac:dyDescent="0.3">
      <c r="C141" s="26" t="s">
        <v>36</v>
      </c>
      <c r="D141" s="23"/>
      <c r="E141" s="33">
        <f t="shared" ref="E141:O141" si="47">IFERROR(E139/E140*1000,"N/A")</f>
        <v>91.035625643211745</v>
      </c>
      <c r="F141" s="33">
        <f t="shared" si="47"/>
        <v>97.109255327205418</v>
      </c>
      <c r="G141" s="33">
        <f t="shared" si="47"/>
        <v>103.76932226951531</v>
      </c>
      <c r="H141" s="33">
        <f t="shared" si="47"/>
        <v>112.25860928677355</v>
      </c>
      <c r="I141" s="33">
        <f t="shared" si="47"/>
        <v>129.40889971071175</v>
      </c>
      <c r="J141" s="33">
        <f t="shared" si="47"/>
        <v>132.00749769612594</v>
      </c>
      <c r="K141" s="33">
        <f t="shared" si="47"/>
        <v>126.26634033947248</v>
      </c>
      <c r="L141" s="33">
        <f t="shared" si="47"/>
        <v>165.90317483535944</v>
      </c>
      <c r="M141" s="33">
        <f t="shared" si="47"/>
        <v>178.89221063605996</v>
      </c>
      <c r="N141" s="33">
        <f t="shared" si="47"/>
        <v>200.78916720790019</v>
      </c>
      <c r="O141" s="33">
        <f t="shared" si="47"/>
        <v>211.59568665506416</v>
      </c>
      <c r="P141" s="33"/>
    </row>
    <row r="142" spans="3:16" ht="4.5" customHeight="1" x14ac:dyDescent="0.3"/>
    <row r="143" spans="3:16" x14ac:dyDescent="0.3">
      <c r="C143" s="24" t="s">
        <v>37</v>
      </c>
      <c r="E143" s="28">
        <f t="shared" ref="E143" si="48">SUM(E144:E146)</f>
        <v>2.284466319289119E-2</v>
      </c>
      <c r="F143" s="28">
        <f t="shared" ref="F143:H143" si="49">SUM(F144:F146)</f>
        <v>2.29E-2</v>
      </c>
      <c r="G143" s="28">
        <f t="shared" si="49"/>
        <v>3.2899999999999999E-2</v>
      </c>
      <c r="H143" s="28">
        <f t="shared" si="49"/>
        <v>2.4366666666666665E-2</v>
      </c>
      <c r="I143" s="28">
        <f>SUM(I144:I146)</f>
        <v>1.26E-2</v>
      </c>
      <c r="J143" s="28">
        <f t="shared" ref="J143:O143" si="50">SUM(J144:J146)</f>
        <v>1.8215744594564723E-2</v>
      </c>
      <c r="K143" s="28">
        <f t="shared" si="50"/>
        <v>4.2964421304316448E-3</v>
      </c>
      <c r="L143" s="28">
        <f t="shared" si="50"/>
        <v>1.4710917771782753E-2</v>
      </c>
      <c r="M143" s="28">
        <f t="shared" si="50"/>
        <v>-5.249640356629442E-3</v>
      </c>
      <c r="N143" s="28">
        <f t="shared" si="50"/>
        <v>1.2922809203871033E-2</v>
      </c>
      <c r="O143" s="28">
        <f t="shared" si="50"/>
        <v>-1.0608049266330136E-3</v>
      </c>
      <c r="P143" s="28"/>
    </row>
    <row r="144" spans="3:16" x14ac:dyDescent="0.3">
      <c r="C144" s="3" t="s">
        <v>38</v>
      </c>
      <c r="E144" s="29">
        <v>1.7563600710785596E-2</v>
      </c>
      <c r="F144" s="29">
        <v>1.7600000000000001E-2</v>
      </c>
      <c r="G144" s="29">
        <v>1.7600000000000001E-2</v>
      </c>
      <c r="H144" s="29">
        <v>1.9066666666666666E-2</v>
      </c>
      <c r="I144" s="29">
        <v>1.7600000000000001E-2</v>
      </c>
      <c r="J144" s="29">
        <v>1.7600000000000001E-2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/>
    </row>
    <row r="145" spans="3:16" x14ac:dyDescent="0.3">
      <c r="C145" s="3" t="s">
        <v>39</v>
      </c>
      <c r="E145" s="29">
        <v>5.2810624821055955E-3</v>
      </c>
      <c r="F145" s="29">
        <v>5.3E-3</v>
      </c>
      <c r="G145" s="29">
        <v>5.3E-3</v>
      </c>
      <c r="H145" s="29">
        <v>5.3E-3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/>
    </row>
    <row r="146" spans="3:16" x14ac:dyDescent="0.3">
      <c r="C146" s="30" t="s">
        <v>40</v>
      </c>
      <c r="E146" s="31">
        <v>0</v>
      </c>
      <c r="F146" s="31">
        <v>0</v>
      </c>
      <c r="G146" s="31">
        <v>0.01</v>
      </c>
      <c r="H146" s="31">
        <v>0</v>
      </c>
      <c r="I146" s="31">
        <v>-5.0000000000000001E-3</v>
      </c>
      <c r="J146" s="31">
        <v>6.157445945647234E-4</v>
      </c>
      <c r="K146" s="31">
        <v>4.2964421304316448E-3</v>
      </c>
      <c r="L146" s="31">
        <v>1.4710917771782753E-2</v>
      </c>
      <c r="M146" s="31">
        <v>-5.249640356629442E-3</v>
      </c>
      <c r="N146" s="31">
        <v>1.2922809203871033E-2</v>
      </c>
      <c r="O146" s="31">
        <v>-1.0608049266330136E-3</v>
      </c>
      <c r="P146" s="31"/>
    </row>
    <row r="148" spans="3:16" x14ac:dyDescent="0.3">
      <c r="C148" s="5" t="s">
        <v>5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3:16" ht="3.5" customHeight="1" x14ac:dyDescent="0.3"/>
    <row r="150" spans="3:16" x14ac:dyDescent="0.3">
      <c r="C150" s="17" t="s">
        <v>43</v>
      </c>
      <c r="E150" s="18">
        <f t="shared" ref="E150:G150" si="51">F150-1</f>
        <v>2013</v>
      </c>
      <c r="F150" s="18">
        <f t="shared" si="51"/>
        <v>2014</v>
      </c>
      <c r="G150" s="18">
        <f t="shared" si="51"/>
        <v>2015</v>
      </c>
      <c r="H150" s="18">
        <f>I150-1</f>
        <v>2016</v>
      </c>
      <c r="I150" s="18">
        <v>2017</v>
      </c>
      <c r="J150" s="18">
        <f>I150+1</f>
        <v>2018</v>
      </c>
      <c r="K150" s="18">
        <f t="shared" ref="K150:O150" si="52">J150+1</f>
        <v>2019</v>
      </c>
      <c r="L150" s="18">
        <f t="shared" si="52"/>
        <v>2020</v>
      </c>
      <c r="M150" s="18">
        <f t="shared" si="52"/>
        <v>2021</v>
      </c>
      <c r="N150" s="18">
        <f t="shared" si="52"/>
        <v>2022</v>
      </c>
      <c r="O150" s="18">
        <f t="shared" si="52"/>
        <v>2023</v>
      </c>
      <c r="P150" s="18"/>
    </row>
    <row r="151" spans="3:16" x14ac:dyDescent="0.3">
      <c r="C151" s="3" t="s">
        <v>16</v>
      </c>
      <c r="E151" s="20" t="s">
        <v>18</v>
      </c>
      <c r="F151" s="20" t="s">
        <v>18</v>
      </c>
      <c r="G151" s="20" t="s">
        <v>18</v>
      </c>
      <c r="H151" s="19" t="s">
        <v>17</v>
      </c>
      <c r="I151" s="20" t="s">
        <v>18</v>
      </c>
      <c r="J151" s="20" t="s">
        <v>18</v>
      </c>
      <c r="K151" s="20" t="s">
        <v>18</v>
      </c>
      <c r="L151" s="20" t="s">
        <v>18</v>
      </c>
      <c r="M151" s="19" t="s">
        <v>17</v>
      </c>
      <c r="N151" s="20" t="s">
        <v>18</v>
      </c>
      <c r="O151" s="20" t="s">
        <v>18</v>
      </c>
      <c r="P151" s="20"/>
    </row>
    <row r="152" spans="3:16" x14ac:dyDescent="0.3">
      <c r="C152" s="3" t="s">
        <v>19</v>
      </c>
      <c r="E152" s="22">
        <v>0</v>
      </c>
      <c r="F152" s="22">
        <v>0</v>
      </c>
      <c r="G152" s="21"/>
      <c r="H152" s="21">
        <v>1688.8905499205889</v>
      </c>
      <c r="I152" s="22">
        <v>0</v>
      </c>
      <c r="J152" s="22">
        <v>0</v>
      </c>
      <c r="K152" s="21"/>
      <c r="L152" s="22">
        <v>0</v>
      </c>
      <c r="M152" s="21">
        <v>2953.4600352930588</v>
      </c>
      <c r="N152" s="22">
        <v>0</v>
      </c>
      <c r="O152" s="21"/>
      <c r="P152" s="21"/>
    </row>
    <row r="153" spans="3:16" x14ac:dyDescent="0.3">
      <c r="C153" s="23" t="s">
        <v>49</v>
      </c>
      <c r="E153" s="21"/>
      <c r="F153" s="22"/>
      <c r="G153" s="22"/>
      <c r="H153" s="22"/>
      <c r="I153" s="21"/>
      <c r="J153" s="22"/>
      <c r="K153" s="22"/>
      <c r="L153" s="22"/>
      <c r="M153" s="21"/>
      <c r="N153" s="22"/>
      <c r="O153" s="22"/>
      <c r="P153" s="22"/>
    </row>
    <row r="154" spans="3:16" x14ac:dyDescent="0.3">
      <c r="C154" s="23" t="s">
        <v>50</v>
      </c>
      <c r="E154" s="21"/>
      <c r="F154" s="22"/>
      <c r="G154" s="22"/>
      <c r="H154" s="22"/>
      <c r="I154" s="21"/>
      <c r="J154" s="22"/>
      <c r="K154" s="22"/>
      <c r="L154" s="22"/>
      <c r="M154" s="21"/>
      <c r="N154" s="22"/>
      <c r="O154" s="22"/>
      <c r="P154" s="22"/>
    </row>
    <row r="155" spans="3:16" ht="4.5" customHeight="1" x14ac:dyDescent="0.3"/>
    <row r="156" spans="3:16" x14ac:dyDescent="0.3">
      <c r="C156" s="24" t="s">
        <v>22</v>
      </c>
      <c r="D156" s="23"/>
      <c r="E156" s="25">
        <f t="shared" ref="E156:H156" si="53">SUM(E157:E159)</f>
        <v>0</v>
      </c>
      <c r="F156" s="25">
        <f t="shared" si="53"/>
        <v>0</v>
      </c>
      <c r="G156" s="25">
        <f t="shared" si="53"/>
        <v>0</v>
      </c>
      <c r="H156" s="25">
        <f t="shared" si="53"/>
        <v>382.2675507166087</v>
      </c>
      <c r="I156" s="25">
        <f>SUM(I157:I159)</f>
        <v>0</v>
      </c>
      <c r="J156" s="25">
        <f t="shared" ref="J156:O156" si="54">SUM(J157:J159)</f>
        <v>0</v>
      </c>
      <c r="K156" s="25">
        <f t="shared" si="54"/>
        <v>0</v>
      </c>
      <c r="L156" s="25">
        <f t="shared" si="54"/>
        <v>0</v>
      </c>
      <c r="M156" s="25">
        <f t="shared" si="54"/>
        <v>445.61939902168098</v>
      </c>
      <c r="N156" s="25">
        <f t="shared" si="54"/>
        <v>0</v>
      </c>
      <c r="O156" s="25">
        <f t="shared" si="54"/>
        <v>0</v>
      </c>
      <c r="P156" s="25"/>
    </row>
    <row r="157" spans="3:16" x14ac:dyDescent="0.3">
      <c r="C157" s="3" t="s">
        <v>23</v>
      </c>
      <c r="E157" s="4"/>
      <c r="F157" s="4"/>
      <c r="G157" s="4"/>
      <c r="H157" s="4">
        <v>356.02983264543229</v>
      </c>
      <c r="I157" s="4"/>
      <c r="J157" s="4"/>
      <c r="K157" s="4"/>
      <c r="L157" s="4"/>
      <c r="M157" s="4">
        <v>445.61939902168098</v>
      </c>
      <c r="N157" s="4"/>
      <c r="O157" s="4"/>
      <c r="P157" s="4"/>
    </row>
    <row r="158" spans="3:16" x14ac:dyDescent="0.3">
      <c r="C158" s="3" t="s">
        <v>24</v>
      </c>
      <c r="E158" s="4"/>
      <c r="F158" s="4"/>
      <c r="G158" s="4"/>
      <c r="H158" s="4">
        <v>7.8601822173388172</v>
      </c>
      <c r="I158" s="4"/>
      <c r="J158" s="4"/>
      <c r="K158" s="4"/>
      <c r="L158" s="4"/>
      <c r="M158" s="4">
        <v>0</v>
      </c>
      <c r="N158" s="4"/>
      <c r="O158" s="4"/>
      <c r="P158" s="4"/>
    </row>
    <row r="159" spans="3:16" x14ac:dyDescent="0.3">
      <c r="C159" s="3" t="s">
        <v>25</v>
      </c>
      <c r="E159" s="4"/>
      <c r="F159" s="4"/>
      <c r="G159" s="4"/>
      <c r="H159" s="4">
        <v>18.377535853837546</v>
      </c>
      <c r="I159" s="4"/>
      <c r="J159" s="4"/>
      <c r="K159" s="4"/>
      <c r="L159" s="4"/>
      <c r="M159" s="4">
        <v>0</v>
      </c>
      <c r="N159" s="4"/>
      <c r="O159" s="4"/>
      <c r="P159" s="4"/>
    </row>
    <row r="160" spans="3:16" x14ac:dyDescent="0.3">
      <c r="C160" s="24" t="s">
        <v>26</v>
      </c>
      <c r="D160" s="23"/>
      <c r="E160" s="25">
        <f t="shared" ref="E160:H160" si="55">SUM(E161:E163)</f>
        <v>0</v>
      </c>
      <c r="F160" s="25">
        <f t="shared" si="55"/>
        <v>0</v>
      </c>
      <c r="G160" s="25">
        <f t="shared" si="55"/>
        <v>0</v>
      </c>
      <c r="H160" s="25">
        <f t="shared" si="55"/>
        <v>378.67965990833198</v>
      </c>
      <c r="I160" s="25">
        <f>SUM(I161:I163)</f>
        <v>0</v>
      </c>
      <c r="J160" s="25">
        <f t="shared" ref="J160:O160" si="56">SUM(J161:J163)</f>
        <v>0</v>
      </c>
      <c r="K160" s="25">
        <f t="shared" si="56"/>
        <v>0</v>
      </c>
      <c r="L160" s="25">
        <f t="shared" si="56"/>
        <v>0</v>
      </c>
      <c r="M160" s="25">
        <f t="shared" si="56"/>
        <v>587.43939795531196</v>
      </c>
      <c r="N160" s="25">
        <f t="shared" si="56"/>
        <v>0</v>
      </c>
      <c r="O160" s="25">
        <f t="shared" si="56"/>
        <v>0</v>
      </c>
      <c r="P160" s="25"/>
    </row>
    <row r="161" spans="3:16" x14ac:dyDescent="0.3">
      <c r="C161" s="3" t="s">
        <v>27</v>
      </c>
      <c r="E161" s="4"/>
      <c r="F161" s="4"/>
      <c r="G161" s="4"/>
      <c r="H161" s="4">
        <v>212.34458975504759</v>
      </c>
      <c r="I161" s="4"/>
      <c r="J161" s="4"/>
      <c r="K161" s="4"/>
      <c r="L161" s="4"/>
      <c r="M161" s="4">
        <v>325.29019777367989</v>
      </c>
      <c r="N161" s="4"/>
      <c r="O161" s="4"/>
      <c r="P161" s="4"/>
    </row>
    <row r="162" spans="3:16" x14ac:dyDescent="0.3">
      <c r="C162" s="3" t="s">
        <v>28</v>
      </c>
      <c r="E162" s="4"/>
      <c r="F162" s="4"/>
      <c r="G162" s="4"/>
      <c r="H162" s="4">
        <v>115.59409243762003</v>
      </c>
      <c r="I162" s="4"/>
      <c r="J162" s="4"/>
      <c r="K162" s="4"/>
      <c r="L162" s="4"/>
      <c r="M162" s="4">
        <v>188.65099915623921</v>
      </c>
      <c r="N162" s="4"/>
      <c r="O162" s="4"/>
      <c r="P162" s="4"/>
    </row>
    <row r="163" spans="3:16" x14ac:dyDescent="0.3">
      <c r="C163" s="3" t="s">
        <v>29</v>
      </c>
      <c r="E163" s="4"/>
      <c r="F163" s="4"/>
      <c r="G163" s="4"/>
      <c r="H163" s="4">
        <v>50.740977715664357</v>
      </c>
      <c r="I163" s="4"/>
      <c r="J163" s="4"/>
      <c r="K163" s="4"/>
      <c r="L163" s="4"/>
      <c r="M163" s="4">
        <v>73.498201025392859</v>
      </c>
      <c r="N163" s="4"/>
      <c r="O163" s="4"/>
      <c r="P163" s="4"/>
    </row>
    <row r="164" spans="3:16" x14ac:dyDescent="0.3">
      <c r="C164" s="24" t="s">
        <v>30</v>
      </c>
      <c r="D164" s="23"/>
      <c r="E164" s="25">
        <f t="shared" ref="E164:H164" si="57">E160+E156</f>
        <v>0</v>
      </c>
      <c r="F164" s="25">
        <f t="shared" si="57"/>
        <v>0</v>
      </c>
      <c r="G164" s="25">
        <f t="shared" si="57"/>
        <v>0</v>
      </c>
      <c r="H164" s="25">
        <f t="shared" si="57"/>
        <v>760.94721062494068</v>
      </c>
      <c r="I164" s="25">
        <f>I160+I156</f>
        <v>0</v>
      </c>
      <c r="J164" s="25"/>
      <c r="K164" s="25">
        <f t="shared" ref="K164" si="58">K160+K156</f>
        <v>0</v>
      </c>
      <c r="L164" s="25"/>
      <c r="M164" s="25">
        <f t="shared" ref="M164" si="59">M160+M156</f>
        <v>1033.0587969769929</v>
      </c>
      <c r="N164" s="25"/>
      <c r="O164" s="25">
        <f t="shared" ref="O164" si="60">O160+O156</f>
        <v>0</v>
      </c>
      <c r="P164" s="25"/>
    </row>
    <row r="165" spans="3:16" x14ac:dyDescent="0.3">
      <c r="C165" s="3" t="s">
        <v>31</v>
      </c>
      <c r="E165" s="4"/>
      <c r="F165" s="4"/>
      <c r="G165" s="4"/>
      <c r="H165" s="4">
        <f>H164*(1-H177-H179)</f>
        <v>757.24914562505205</v>
      </c>
      <c r="I165" s="4"/>
      <c r="J165" s="4"/>
      <c r="K165" s="4">
        <f>K164*(1-K177-K179)</f>
        <v>0</v>
      </c>
      <c r="L165" s="4"/>
      <c r="M165" s="4">
        <f>M164*(1-M177-M179)</f>
        <v>1026.4397924712816</v>
      </c>
      <c r="N165" s="4"/>
      <c r="O165" s="4">
        <f>O164*(1-O177-O179)</f>
        <v>0</v>
      </c>
      <c r="P165" s="4"/>
    </row>
    <row r="166" spans="3:16" x14ac:dyDescent="0.3">
      <c r="C166" s="3" t="s">
        <v>32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3:16" x14ac:dyDescent="0.3">
      <c r="C167" s="644" t="s">
        <v>1165</v>
      </c>
      <c r="E167" s="646"/>
      <c r="F167" s="646"/>
      <c r="G167" s="646"/>
      <c r="H167" s="646"/>
      <c r="I167" s="646"/>
      <c r="J167" s="646"/>
      <c r="K167" s="646"/>
      <c r="L167" s="646"/>
      <c r="M167" s="646">
        <v>51.666852989334821</v>
      </c>
      <c r="N167" s="646"/>
      <c r="O167" s="646"/>
      <c r="P167" s="4"/>
    </row>
    <row r="168" spans="3:16" x14ac:dyDescent="0.3">
      <c r="C168" s="644" t="s">
        <v>1166</v>
      </c>
      <c r="E168" s="646"/>
      <c r="F168" s="646"/>
      <c r="G168" s="646"/>
      <c r="H168" s="646"/>
      <c r="I168" s="646"/>
      <c r="J168" s="646"/>
      <c r="K168" s="646"/>
      <c r="L168" s="646"/>
      <c r="M168" s="646">
        <v>9.3482583311613698</v>
      </c>
      <c r="N168" s="646"/>
      <c r="O168" s="646"/>
      <c r="P168" s="4"/>
    </row>
    <row r="169" spans="3:16" x14ac:dyDescent="0.3">
      <c r="C169" s="644" t="s">
        <v>1167</v>
      </c>
      <c r="E169" s="646"/>
      <c r="F169" s="646"/>
      <c r="G169" s="646"/>
      <c r="H169" s="646"/>
      <c r="I169" s="646"/>
      <c r="J169" s="646"/>
      <c r="K169" s="646"/>
      <c r="L169" s="646"/>
      <c r="M169" s="646">
        <v>14.874370406335213</v>
      </c>
      <c r="N169" s="646"/>
      <c r="O169" s="646"/>
      <c r="P169" s="4"/>
    </row>
    <row r="170" spans="3:16" x14ac:dyDescent="0.3">
      <c r="C170" s="3" t="s">
        <v>33</v>
      </c>
      <c r="E170" s="4"/>
      <c r="F170" s="4"/>
      <c r="G170" s="4"/>
      <c r="H170" s="4">
        <v>23.041184356152595</v>
      </c>
      <c r="I170" s="4"/>
      <c r="J170" s="4"/>
      <c r="K170" s="4"/>
      <c r="L170" s="4"/>
      <c r="M170" s="4">
        <v>75.889481726831406</v>
      </c>
      <c r="N170" s="4"/>
      <c r="O170" s="4"/>
      <c r="P170" s="4"/>
    </row>
    <row r="171" spans="3:16" x14ac:dyDescent="0.3">
      <c r="C171" s="645" t="s">
        <v>1168</v>
      </c>
      <c r="E171" s="4">
        <v>0</v>
      </c>
      <c r="F171" s="4">
        <v>0</v>
      </c>
      <c r="G171" s="4">
        <v>0</v>
      </c>
      <c r="H171" s="4">
        <f>SUM(H158:H159)</f>
        <v>26.237718071176364</v>
      </c>
      <c r="I171" s="4">
        <v>28.783900191575199</v>
      </c>
      <c r="J171" s="4">
        <v>30.68361202692504</v>
      </c>
      <c r="K171" s="4">
        <v>28.566825370661583</v>
      </c>
      <c r="L171" s="4">
        <v>30.076662088288675</v>
      </c>
      <c r="M171" s="4">
        <v>35.557520396352949</v>
      </c>
      <c r="N171" s="4">
        <v>42.716772833768623</v>
      </c>
      <c r="O171" s="4">
        <v>36.175542517779355</v>
      </c>
      <c r="P171" s="4"/>
    </row>
    <row r="172" spans="3:16" x14ac:dyDescent="0.3">
      <c r="C172" s="26" t="s">
        <v>34</v>
      </c>
      <c r="D172" s="23"/>
      <c r="E172" s="27">
        <v>552.62533374183693</v>
      </c>
      <c r="F172" s="27">
        <v>591.3350722459428</v>
      </c>
      <c r="G172" s="27">
        <v>638.34159937336267</v>
      </c>
      <c r="H172" s="27">
        <f t="shared" ref="H172" si="61">H165-H170+H166</f>
        <v>734.20796126889945</v>
      </c>
      <c r="I172" s="27">
        <v>726.59538906296723</v>
      </c>
      <c r="J172" s="27">
        <v>738.91842983165657</v>
      </c>
      <c r="K172" s="27">
        <v>779.97403557187397</v>
      </c>
      <c r="L172" s="27">
        <v>805.68857940341059</v>
      </c>
      <c r="M172" s="27">
        <f t="shared" ref="M172" si="62">M165-M170+M166</f>
        <v>950.55031074445026</v>
      </c>
      <c r="N172" s="27">
        <v>1048.528272564879</v>
      </c>
      <c r="O172" s="27">
        <v>1204.0611362290501</v>
      </c>
      <c r="P172" s="27"/>
    </row>
    <row r="173" spans="3:16" x14ac:dyDescent="0.3">
      <c r="C173" s="3" t="s">
        <v>35</v>
      </c>
      <c r="E173" s="4">
        <v>8570.7942300000032</v>
      </c>
      <c r="F173" s="4">
        <v>8900.2548699999988</v>
      </c>
      <c r="G173" s="4">
        <v>8794.1282850000007</v>
      </c>
      <c r="H173" s="4">
        <v>8085.6476409999987</v>
      </c>
      <c r="I173" s="4">
        <v>8142.731808999999</v>
      </c>
      <c r="J173" s="4">
        <v>8143.6930879999945</v>
      </c>
      <c r="K173" s="4">
        <v>7990.3905909999985</v>
      </c>
      <c r="L173" s="4">
        <v>7892.4498429999949</v>
      </c>
      <c r="M173" s="4">
        <v>7643.4839060000077</v>
      </c>
      <c r="N173" s="4">
        <v>7980.7688229999949</v>
      </c>
      <c r="O173" s="4">
        <v>8310.119074000002</v>
      </c>
      <c r="P173" s="4"/>
    </row>
    <row r="174" spans="3:16" x14ac:dyDescent="0.3">
      <c r="C174" s="26" t="s">
        <v>36</v>
      </c>
      <c r="D174" s="23"/>
      <c r="E174" s="33">
        <f t="shared" ref="E174:O174" si="63">IFERROR(E172/E173*1000,"N/A")</f>
        <v>64.477727374145203</v>
      </c>
      <c r="F174" s="33">
        <f t="shared" si="63"/>
        <v>66.440240294595384</v>
      </c>
      <c r="G174" s="33">
        <f t="shared" si="63"/>
        <v>72.587251252881018</v>
      </c>
      <c r="H174" s="33">
        <f t="shared" si="63"/>
        <v>90.803853181276608</v>
      </c>
      <c r="I174" s="33">
        <f t="shared" si="63"/>
        <v>89.232386145872553</v>
      </c>
      <c r="J174" s="33">
        <f t="shared" si="63"/>
        <v>90.735053721569855</v>
      </c>
      <c r="K174" s="33">
        <f t="shared" si="63"/>
        <v>97.614006060029183</v>
      </c>
      <c r="L174" s="33">
        <f t="shared" si="63"/>
        <v>102.08345892980179</v>
      </c>
      <c r="M174" s="33">
        <f t="shared" si="63"/>
        <v>124.36087030919029</v>
      </c>
      <c r="N174" s="33">
        <f t="shared" si="63"/>
        <v>131.38186255227652</v>
      </c>
      <c r="O174" s="33">
        <f t="shared" si="63"/>
        <v>144.89096070791751</v>
      </c>
      <c r="P174" s="33"/>
    </row>
    <row r="175" spans="3:16" ht="4.5" customHeight="1" x14ac:dyDescent="0.3"/>
    <row r="176" spans="3:16" x14ac:dyDescent="0.3">
      <c r="C176" s="24" t="s">
        <v>37</v>
      </c>
      <c r="E176" s="28">
        <f t="shared" ref="E176" si="64">SUM(E177:E179)</f>
        <v>1.6827937054284821E-2</v>
      </c>
      <c r="F176" s="28">
        <f t="shared" ref="F176:H176" si="65">SUM(F177:F179)</f>
        <v>2.1927937054284821E-2</v>
      </c>
      <c r="G176" s="28">
        <f t="shared" si="65"/>
        <v>1.982793705428482E-2</v>
      </c>
      <c r="H176" s="28">
        <f t="shared" si="65"/>
        <v>-1.2500971852715105E-2</v>
      </c>
      <c r="I176" s="28">
        <f>SUM(I177:I179)</f>
        <v>-6.0763666656657419E-3</v>
      </c>
      <c r="J176" s="28">
        <f t="shared" ref="J176:O176" si="66">SUM(J177:J179)</f>
        <v>8.9972874181680311E-4</v>
      </c>
      <c r="K176" s="28">
        <f t="shared" si="66"/>
        <v>-1.1305638373560838E-2</v>
      </c>
      <c r="L176" s="28">
        <f t="shared" si="66"/>
        <v>4.2922090217980147E-3</v>
      </c>
      <c r="M176" s="28">
        <f t="shared" si="66"/>
        <v>6.407190495914112E-3</v>
      </c>
      <c r="N176" s="28">
        <f t="shared" si="66"/>
        <v>-1.5160197706544851E-2</v>
      </c>
      <c r="O176" s="28">
        <f t="shared" si="66"/>
        <v>-1.1024642163723172E-2</v>
      </c>
      <c r="P176" s="28"/>
    </row>
    <row r="177" spans="3:16" x14ac:dyDescent="0.3">
      <c r="C177" s="3" t="s">
        <v>38</v>
      </c>
      <c r="E177" s="29">
        <v>1.1927937054284819E-2</v>
      </c>
      <c r="F177" s="29">
        <v>1.1927937054284819E-2</v>
      </c>
      <c r="G177" s="29">
        <v>1.1927937054284819E-2</v>
      </c>
      <c r="H177" s="29">
        <v>1.0259818063925341E-2</v>
      </c>
      <c r="I177" s="29">
        <v>1.03E-2</v>
      </c>
      <c r="J177" s="29">
        <v>1.03E-2</v>
      </c>
      <c r="K177" s="29">
        <v>1.03E-2</v>
      </c>
      <c r="L177" s="29">
        <v>1.03E-2</v>
      </c>
      <c r="M177" s="29">
        <v>-1.0614312259113077E-3</v>
      </c>
      <c r="N177" s="29">
        <v>9.3065130615329998E-4</v>
      </c>
      <c r="O177" s="29">
        <v>3.6389792866597277E-3</v>
      </c>
      <c r="P177" s="29"/>
    </row>
    <row r="178" spans="3:16" x14ac:dyDescent="0.3">
      <c r="C178" s="3" t="s">
        <v>39</v>
      </c>
      <c r="E178" s="29">
        <v>0</v>
      </c>
      <c r="F178" s="29">
        <v>0</v>
      </c>
      <c r="G178" s="29">
        <v>0</v>
      </c>
      <c r="H178" s="29">
        <v>-1.7360789916640446E-2</v>
      </c>
      <c r="I178" s="29">
        <v>-1.7399999999999999E-2</v>
      </c>
      <c r="J178" s="29">
        <v>-1.7399999999999999E-2</v>
      </c>
      <c r="K178" s="29">
        <v>-1.7399999999999999E-2</v>
      </c>
      <c r="L178" s="29">
        <v>-1.7399999999999999E-2</v>
      </c>
      <c r="M178" s="29">
        <v>0</v>
      </c>
      <c r="N178" s="29">
        <v>-1.6799999999999999E-2</v>
      </c>
      <c r="O178" s="29">
        <v>-1.6620055980395579E-2</v>
      </c>
      <c r="P178" s="29"/>
    </row>
    <row r="179" spans="3:16" x14ac:dyDescent="0.3">
      <c r="C179" s="30" t="s">
        <v>40</v>
      </c>
      <c r="E179" s="31">
        <v>4.8999999999999998E-3</v>
      </c>
      <c r="F179" s="31">
        <v>0.01</v>
      </c>
      <c r="G179" s="31">
        <v>7.9000000000000008E-3</v>
      </c>
      <c r="H179" s="31">
        <v>-5.4000000000000003E-3</v>
      </c>
      <c r="I179" s="31">
        <v>1.023633334334257E-3</v>
      </c>
      <c r="J179" s="31">
        <v>7.9997287418168018E-3</v>
      </c>
      <c r="K179" s="31">
        <v>-4.2056383735608405E-3</v>
      </c>
      <c r="L179" s="31">
        <v>1.1392209021798013E-2</v>
      </c>
      <c r="M179" s="31">
        <v>7.4686217218254197E-3</v>
      </c>
      <c r="N179" s="31">
        <v>7.0915098730184984E-4</v>
      </c>
      <c r="O179" s="31">
        <v>1.95643453001268E-3</v>
      </c>
      <c r="P179" s="31"/>
    </row>
    <row r="181" spans="3:16" x14ac:dyDescent="0.3">
      <c r="C181" s="5" t="s">
        <v>6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3:16" ht="3.5" customHeight="1" x14ac:dyDescent="0.3"/>
    <row r="183" spans="3:16" x14ac:dyDescent="0.3">
      <c r="C183" s="17" t="s">
        <v>43</v>
      </c>
      <c r="E183" s="18">
        <f t="shared" ref="E183:G183" si="67">F183-1</f>
        <v>2013</v>
      </c>
      <c r="F183" s="18">
        <f t="shared" si="67"/>
        <v>2014</v>
      </c>
      <c r="G183" s="18">
        <f t="shared" si="67"/>
        <v>2015</v>
      </c>
      <c r="H183" s="18">
        <f>I183-1</f>
        <v>2016</v>
      </c>
      <c r="I183" s="18">
        <v>2017</v>
      </c>
      <c r="J183" s="18">
        <f>I183+1</f>
        <v>2018</v>
      </c>
      <c r="K183" s="18">
        <f t="shared" ref="K183:O183" si="68">J183+1</f>
        <v>2019</v>
      </c>
      <c r="L183" s="18">
        <f t="shared" si="68"/>
        <v>2020</v>
      </c>
      <c r="M183" s="18">
        <f t="shared" si="68"/>
        <v>2021</v>
      </c>
      <c r="N183" s="18">
        <f t="shared" si="68"/>
        <v>2022</v>
      </c>
      <c r="O183" s="32">
        <f t="shared" si="68"/>
        <v>2023</v>
      </c>
      <c r="P183" s="32"/>
    </row>
    <row r="184" spans="3:16" x14ac:dyDescent="0.3">
      <c r="C184" s="3" t="s">
        <v>16</v>
      </c>
      <c r="E184" s="20" t="s">
        <v>18</v>
      </c>
      <c r="F184" s="20" t="s">
        <v>18</v>
      </c>
      <c r="G184" s="20" t="s">
        <v>18</v>
      </c>
      <c r="H184" s="20" t="s">
        <v>18</v>
      </c>
      <c r="I184" s="19" t="s">
        <v>17</v>
      </c>
      <c r="J184" s="20" t="s">
        <v>18</v>
      </c>
      <c r="K184" s="20" t="s">
        <v>18</v>
      </c>
      <c r="L184" s="20" t="s">
        <v>18</v>
      </c>
      <c r="M184" s="20" t="s">
        <v>18</v>
      </c>
      <c r="N184" s="20" t="s">
        <v>18</v>
      </c>
      <c r="O184" s="19" t="s">
        <v>17</v>
      </c>
      <c r="P184" s="19"/>
    </row>
    <row r="185" spans="3:16" x14ac:dyDescent="0.3">
      <c r="C185" s="3" t="s">
        <v>19</v>
      </c>
      <c r="E185" s="22">
        <v>0</v>
      </c>
      <c r="F185" s="22">
        <v>0</v>
      </c>
      <c r="G185" s="21"/>
      <c r="H185" s="22">
        <v>0</v>
      </c>
      <c r="I185" s="21">
        <v>465.50859184775999</v>
      </c>
      <c r="J185" s="22">
        <v>0</v>
      </c>
      <c r="K185" s="21"/>
      <c r="L185" s="22">
        <v>0</v>
      </c>
      <c r="M185" s="22">
        <v>0</v>
      </c>
      <c r="N185" s="22">
        <v>0</v>
      </c>
      <c r="O185" s="34"/>
      <c r="P185" s="34"/>
    </row>
    <row r="186" spans="3:16" x14ac:dyDescent="0.3">
      <c r="C186" s="23" t="s">
        <v>51</v>
      </c>
      <c r="E186" s="21"/>
      <c r="F186" s="22"/>
      <c r="G186" s="22"/>
      <c r="H186" s="22"/>
      <c r="I186" s="21"/>
      <c r="J186" s="22"/>
      <c r="K186" s="22"/>
      <c r="L186" s="22"/>
      <c r="M186" s="21"/>
      <c r="N186" s="22"/>
      <c r="O186" s="22"/>
      <c r="P186" s="22"/>
    </row>
    <row r="187" spans="3:16" x14ac:dyDescent="0.3">
      <c r="C187" s="23" t="s">
        <v>52</v>
      </c>
      <c r="E187" s="21"/>
      <c r="F187" s="22"/>
      <c r="G187" s="22"/>
      <c r="H187" s="22"/>
      <c r="I187" s="21"/>
      <c r="J187" s="22"/>
      <c r="K187" s="22"/>
      <c r="L187" s="22"/>
      <c r="M187" s="21"/>
      <c r="N187" s="22"/>
      <c r="O187" s="22"/>
      <c r="P187" s="22"/>
    </row>
    <row r="188" spans="3:16" ht="4.5" customHeight="1" x14ac:dyDescent="0.3"/>
    <row r="189" spans="3:16" x14ac:dyDescent="0.3">
      <c r="C189" s="24" t="s">
        <v>22</v>
      </c>
      <c r="D189" s="23"/>
      <c r="E189" s="25">
        <f t="shared" ref="E189:H189" si="69">SUM(E190:E192)</f>
        <v>0</v>
      </c>
      <c r="F189" s="25">
        <f t="shared" si="69"/>
        <v>0</v>
      </c>
      <c r="G189" s="25">
        <f t="shared" si="69"/>
        <v>0</v>
      </c>
      <c r="H189" s="25">
        <f t="shared" si="69"/>
        <v>0</v>
      </c>
      <c r="I189" s="25">
        <f>SUM(I190:I192)</f>
        <v>128.23068192202902</v>
      </c>
      <c r="J189" s="25">
        <f t="shared" ref="J189:O189" si="70">SUM(J190:J192)</f>
        <v>0</v>
      </c>
      <c r="K189" s="25">
        <f t="shared" si="70"/>
        <v>0</v>
      </c>
      <c r="L189" s="25">
        <f t="shared" si="70"/>
        <v>0</v>
      </c>
      <c r="M189" s="25">
        <f t="shared" si="70"/>
        <v>0</v>
      </c>
      <c r="N189" s="25">
        <f t="shared" si="70"/>
        <v>0</v>
      </c>
      <c r="O189" s="25">
        <f t="shared" si="70"/>
        <v>0</v>
      </c>
      <c r="P189" s="25"/>
    </row>
    <row r="190" spans="3:16" x14ac:dyDescent="0.3">
      <c r="C190" s="3" t="s">
        <v>23</v>
      </c>
      <c r="E190" s="4"/>
      <c r="F190" s="4"/>
      <c r="G190" s="4"/>
      <c r="H190" s="4"/>
      <c r="I190" s="4">
        <v>128.23068192202902</v>
      </c>
      <c r="J190" s="4"/>
      <c r="K190" s="4"/>
      <c r="L190" s="4"/>
      <c r="M190" s="4"/>
      <c r="N190" s="4"/>
      <c r="O190" s="4"/>
      <c r="P190" s="4"/>
    </row>
    <row r="191" spans="3:16" x14ac:dyDescent="0.3">
      <c r="C191" s="3" t="s">
        <v>24</v>
      </c>
      <c r="E191" s="4"/>
      <c r="F191" s="4"/>
      <c r="G191" s="4"/>
      <c r="H191" s="4"/>
      <c r="I191" s="4">
        <v>0</v>
      </c>
      <c r="J191" s="4"/>
      <c r="K191" s="4"/>
      <c r="L191" s="4"/>
      <c r="M191" s="4"/>
      <c r="N191" s="4"/>
      <c r="O191" s="4"/>
      <c r="P191" s="4"/>
    </row>
    <row r="192" spans="3:16" x14ac:dyDescent="0.3">
      <c r="C192" s="3" t="s">
        <v>25</v>
      </c>
      <c r="E192" s="4"/>
      <c r="F192" s="4"/>
      <c r="G192" s="4"/>
      <c r="H192" s="4"/>
      <c r="I192" s="4">
        <v>0</v>
      </c>
      <c r="J192" s="4"/>
      <c r="K192" s="4"/>
      <c r="L192" s="4"/>
      <c r="M192" s="4"/>
      <c r="N192" s="4"/>
      <c r="O192" s="4"/>
      <c r="P192" s="4"/>
    </row>
    <row r="193" spans="3:16" x14ac:dyDescent="0.3">
      <c r="C193" s="24" t="s">
        <v>26</v>
      </c>
      <c r="D193" s="23"/>
      <c r="E193" s="25">
        <f t="shared" ref="E193:H193" si="71">SUM(E194:E196)</f>
        <v>0</v>
      </c>
      <c r="F193" s="25">
        <f t="shared" si="71"/>
        <v>0</v>
      </c>
      <c r="G193" s="25">
        <f t="shared" si="71"/>
        <v>0</v>
      </c>
      <c r="H193" s="25">
        <f t="shared" si="71"/>
        <v>0</v>
      </c>
      <c r="I193" s="25">
        <f>SUM(I194:I196)</f>
        <v>101.92293213402512</v>
      </c>
      <c r="J193" s="25">
        <f t="shared" ref="J193:O193" si="72">SUM(J194:J196)</f>
        <v>0</v>
      </c>
      <c r="K193" s="25">
        <f t="shared" si="72"/>
        <v>0</v>
      </c>
      <c r="L193" s="25">
        <f t="shared" si="72"/>
        <v>0</v>
      </c>
      <c r="M193" s="25">
        <f t="shared" si="72"/>
        <v>0</v>
      </c>
      <c r="N193" s="25">
        <f t="shared" si="72"/>
        <v>0</v>
      </c>
      <c r="O193" s="25">
        <f t="shared" si="72"/>
        <v>0</v>
      </c>
      <c r="P193" s="25"/>
    </row>
    <row r="194" spans="3:16" x14ac:dyDescent="0.3">
      <c r="C194" s="3" t="s">
        <v>27</v>
      </c>
      <c r="E194" s="4"/>
      <c r="F194" s="4"/>
      <c r="G194" s="4"/>
      <c r="H194" s="4"/>
      <c r="I194" s="4">
        <v>57.906333675048359</v>
      </c>
      <c r="J194" s="4"/>
      <c r="K194" s="4"/>
      <c r="L194" s="4"/>
      <c r="M194" s="4"/>
      <c r="N194" s="4"/>
      <c r="O194" s="4"/>
      <c r="P194" s="4"/>
    </row>
    <row r="195" spans="3:16" x14ac:dyDescent="0.3">
      <c r="C195" s="3" t="s">
        <v>28</v>
      </c>
      <c r="E195" s="4"/>
      <c r="F195" s="4"/>
      <c r="G195" s="4"/>
      <c r="H195" s="4"/>
      <c r="I195" s="4">
        <v>29.5023232059932</v>
      </c>
      <c r="J195" s="4"/>
      <c r="K195" s="4"/>
      <c r="L195" s="4"/>
      <c r="M195" s="4"/>
      <c r="N195" s="4"/>
      <c r="O195" s="4"/>
      <c r="P195" s="4"/>
    </row>
    <row r="196" spans="3:16" x14ac:dyDescent="0.3">
      <c r="C196" s="3" t="s">
        <v>29</v>
      </c>
      <c r="E196" s="4"/>
      <c r="F196" s="4"/>
      <c r="G196" s="4"/>
      <c r="H196" s="4"/>
      <c r="I196" s="4">
        <v>14.514275252983554</v>
      </c>
      <c r="J196" s="4"/>
      <c r="K196" s="4"/>
      <c r="L196" s="4"/>
      <c r="M196" s="4"/>
      <c r="N196" s="4"/>
      <c r="O196" s="4"/>
      <c r="P196" s="4"/>
    </row>
    <row r="197" spans="3:16" x14ac:dyDescent="0.3">
      <c r="C197" s="24" t="s">
        <v>30</v>
      </c>
      <c r="D197" s="23"/>
      <c r="E197" s="25">
        <f t="shared" ref="E197:O197" si="73">E193+E189</f>
        <v>0</v>
      </c>
      <c r="F197" s="25">
        <f t="shared" si="73"/>
        <v>0</v>
      </c>
      <c r="G197" s="25">
        <f t="shared" si="73"/>
        <v>0</v>
      </c>
      <c r="H197" s="25">
        <f t="shared" si="73"/>
        <v>0</v>
      </c>
      <c r="I197" s="25">
        <f t="shared" si="73"/>
        <v>230.15361405605415</v>
      </c>
      <c r="J197" s="25">
        <f t="shared" si="73"/>
        <v>0</v>
      </c>
      <c r="K197" s="25">
        <f t="shared" si="73"/>
        <v>0</v>
      </c>
      <c r="L197" s="25">
        <f t="shared" si="73"/>
        <v>0</v>
      </c>
      <c r="M197" s="25">
        <f t="shared" si="73"/>
        <v>0</v>
      </c>
      <c r="N197" s="25">
        <f t="shared" si="73"/>
        <v>0</v>
      </c>
      <c r="O197" s="25">
        <f t="shared" si="73"/>
        <v>0</v>
      </c>
      <c r="P197" s="25"/>
    </row>
    <row r="198" spans="3:16" x14ac:dyDescent="0.3">
      <c r="C198" s="3" t="s">
        <v>31</v>
      </c>
      <c r="E198" s="4"/>
      <c r="F198" s="4"/>
      <c r="G198" s="4"/>
      <c r="H198" s="4"/>
      <c r="I198" s="4">
        <f>I197*(1-I210-I212)</f>
        <v>229.21227314815991</v>
      </c>
      <c r="J198" s="4"/>
      <c r="K198" s="4"/>
      <c r="L198" s="4"/>
      <c r="M198" s="4"/>
      <c r="N198" s="4"/>
      <c r="O198" s="4">
        <f>O197*(1-O210-O212)</f>
        <v>0</v>
      </c>
      <c r="P198" s="4"/>
    </row>
    <row r="199" spans="3:16" x14ac:dyDescent="0.3">
      <c r="C199" s="3" t="s">
        <v>32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3:16" x14ac:dyDescent="0.3">
      <c r="C200" s="644" t="s">
        <v>1165</v>
      </c>
      <c r="E200" s="646"/>
      <c r="F200" s="646"/>
      <c r="G200" s="646"/>
      <c r="H200" s="646"/>
      <c r="I200" s="646">
        <v>4.5750292488396216</v>
      </c>
      <c r="J200" s="646"/>
      <c r="K200" s="646"/>
      <c r="L200" s="646"/>
      <c r="M200" s="646"/>
      <c r="N200" s="646"/>
      <c r="O200" s="646"/>
      <c r="P200" s="4"/>
    </row>
    <row r="201" spans="3:16" x14ac:dyDescent="0.3">
      <c r="C201" s="644" t="s">
        <v>1166</v>
      </c>
      <c r="E201" s="646"/>
      <c r="F201" s="646"/>
      <c r="G201" s="646"/>
      <c r="H201" s="646"/>
      <c r="I201" s="646">
        <v>2.2281387873726892</v>
      </c>
      <c r="J201" s="646"/>
      <c r="K201" s="646"/>
      <c r="L201" s="646"/>
      <c r="M201" s="646"/>
      <c r="N201" s="646"/>
      <c r="O201" s="646"/>
      <c r="P201" s="4"/>
    </row>
    <row r="202" spans="3:16" x14ac:dyDescent="0.3">
      <c r="C202" s="644" t="s">
        <v>1167</v>
      </c>
      <c r="E202" s="646"/>
      <c r="F202" s="646"/>
      <c r="G202" s="646"/>
      <c r="H202" s="646"/>
      <c r="I202" s="646">
        <v>1.5009117268747112</v>
      </c>
      <c r="J202" s="646"/>
      <c r="K202" s="646"/>
      <c r="L202" s="646"/>
      <c r="M202" s="646"/>
      <c r="N202" s="646"/>
      <c r="O202" s="646"/>
      <c r="P202" s="4"/>
    </row>
    <row r="203" spans="3:16" x14ac:dyDescent="0.3">
      <c r="C203" s="3" t="s">
        <v>33</v>
      </c>
      <c r="E203" s="4"/>
      <c r="F203" s="4"/>
      <c r="G203" s="4"/>
      <c r="H203" s="4"/>
      <c r="I203" s="4">
        <f>SUM(I200:I202)</f>
        <v>8.3040797630870227</v>
      </c>
      <c r="J203" s="4"/>
      <c r="K203" s="4"/>
      <c r="L203" s="4"/>
      <c r="M203" s="4"/>
      <c r="N203" s="4"/>
      <c r="O203" s="4"/>
      <c r="P203" s="4"/>
    </row>
    <row r="204" spans="3:16" x14ac:dyDescent="0.3">
      <c r="C204" s="645" t="s">
        <v>1168</v>
      </c>
      <c r="E204" s="4">
        <v>0</v>
      </c>
      <c r="F204" s="4">
        <v>0</v>
      </c>
      <c r="G204" s="4">
        <v>0</v>
      </c>
      <c r="H204" s="4">
        <v>0</v>
      </c>
      <c r="I204" s="4">
        <v>11.468931768905232</v>
      </c>
      <c r="J204" s="4">
        <v>11.821928424828865</v>
      </c>
      <c r="K204" s="4">
        <v>10.627220150071668</v>
      </c>
      <c r="L204" s="4">
        <v>9.6860573611982375</v>
      </c>
      <c r="M204" s="4">
        <v>13.049256001577712</v>
      </c>
      <c r="N204" s="4">
        <v>13.671788874339724</v>
      </c>
      <c r="O204" s="4"/>
      <c r="P204" s="4"/>
    </row>
    <row r="205" spans="3:16" x14ac:dyDescent="0.3">
      <c r="C205" s="26" t="s">
        <v>34</v>
      </c>
      <c r="D205" s="23"/>
      <c r="E205" s="27">
        <v>70.860985745777498</v>
      </c>
      <c r="F205" s="27">
        <v>79.005282501959627</v>
      </c>
      <c r="G205" s="27">
        <v>93.900537813699671</v>
      </c>
      <c r="H205" s="27">
        <v>113.39807762167263</v>
      </c>
      <c r="I205" s="27">
        <f t="shared" ref="I205" si="74">I198-I203+I199</f>
        <v>220.90819338507288</v>
      </c>
      <c r="J205" s="27">
        <v>215.82779383877005</v>
      </c>
      <c r="K205" s="27">
        <v>211.75052620600101</v>
      </c>
      <c r="L205" s="27">
        <v>208.33441088346407</v>
      </c>
      <c r="M205" s="27">
        <v>267.78879991172539</v>
      </c>
      <c r="N205" s="27">
        <v>276.30216334839128</v>
      </c>
      <c r="O205" s="27"/>
      <c r="P205" s="27"/>
    </row>
    <row r="206" spans="3:16" x14ac:dyDescent="0.3">
      <c r="C206" s="3" t="s">
        <v>35</v>
      </c>
      <c r="E206" s="4">
        <v>942.72224900000072</v>
      </c>
      <c r="F206" s="4">
        <v>1018.3133540000002</v>
      </c>
      <c r="G206" s="4">
        <v>1042.5407998100004</v>
      </c>
      <c r="H206" s="4">
        <v>1115.092773000001</v>
      </c>
      <c r="I206" s="4">
        <v>1087.4676420000012</v>
      </c>
      <c r="J206" s="4">
        <v>1056.6356070000004</v>
      </c>
      <c r="K206" s="4">
        <v>1057.9382130000001</v>
      </c>
      <c r="L206" s="4">
        <v>1030.5998610000004</v>
      </c>
      <c r="M206" s="4">
        <v>1133.6671120000001</v>
      </c>
      <c r="N206" s="4">
        <v>1081.9438849999999</v>
      </c>
      <c r="O206" s="4"/>
      <c r="P206" s="4"/>
    </row>
    <row r="207" spans="3:16" x14ac:dyDescent="0.3">
      <c r="C207" s="26" t="s">
        <v>36</v>
      </c>
      <c r="D207" s="23"/>
      <c r="E207" s="33">
        <f t="shared" ref="E207:O207" si="75">IFERROR(E205/E206*1000,"N/A")</f>
        <v>75.1663449345168</v>
      </c>
      <c r="F207" s="33">
        <f t="shared" si="75"/>
        <v>77.584450986154522</v>
      </c>
      <c r="G207" s="33">
        <f t="shared" si="75"/>
        <v>90.068933350917987</v>
      </c>
      <c r="H207" s="33">
        <f t="shared" si="75"/>
        <v>101.693850383938</v>
      </c>
      <c r="I207" s="33">
        <f t="shared" si="75"/>
        <v>203.14001525488391</v>
      </c>
      <c r="J207" s="33">
        <f t="shared" si="75"/>
        <v>204.25943665815717</v>
      </c>
      <c r="K207" s="33">
        <f t="shared" si="75"/>
        <v>200.15396325040484</v>
      </c>
      <c r="L207" s="33">
        <f t="shared" si="75"/>
        <v>202.14868909580031</v>
      </c>
      <c r="M207" s="33">
        <f t="shared" si="75"/>
        <v>236.21466749555432</v>
      </c>
      <c r="N207" s="33">
        <f t="shared" si="75"/>
        <v>255.37568738917665</v>
      </c>
      <c r="O207" s="33" t="str">
        <f t="shared" si="75"/>
        <v>N/A</v>
      </c>
      <c r="P207" s="33"/>
    </row>
    <row r="208" spans="3:16" ht="4.5" customHeight="1" x14ac:dyDescent="0.3"/>
    <row r="209" spans="3:16" x14ac:dyDescent="0.3">
      <c r="C209" s="24" t="s">
        <v>37</v>
      </c>
      <c r="E209" s="28">
        <f t="shared" ref="E209" si="76">SUM(E210:E212)</f>
        <v>0</v>
      </c>
      <c r="F209" s="28">
        <f t="shared" ref="F209:H209" si="77">SUM(F210:F212)</f>
        <v>0</v>
      </c>
      <c r="G209" s="28">
        <f t="shared" si="77"/>
        <v>0</v>
      </c>
      <c r="H209" s="28">
        <f t="shared" si="77"/>
        <v>0</v>
      </c>
      <c r="I209" s="28">
        <f>SUM(I210:I212)</f>
        <v>4.0900548607721698E-3</v>
      </c>
      <c r="J209" s="28">
        <f t="shared" ref="J209:O209" si="78">SUM(J210:J212)</f>
        <v>-3.8440248281332674E-3</v>
      </c>
      <c r="K209" s="28">
        <f t="shared" si="78"/>
        <v>7.0196606720970712E-3</v>
      </c>
      <c r="L209" s="28">
        <f t="shared" si="78"/>
        <v>-2.9064234674670919E-3</v>
      </c>
      <c r="M209" s="28">
        <f t="shared" si="78"/>
        <v>4.8679483573069301E-3</v>
      </c>
      <c r="N209" s="28">
        <f t="shared" si="78"/>
        <v>-1.3188273792392225E-2</v>
      </c>
      <c r="O209" s="28">
        <f t="shared" si="78"/>
        <v>0</v>
      </c>
      <c r="P209" s="28"/>
    </row>
    <row r="210" spans="3:16" x14ac:dyDescent="0.3">
      <c r="C210" s="3" t="s">
        <v>38</v>
      </c>
      <c r="E210" s="29">
        <v>0</v>
      </c>
      <c r="F210" s="29">
        <v>0</v>
      </c>
      <c r="G210" s="29">
        <v>0</v>
      </c>
      <c r="H210" s="29">
        <v>0</v>
      </c>
      <c r="I210" s="29">
        <v>5.7400548607721702E-3</v>
      </c>
      <c r="J210" s="29">
        <v>1.9123457512028525E-3</v>
      </c>
      <c r="K210" s="29">
        <v>9.9743211564911165E-3</v>
      </c>
      <c r="L210" s="29">
        <v>-3.3287610666087025E-3</v>
      </c>
      <c r="M210" s="29">
        <v>0</v>
      </c>
      <c r="N210" s="29">
        <v>0</v>
      </c>
      <c r="O210" s="29"/>
      <c r="P210" s="29"/>
    </row>
    <row r="211" spans="3:16" x14ac:dyDescent="0.3">
      <c r="C211" s="3" t="s">
        <v>39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/>
      <c r="P211" s="29"/>
    </row>
    <row r="212" spans="3:16" x14ac:dyDescent="0.3">
      <c r="C212" s="30" t="s">
        <v>40</v>
      </c>
      <c r="E212" s="31">
        <v>0</v>
      </c>
      <c r="F212" s="31">
        <v>0</v>
      </c>
      <c r="G212" s="31">
        <v>0</v>
      </c>
      <c r="H212" s="31">
        <v>0</v>
      </c>
      <c r="I212" s="31">
        <v>-1.65E-3</v>
      </c>
      <c r="J212" s="31">
        <v>-5.7563705793361201E-3</v>
      </c>
      <c r="K212" s="31">
        <v>-2.9546604843940457E-3</v>
      </c>
      <c r="L212" s="31">
        <v>4.2233759914161041E-4</v>
      </c>
      <c r="M212" s="31">
        <v>4.8679483573069301E-3</v>
      </c>
      <c r="N212" s="31">
        <v>-1.3188273792392225E-2</v>
      </c>
      <c r="O212" s="31"/>
      <c r="P212" s="31"/>
    </row>
    <row r="214" spans="3:16" x14ac:dyDescent="0.3">
      <c r="C214" s="5" t="s">
        <v>7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3:16" ht="3.5" customHeight="1" x14ac:dyDescent="0.3"/>
    <row r="216" spans="3:16" x14ac:dyDescent="0.3">
      <c r="C216" s="17" t="s">
        <v>43</v>
      </c>
      <c r="E216" s="18">
        <f t="shared" ref="E216:G216" si="79">F216-1</f>
        <v>2013</v>
      </c>
      <c r="F216" s="18">
        <f t="shared" si="79"/>
        <v>2014</v>
      </c>
      <c r="G216" s="18">
        <f t="shared" si="79"/>
        <v>2015</v>
      </c>
      <c r="H216" s="18">
        <f>I216-1</f>
        <v>2016</v>
      </c>
      <c r="I216" s="18">
        <v>2017</v>
      </c>
      <c r="J216" s="18">
        <f>I216+1</f>
        <v>2018</v>
      </c>
      <c r="K216" s="18">
        <f t="shared" ref="K216:O216" si="80">J216+1</f>
        <v>2019</v>
      </c>
      <c r="L216" s="18">
        <f t="shared" si="80"/>
        <v>2020</v>
      </c>
      <c r="M216" s="18">
        <f t="shared" si="80"/>
        <v>2021</v>
      </c>
      <c r="N216" s="18">
        <f t="shared" si="80"/>
        <v>2022</v>
      </c>
      <c r="O216" s="18">
        <f t="shared" si="80"/>
        <v>2023</v>
      </c>
      <c r="P216" s="18"/>
    </row>
    <row r="217" spans="3:16" x14ac:dyDescent="0.3">
      <c r="C217" s="3" t="s">
        <v>16</v>
      </c>
      <c r="E217" s="19" t="s">
        <v>17</v>
      </c>
      <c r="F217" s="20" t="s">
        <v>18</v>
      </c>
      <c r="G217" s="20" t="s">
        <v>18</v>
      </c>
      <c r="H217" s="20" t="s">
        <v>18</v>
      </c>
      <c r="I217" s="20" t="s">
        <v>18</v>
      </c>
      <c r="J217" s="19" t="s">
        <v>17</v>
      </c>
      <c r="K217" s="20" t="s">
        <v>18</v>
      </c>
      <c r="L217" s="20" t="s">
        <v>18</v>
      </c>
      <c r="M217" s="20" t="s">
        <v>18</v>
      </c>
      <c r="N217" s="20" t="s">
        <v>18</v>
      </c>
      <c r="O217" s="19" t="s">
        <v>17</v>
      </c>
      <c r="P217" s="19"/>
    </row>
    <row r="218" spans="3:16" x14ac:dyDescent="0.3">
      <c r="C218" s="3" t="s">
        <v>19</v>
      </c>
      <c r="E218" s="21">
        <v>1530.7731036404844</v>
      </c>
      <c r="F218" s="22">
        <v>0</v>
      </c>
      <c r="G218" s="21">
        <v>0</v>
      </c>
      <c r="H218" s="22">
        <v>0</v>
      </c>
      <c r="I218" s="22">
        <v>0</v>
      </c>
      <c r="J218" s="21">
        <v>2961.1713410207099</v>
      </c>
      <c r="K218" s="21">
        <v>0</v>
      </c>
      <c r="L218" s="22">
        <v>0</v>
      </c>
      <c r="M218" s="22">
        <v>0</v>
      </c>
      <c r="N218" s="22">
        <v>0</v>
      </c>
      <c r="O218" s="21">
        <v>9392.7278946522347</v>
      </c>
      <c r="P218" s="21"/>
    </row>
    <row r="219" spans="3:16" x14ac:dyDescent="0.3">
      <c r="C219" s="23" t="s">
        <v>45</v>
      </c>
      <c r="E219" s="21"/>
      <c r="F219" s="22"/>
      <c r="G219" s="22"/>
      <c r="H219" s="22"/>
      <c r="I219" s="21"/>
      <c r="J219" s="22"/>
      <c r="K219" s="22"/>
      <c r="L219" s="22"/>
      <c r="M219" s="21"/>
      <c r="N219" s="22"/>
      <c r="O219" s="22"/>
      <c r="P219" s="22"/>
    </row>
    <row r="220" spans="3:16" x14ac:dyDescent="0.3">
      <c r="C220" s="23" t="s">
        <v>50</v>
      </c>
      <c r="E220" s="21"/>
      <c r="F220" s="22"/>
      <c r="G220" s="22"/>
      <c r="H220" s="22"/>
      <c r="I220" s="21"/>
      <c r="J220" s="22"/>
      <c r="K220" s="22"/>
      <c r="L220" s="22"/>
      <c r="M220" s="21"/>
      <c r="N220" s="22"/>
      <c r="O220" s="22"/>
      <c r="P220" s="22"/>
    </row>
    <row r="221" spans="3:16" ht="4.5" customHeight="1" x14ac:dyDescent="0.3"/>
    <row r="222" spans="3:16" x14ac:dyDescent="0.3">
      <c r="C222" s="24" t="s">
        <v>22</v>
      </c>
      <c r="D222" s="23"/>
      <c r="E222" s="25">
        <f t="shared" ref="E222:H222" si="81">SUM(E223:E225)</f>
        <v>662.2722718936003</v>
      </c>
      <c r="F222" s="25">
        <f t="shared" si="81"/>
        <v>0</v>
      </c>
      <c r="G222" s="25">
        <f t="shared" si="81"/>
        <v>0</v>
      </c>
      <c r="H222" s="25">
        <f t="shared" si="81"/>
        <v>0</v>
      </c>
      <c r="I222" s="25">
        <f>SUM(I223:I225)</f>
        <v>0</v>
      </c>
      <c r="J222" s="25">
        <f t="shared" ref="J222:O222" si="82">SUM(J223:J225)</f>
        <v>928.55792135135255</v>
      </c>
      <c r="K222" s="25">
        <f t="shared" si="82"/>
        <v>0</v>
      </c>
      <c r="L222" s="25">
        <f t="shared" si="82"/>
        <v>0</v>
      </c>
      <c r="M222" s="25">
        <f t="shared" si="82"/>
        <v>0</v>
      </c>
      <c r="N222" s="25">
        <f t="shared" si="82"/>
        <v>0</v>
      </c>
      <c r="O222" s="25">
        <f t="shared" si="82"/>
        <v>1425.2214858587524</v>
      </c>
      <c r="P222" s="25"/>
    </row>
    <row r="223" spans="3:16" x14ac:dyDescent="0.3">
      <c r="C223" s="3" t="s">
        <v>23</v>
      </c>
      <c r="E223" s="4">
        <v>642.38263100286269</v>
      </c>
      <c r="F223" s="4"/>
      <c r="G223" s="4"/>
      <c r="H223" s="4"/>
      <c r="I223" s="4"/>
      <c r="J223" s="4">
        <v>928.55792135135255</v>
      </c>
      <c r="K223" s="4"/>
      <c r="L223" s="4"/>
      <c r="M223" s="4"/>
      <c r="N223" s="4"/>
      <c r="O223" s="4">
        <v>1425.2214858587524</v>
      </c>
      <c r="P223" s="4"/>
    </row>
    <row r="224" spans="3:16" x14ac:dyDescent="0.3">
      <c r="C224" s="3" t="s">
        <v>24</v>
      </c>
      <c r="E224" s="4">
        <v>2.2099606721820408</v>
      </c>
      <c r="F224" s="4"/>
      <c r="G224" s="4"/>
      <c r="H224" s="4"/>
      <c r="I224" s="4"/>
      <c r="J224" s="4">
        <v>0</v>
      </c>
      <c r="K224" s="4"/>
      <c r="L224" s="4"/>
      <c r="M224" s="4"/>
      <c r="N224" s="4"/>
      <c r="O224" s="4">
        <v>0</v>
      </c>
      <c r="P224" s="4"/>
    </row>
    <row r="225" spans="3:16" x14ac:dyDescent="0.3">
      <c r="C225" s="3" t="s">
        <v>25</v>
      </c>
      <c r="E225" s="4">
        <v>17.679680218555486</v>
      </c>
      <c r="F225" s="4"/>
      <c r="G225" s="4"/>
      <c r="H225" s="4"/>
      <c r="I225" s="4"/>
      <c r="J225" s="4">
        <v>0</v>
      </c>
      <c r="K225" s="4"/>
      <c r="L225" s="4"/>
      <c r="M225" s="4"/>
      <c r="N225" s="4"/>
      <c r="O225" s="4">
        <v>0</v>
      </c>
      <c r="P225" s="4"/>
    </row>
    <row r="226" spans="3:16" x14ac:dyDescent="0.3">
      <c r="C226" s="24" t="s">
        <v>26</v>
      </c>
      <c r="D226" s="23"/>
      <c r="E226" s="25">
        <f t="shared" ref="E226:H226" si="83">SUM(E227:E229)</f>
        <v>340.41665597801455</v>
      </c>
      <c r="F226" s="25">
        <f t="shared" si="83"/>
        <v>0</v>
      </c>
      <c r="G226" s="25">
        <f t="shared" si="83"/>
        <v>0</v>
      </c>
      <c r="H226" s="25">
        <f t="shared" si="83"/>
        <v>0</v>
      </c>
      <c r="I226" s="25">
        <f>SUM(I227:I229)</f>
        <v>0</v>
      </c>
      <c r="J226" s="25">
        <f t="shared" ref="J226:O226" si="84">SUM(J227:J229)</f>
        <v>723.44486126035383</v>
      </c>
      <c r="K226" s="25">
        <f t="shared" si="84"/>
        <v>0</v>
      </c>
      <c r="L226" s="25">
        <f t="shared" si="84"/>
        <v>0</v>
      </c>
      <c r="M226" s="25">
        <f t="shared" si="84"/>
        <v>0</v>
      </c>
      <c r="N226" s="25">
        <f t="shared" si="84"/>
        <v>0</v>
      </c>
      <c r="O226" s="25">
        <f t="shared" si="84"/>
        <v>1814.9102922742372</v>
      </c>
      <c r="P226" s="25"/>
    </row>
    <row r="227" spans="3:16" x14ac:dyDescent="0.3">
      <c r="C227" s="3" t="s">
        <v>27</v>
      </c>
      <c r="E227" s="4">
        <v>168.95009294071701</v>
      </c>
      <c r="F227" s="4"/>
      <c r="G227" s="4"/>
      <c r="H227" s="4"/>
      <c r="I227" s="4"/>
      <c r="J227" s="4">
        <v>403.63544849262502</v>
      </c>
      <c r="K227" s="4"/>
      <c r="L227" s="4"/>
      <c r="M227" s="4"/>
      <c r="N227" s="4"/>
      <c r="O227" s="4">
        <v>1112.2229571619218</v>
      </c>
      <c r="P227" s="4"/>
    </row>
    <row r="228" spans="3:16" x14ac:dyDescent="0.3">
      <c r="C228" s="3" t="s">
        <v>28</v>
      </c>
      <c r="E228" s="4">
        <v>126.25227814276897</v>
      </c>
      <c r="F228" s="4"/>
      <c r="G228" s="4"/>
      <c r="H228" s="4"/>
      <c r="I228" s="4"/>
      <c r="J228" s="4">
        <v>212.24876236648652</v>
      </c>
      <c r="K228" s="4"/>
      <c r="L228" s="4"/>
      <c r="M228" s="4"/>
      <c r="N228" s="4"/>
      <c r="O228" s="4">
        <v>509.51833554387741</v>
      </c>
      <c r="P228" s="4"/>
    </row>
    <row r="229" spans="3:16" x14ac:dyDescent="0.3">
      <c r="C229" s="3" t="s">
        <v>29</v>
      </c>
      <c r="E229" s="4">
        <v>45.214284894528511</v>
      </c>
      <c r="F229" s="4"/>
      <c r="G229" s="4"/>
      <c r="H229" s="4"/>
      <c r="I229" s="4"/>
      <c r="J229" s="4">
        <v>107.5606504012422</v>
      </c>
      <c r="K229" s="4"/>
      <c r="L229" s="4"/>
      <c r="M229" s="4"/>
      <c r="N229" s="4"/>
      <c r="O229" s="4">
        <v>193.16899956843798</v>
      </c>
      <c r="P229" s="4"/>
    </row>
    <row r="230" spans="3:16" x14ac:dyDescent="0.3">
      <c r="C230" s="24" t="s">
        <v>30</v>
      </c>
      <c r="D230" s="23"/>
      <c r="E230" s="25">
        <f t="shared" ref="E230:H230" si="85">E226+E222</f>
        <v>1002.6889278716149</v>
      </c>
      <c r="F230" s="25">
        <f t="shared" si="85"/>
        <v>0</v>
      </c>
      <c r="G230" s="25">
        <f t="shared" si="85"/>
        <v>0</v>
      </c>
      <c r="H230" s="25">
        <f t="shared" si="85"/>
        <v>0</v>
      </c>
      <c r="I230" s="25">
        <f>I226+I222</f>
        <v>0</v>
      </c>
      <c r="J230" s="25">
        <f t="shared" ref="J230:O230" si="86">J226+J222</f>
        <v>1652.0027826117064</v>
      </c>
      <c r="K230" s="25">
        <f t="shared" si="86"/>
        <v>0</v>
      </c>
      <c r="L230" s="25">
        <f t="shared" si="86"/>
        <v>0</v>
      </c>
      <c r="M230" s="25">
        <f t="shared" si="86"/>
        <v>0</v>
      </c>
      <c r="N230" s="25">
        <f t="shared" si="86"/>
        <v>0</v>
      </c>
      <c r="O230" s="25">
        <f t="shared" si="86"/>
        <v>3240.1317781329899</v>
      </c>
      <c r="P230" s="25"/>
    </row>
    <row r="231" spans="3:16" x14ac:dyDescent="0.3">
      <c r="C231" s="3" t="s">
        <v>31</v>
      </c>
      <c r="E231" s="4">
        <f>E230*(1-E243-E245)</f>
        <v>989.71441329438312</v>
      </c>
      <c r="F231" s="4"/>
      <c r="G231" s="4"/>
      <c r="H231" s="4"/>
      <c r="I231" s="4"/>
      <c r="J231" s="4">
        <f>J230*(1-J243-J245)</f>
        <v>1619.1559538182184</v>
      </c>
      <c r="K231" s="4"/>
      <c r="L231" s="4"/>
      <c r="M231" s="4"/>
      <c r="N231" s="4"/>
      <c r="O231" s="4">
        <f>O230*(1-O243-O245)</f>
        <v>3173.4896390942881</v>
      </c>
      <c r="P231" s="4"/>
    </row>
    <row r="232" spans="3:16" x14ac:dyDescent="0.3">
      <c r="C232" s="3" t="s">
        <v>32</v>
      </c>
      <c r="E232" s="4">
        <v>0</v>
      </c>
      <c r="F232" s="4"/>
      <c r="G232" s="4"/>
      <c r="H232" s="4"/>
      <c r="I232" s="4"/>
      <c r="J232" s="4">
        <v>0</v>
      </c>
      <c r="K232" s="4"/>
      <c r="L232" s="4"/>
      <c r="M232" s="4"/>
      <c r="N232" s="4"/>
      <c r="O232" s="4">
        <v>0</v>
      </c>
      <c r="P232" s="4"/>
    </row>
    <row r="233" spans="3:16" x14ac:dyDescent="0.3">
      <c r="C233" s="644" t="s">
        <v>1165</v>
      </c>
      <c r="E233" s="646">
        <v>31.597840555392217</v>
      </c>
      <c r="F233" s="646"/>
      <c r="G233" s="646"/>
      <c r="H233" s="646"/>
      <c r="I233" s="646"/>
      <c r="J233" s="646">
        <v>43.154422348055384</v>
      </c>
      <c r="K233" s="646"/>
      <c r="L233" s="646"/>
      <c r="M233" s="646"/>
      <c r="N233" s="646"/>
      <c r="O233" s="646">
        <v>77.459760770483172</v>
      </c>
      <c r="P233" s="4"/>
    </row>
    <row r="234" spans="3:16" x14ac:dyDescent="0.3">
      <c r="C234" s="644" t="s">
        <v>1166</v>
      </c>
      <c r="E234" s="646">
        <v>0</v>
      </c>
      <c r="F234" s="646"/>
      <c r="G234" s="646"/>
      <c r="H234" s="646"/>
      <c r="I234" s="646"/>
      <c r="J234" s="646">
        <v>10.461697151303161</v>
      </c>
      <c r="K234" s="646"/>
      <c r="L234" s="646"/>
      <c r="M234" s="646"/>
      <c r="N234" s="646"/>
      <c r="O234" s="646">
        <v>24.049377312196725</v>
      </c>
      <c r="P234" s="4"/>
    </row>
    <row r="235" spans="3:16" x14ac:dyDescent="0.3">
      <c r="C235" s="644" t="s">
        <v>1167</v>
      </c>
      <c r="E235" s="646">
        <v>0</v>
      </c>
      <c r="F235" s="646"/>
      <c r="G235" s="646"/>
      <c r="H235" s="646"/>
      <c r="I235" s="646"/>
      <c r="J235" s="646">
        <v>15.905422461763969</v>
      </c>
      <c r="K235" s="646"/>
      <c r="L235" s="646"/>
      <c r="M235" s="646"/>
      <c r="N235" s="646"/>
      <c r="O235" s="646">
        <v>26.11201961308592</v>
      </c>
      <c r="P235" s="4"/>
    </row>
    <row r="236" spans="3:16" x14ac:dyDescent="0.3">
      <c r="C236" s="3" t="s">
        <v>33</v>
      </c>
      <c r="E236" s="4">
        <f>SUM(E233:E235)</f>
        <v>31.597840555392217</v>
      </c>
      <c r="F236" s="4"/>
      <c r="G236" s="4"/>
      <c r="H236" s="4"/>
      <c r="I236" s="4"/>
      <c r="J236" s="4">
        <f>SUM(J233:J235)</f>
        <v>69.521541961122523</v>
      </c>
      <c r="K236" s="4"/>
      <c r="L236" s="4"/>
      <c r="M236" s="4"/>
      <c r="N236" s="4"/>
      <c r="O236" s="4">
        <f>SUM(O233:O235)</f>
        <v>127.62115769576582</v>
      </c>
      <c r="P236" s="4"/>
    </row>
    <row r="237" spans="3:16" x14ac:dyDescent="0.3">
      <c r="C237" s="645" t="s">
        <v>1168</v>
      </c>
      <c r="E237" s="4">
        <f>SUM(E224:E225)</f>
        <v>19.889640890737528</v>
      </c>
      <c r="F237" s="4">
        <v>0</v>
      </c>
      <c r="G237" s="4">
        <v>0</v>
      </c>
      <c r="H237" s="4">
        <v>0</v>
      </c>
      <c r="I237" s="4">
        <v>33.523152229564225</v>
      </c>
      <c r="J237" s="4">
        <v>33.709118036888057</v>
      </c>
      <c r="K237" s="4">
        <v>30.678666337684067</v>
      </c>
      <c r="L237" s="4">
        <v>31.716023131299988</v>
      </c>
      <c r="M237" s="4">
        <v>38.402500475273719</v>
      </c>
      <c r="N237" s="4">
        <v>54.601737982205776</v>
      </c>
      <c r="O237" s="4">
        <v>46.121413260733704</v>
      </c>
      <c r="P237" s="4"/>
    </row>
    <row r="238" spans="3:16" x14ac:dyDescent="0.3">
      <c r="C238" s="26" t="s">
        <v>34</v>
      </c>
      <c r="D238" s="23"/>
      <c r="E238" s="27">
        <f t="shared" ref="E238" si="87">E231-E236+E232</f>
        <v>958.11657273899095</v>
      </c>
      <c r="F238" s="27">
        <v>1066.7135897573523</v>
      </c>
      <c r="G238" s="27">
        <v>1143.4285052888945</v>
      </c>
      <c r="H238" s="27">
        <v>1246.3802478446437</v>
      </c>
      <c r="I238" s="27">
        <v>1223.3399553757149</v>
      </c>
      <c r="J238" s="27">
        <f t="shared" ref="J238" si="88">J231-J236+J232</f>
        <v>1549.634411857096</v>
      </c>
      <c r="K238" s="27">
        <v>1644.1786845921843</v>
      </c>
      <c r="L238" s="27">
        <v>1753.5282568627258</v>
      </c>
      <c r="M238" s="27">
        <v>2028.0777685259509</v>
      </c>
      <c r="N238" s="27">
        <v>2217.3058373902563</v>
      </c>
      <c r="O238" s="27">
        <f t="shared" ref="O238" si="89">O231-O236+O232</f>
        <v>3045.8684813985224</v>
      </c>
      <c r="P238" s="27"/>
    </row>
    <row r="239" spans="3:16" x14ac:dyDescent="0.3">
      <c r="C239" s="3" t="s">
        <v>35</v>
      </c>
      <c r="E239" s="4">
        <v>11774.699159999998</v>
      </c>
      <c r="F239" s="4">
        <v>12557.970876000005</v>
      </c>
      <c r="G239" s="4">
        <v>12913.158119</v>
      </c>
      <c r="H239" s="4">
        <v>13101.978676999999</v>
      </c>
      <c r="I239" s="4">
        <v>13215.351187710005</v>
      </c>
      <c r="J239" s="4">
        <v>13593.722972999998</v>
      </c>
      <c r="K239" s="4">
        <v>14008.756441999996</v>
      </c>
      <c r="L239" s="4">
        <v>14194.349310000007</v>
      </c>
      <c r="M239" s="4">
        <v>14540.041284000008</v>
      </c>
      <c r="N239" s="4">
        <v>14875.012024999998</v>
      </c>
      <c r="O239" s="4">
        <v>15018.955016999998</v>
      </c>
      <c r="P239" s="4"/>
    </row>
    <row r="240" spans="3:16" x14ac:dyDescent="0.3">
      <c r="C240" s="26" t="s">
        <v>36</v>
      </c>
      <c r="D240" s="23"/>
      <c r="E240" s="33">
        <f t="shared" ref="E240:O240" si="90">IFERROR(E238/E239*1000,"N/A")</f>
        <v>81.370790006578062</v>
      </c>
      <c r="F240" s="33">
        <f t="shared" si="90"/>
        <v>84.943148880523964</v>
      </c>
      <c r="G240" s="33">
        <f t="shared" si="90"/>
        <v>88.547549309915979</v>
      </c>
      <c r="H240" s="33">
        <f t="shared" si="90"/>
        <v>95.129161676366834</v>
      </c>
      <c r="I240" s="33">
        <f t="shared" si="90"/>
        <v>92.569613777149954</v>
      </c>
      <c r="J240" s="33">
        <f t="shared" si="90"/>
        <v>113.99632131204946</v>
      </c>
      <c r="K240" s="33">
        <f t="shared" si="90"/>
        <v>117.36792565418097</v>
      </c>
      <c r="L240" s="33">
        <f t="shared" si="90"/>
        <v>123.53706524802475</v>
      </c>
      <c r="M240" s="33">
        <f t="shared" si="90"/>
        <v>139.4822565433611</v>
      </c>
      <c r="N240" s="33">
        <f t="shared" si="90"/>
        <v>149.06245680095554</v>
      </c>
      <c r="O240" s="33">
        <f t="shared" si="90"/>
        <v>202.80162487675707</v>
      </c>
      <c r="P240" s="33"/>
    </row>
    <row r="241" spans="3:16" ht="4.5" customHeight="1" x14ac:dyDescent="0.3"/>
    <row r="242" spans="3:16" x14ac:dyDescent="0.3">
      <c r="C242" s="24" t="s">
        <v>37</v>
      </c>
      <c r="E242" s="28">
        <f t="shared" ref="E242" si="91">SUM(E243:E245)</f>
        <v>1.2939720601854401E-2</v>
      </c>
      <c r="F242" s="28">
        <f t="shared" ref="F242:H242" si="92">SUM(F243:F245)</f>
        <v>1.9339720601854401E-2</v>
      </c>
      <c r="G242" s="28">
        <f t="shared" si="92"/>
        <v>1.6239720601854402E-2</v>
      </c>
      <c r="H242" s="28">
        <f t="shared" si="92"/>
        <v>1.8167295707234382E-2</v>
      </c>
      <c r="I242" s="28">
        <f>SUM(I243:I245)</f>
        <v>7.9000000000000008E-3</v>
      </c>
      <c r="J242" s="28">
        <f t="shared" ref="J242:O242" si="93">SUM(J243:J245)</f>
        <v>1.4741432024472359E-3</v>
      </c>
      <c r="K242" s="28">
        <f t="shared" si="93"/>
        <v>-6.8047744431090768E-3</v>
      </c>
      <c r="L242" s="28">
        <f t="shared" si="93"/>
        <v>-1.4286919951676014E-2</v>
      </c>
      <c r="M242" s="28">
        <f t="shared" si="93"/>
        <v>-1.5270537236471156E-2</v>
      </c>
      <c r="N242" s="28">
        <f t="shared" si="93"/>
        <v>4.4219699325560666E-3</v>
      </c>
      <c r="O242" s="28">
        <f t="shared" si="93"/>
        <v>1.6297712979857115E-2</v>
      </c>
      <c r="P242" s="28"/>
    </row>
    <row r="243" spans="3:16" x14ac:dyDescent="0.3">
      <c r="C243" s="3" t="s">
        <v>38</v>
      </c>
      <c r="E243" s="29">
        <v>1.2939720601854401E-2</v>
      </c>
      <c r="F243" s="29">
        <v>1.2939720601854401E-2</v>
      </c>
      <c r="G243" s="29">
        <v>1.2939720601854401E-2</v>
      </c>
      <c r="H243" s="29">
        <v>1.3975E-2</v>
      </c>
      <c r="I243" s="29">
        <v>1.29E-2</v>
      </c>
      <c r="J243" s="29">
        <v>1.3802571816401838E-2</v>
      </c>
      <c r="K243" s="29">
        <v>1.3094045102967201E-2</v>
      </c>
      <c r="L243" s="29">
        <v>7.47002881082727E-3</v>
      </c>
      <c r="M243" s="29">
        <v>8.0829841334638126E-3</v>
      </c>
      <c r="N243" s="29">
        <v>8.8267221956754623E-3</v>
      </c>
      <c r="O243" s="29">
        <v>7.4566873687131373E-3</v>
      </c>
      <c r="P243" s="29"/>
    </row>
    <row r="244" spans="3:16" x14ac:dyDescent="0.3">
      <c r="C244" s="3" t="s">
        <v>39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-1.8408891583704443E-2</v>
      </c>
      <c r="K244" s="29">
        <v>-1.8408891583704443E-2</v>
      </c>
      <c r="L244" s="29">
        <v>-1.8408891583704443E-2</v>
      </c>
      <c r="M244" s="29">
        <v>-1.8408891583704443E-2</v>
      </c>
      <c r="N244" s="29">
        <v>-1.8408891583704443E-2</v>
      </c>
      <c r="O244" s="29">
        <v>-4.2700119159191459E-3</v>
      </c>
      <c r="P244" s="29"/>
    </row>
    <row r="245" spans="3:16" x14ac:dyDescent="0.3">
      <c r="C245" s="30" t="s">
        <v>40</v>
      </c>
      <c r="E245" s="31">
        <v>0</v>
      </c>
      <c r="F245" s="31">
        <v>6.4000000000000003E-3</v>
      </c>
      <c r="G245" s="31">
        <v>3.3E-3</v>
      </c>
      <c r="H245" s="31">
        <v>4.1922957072343817E-3</v>
      </c>
      <c r="I245" s="31">
        <v>-5.0000000000000001E-3</v>
      </c>
      <c r="J245" s="31">
        <v>6.0804629697498403E-3</v>
      </c>
      <c r="K245" s="31">
        <v>-1.4899279623718355E-3</v>
      </c>
      <c r="L245" s="31">
        <v>-3.3480571787988414E-3</v>
      </c>
      <c r="M245" s="31">
        <v>-4.9446297862305259E-3</v>
      </c>
      <c r="N245" s="31">
        <v>1.4004139320585047E-2</v>
      </c>
      <c r="O245" s="31">
        <v>1.3111037527063123E-2</v>
      </c>
      <c r="P245" s="31"/>
    </row>
  </sheetData>
  <hyperlinks>
    <hyperlink ref="J10" r:id="rId1" xr:uid="{C24C19D2-A754-42DF-97AC-807E8ECBF2E6}"/>
    <hyperlink ref="I10" r:id="rId2" xr:uid="{568CBEA0-38A9-4A6A-B8B6-A9CE37179089}"/>
    <hyperlink ref="K10" r:id="rId3" xr:uid="{F24023C0-B988-4A7D-826F-E260464F90B0}"/>
    <hyperlink ref="H10" r:id="rId4" xr:uid="{B55DE642-1463-4005-8FC3-93AE2396D997}"/>
    <hyperlink ref="G10" r:id="rId5" display="RTA 2022" xr:uid="{B49F9EBC-3F64-4F85-8964-E4154EC31C3B}"/>
    <hyperlink ref="F10" r:id="rId6" xr:uid="{8336871D-454B-4B28-A6D2-289505BD2EB2}"/>
    <hyperlink ref="E10" r:id="rId7" xr:uid="{B2A1256A-B1C1-4E47-B5C6-30AE74D8533A}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0EE69-F023-4B26-8B11-3A90F1AA10FE}">
  <sheetPr>
    <tabColor theme="9" tint="0.79998168889431442"/>
  </sheetPr>
  <dimension ref="C4:M32"/>
  <sheetViews>
    <sheetView zoomScale="85" zoomScaleNormal="85" workbookViewId="0"/>
  </sheetViews>
  <sheetFormatPr defaultColWidth="9.1796875" defaultRowHeight="14.5" x14ac:dyDescent="0.35"/>
  <cols>
    <col min="1" max="2" width="9.1796875" style="37"/>
    <col min="3" max="3" width="28.26953125" style="407" bestFit="1" customWidth="1"/>
    <col min="4" max="11" width="14.453125" style="408" customWidth="1"/>
    <col min="12" max="12" width="14.453125" style="409" customWidth="1"/>
    <col min="13" max="13" width="14.453125" style="371" customWidth="1"/>
    <col min="14" max="16384" width="9.1796875" style="37"/>
  </cols>
  <sheetData>
    <row r="4" spans="3:13" ht="15" customHeight="1" x14ac:dyDescent="0.35"/>
    <row r="5" spans="3:13" ht="26.15" customHeight="1" x14ac:dyDescent="0.35">
      <c r="C5" s="551" t="s">
        <v>585</v>
      </c>
      <c r="D5" s="553" t="s">
        <v>92</v>
      </c>
      <c r="E5" s="553" t="s">
        <v>586</v>
      </c>
      <c r="F5" s="553" t="s">
        <v>587</v>
      </c>
      <c r="G5" s="553" t="s">
        <v>588</v>
      </c>
      <c r="H5" s="553" t="s">
        <v>589</v>
      </c>
      <c r="I5" s="553" t="s">
        <v>590</v>
      </c>
      <c r="J5" s="553" t="s">
        <v>591</v>
      </c>
      <c r="K5" s="553" t="s">
        <v>592</v>
      </c>
      <c r="L5" s="553" t="s">
        <v>593</v>
      </c>
      <c r="M5" s="553" t="s">
        <v>87</v>
      </c>
    </row>
    <row r="6" spans="3:13" ht="19.5" customHeight="1" x14ac:dyDescent="0.35">
      <c r="C6" s="410" t="s">
        <v>594</v>
      </c>
      <c r="D6" s="411" t="s">
        <v>595</v>
      </c>
      <c r="E6" s="411" t="s">
        <v>596</v>
      </c>
      <c r="F6" s="411" t="s">
        <v>597</v>
      </c>
      <c r="G6" s="411" t="s">
        <v>598</v>
      </c>
      <c r="H6" s="411" t="s">
        <v>599</v>
      </c>
      <c r="I6" s="411" t="s">
        <v>600</v>
      </c>
      <c r="J6" s="412" t="s">
        <v>601</v>
      </c>
      <c r="K6" s="411" t="s">
        <v>602</v>
      </c>
      <c r="L6" s="411" t="s">
        <v>603</v>
      </c>
      <c r="M6" s="413" t="s">
        <v>243</v>
      </c>
    </row>
    <row r="7" spans="3:13" ht="19.5" customHeight="1" x14ac:dyDescent="0.35">
      <c r="C7" s="414" t="s">
        <v>604</v>
      </c>
      <c r="D7" s="415" t="s">
        <v>605</v>
      </c>
      <c r="E7" s="415" t="s">
        <v>606</v>
      </c>
      <c r="F7" s="415" t="s">
        <v>606</v>
      </c>
      <c r="G7" s="415" t="s">
        <v>607</v>
      </c>
      <c r="H7" s="415" t="s">
        <v>608</v>
      </c>
      <c r="I7" s="415" t="s">
        <v>608</v>
      </c>
      <c r="J7" s="416" t="s">
        <v>609</v>
      </c>
      <c r="K7" s="415" t="s">
        <v>610</v>
      </c>
      <c r="L7" s="415" t="s">
        <v>610</v>
      </c>
      <c r="M7" s="417" t="s">
        <v>243</v>
      </c>
    </row>
    <row r="8" spans="3:13" ht="19.5" customHeight="1" x14ac:dyDescent="0.35">
      <c r="C8" s="410" t="s">
        <v>611</v>
      </c>
      <c r="D8" s="418">
        <v>695</v>
      </c>
      <c r="E8" s="418">
        <v>250</v>
      </c>
      <c r="F8" s="418">
        <v>235</v>
      </c>
      <c r="G8" s="418">
        <v>372</v>
      </c>
      <c r="H8" s="418">
        <v>588</v>
      </c>
      <c r="I8" s="418">
        <v>250</v>
      </c>
      <c r="J8" s="419">
        <v>325</v>
      </c>
      <c r="K8" s="418">
        <v>129</v>
      </c>
      <c r="L8" s="418">
        <v>434</v>
      </c>
      <c r="M8" s="420">
        <f>SUM(D8:L8)</f>
        <v>3278</v>
      </c>
    </row>
    <row r="9" spans="3:13" ht="19.5" customHeight="1" x14ac:dyDescent="0.35">
      <c r="C9" s="414" t="s">
        <v>612</v>
      </c>
      <c r="D9" s="421">
        <v>500</v>
      </c>
      <c r="E9" s="421">
        <v>500</v>
      </c>
      <c r="F9" s="421">
        <v>500</v>
      </c>
      <c r="G9" s="421">
        <v>500</v>
      </c>
      <c r="H9" s="421">
        <v>500</v>
      </c>
      <c r="I9" s="421">
        <v>500</v>
      </c>
      <c r="J9" s="422">
        <v>500</v>
      </c>
      <c r="K9" s="421" t="s">
        <v>613</v>
      </c>
      <c r="L9" s="421">
        <v>230</v>
      </c>
      <c r="M9" s="423" t="s">
        <v>243</v>
      </c>
    </row>
    <row r="10" spans="3:13" ht="19.5" customHeight="1" x14ac:dyDescent="0.35">
      <c r="C10" s="410" t="s">
        <v>614</v>
      </c>
      <c r="D10" s="424">
        <v>49792</v>
      </c>
      <c r="E10" s="424">
        <v>53733</v>
      </c>
      <c r="F10" s="424">
        <v>53733</v>
      </c>
      <c r="G10" s="424">
        <v>53733</v>
      </c>
      <c r="H10" s="424">
        <v>53733</v>
      </c>
      <c r="I10" s="424">
        <v>53733</v>
      </c>
      <c r="J10" s="424">
        <v>53733</v>
      </c>
      <c r="K10" s="424">
        <v>53733</v>
      </c>
      <c r="L10" s="424">
        <v>53894</v>
      </c>
      <c r="M10" s="425" t="s">
        <v>243</v>
      </c>
    </row>
    <row r="11" spans="3:13" ht="19.5" customHeight="1" x14ac:dyDescent="0.35">
      <c r="C11" s="414" t="s">
        <v>615</v>
      </c>
      <c r="D11" s="426">
        <v>39598</v>
      </c>
      <c r="E11" s="426">
        <v>43952</v>
      </c>
      <c r="F11" s="426">
        <v>43852</v>
      </c>
      <c r="G11" s="426">
        <v>44348</v>
      </c>
      <c r="H11" s="426">
        <v>44135</v>
      </c>
      <c r="I11" s="426">
        <v>44188</v>
      </c>
      <c r="J11" s="427">
        <v>44260</v>
      </c>
      <c r="K11" s="426">
        <v>44096</v>
      </c>
      <c r="L11" s="426">
        <v>43619</v>
      </c>
      <c r="M11" s="428" t="s">
        <v>243</v>
      </c>
    </row>
    <row r="12" spans="3:13" ht="19.5" customHeight="1" x14ac:dyDescent="0.35">
      <c r="C12" s="410" t="s">
        <v>616</v>
      </c>
      <c r="D12" s="429">
        <v>90071.827980000002</v>
      </c>
      <c r="E12" s="429">
        <f t="shared" ref="E12:K12" si="0">E14</f>
        <v>108243.9558</v>
      </c>
      <c r="F12" s="429">
        <f t="shared" si="0"/>
        <v>98184.048930000004</v>
      </c>
      <c r="G12" s="429">
        <f t="shared" si="0"/>
        <v>143125.50647999998</v>
      </c>
      <c r="H12" s="429">
        <f t="shared" si="0"/>
        <v>258237.86813999998</v>
      </c>
      <c r="I12" s="429">
        <f t="shared" si="0"/>
        <v>119153.62544</v>
      </c>
      <c r="J12" s="429">
        <f t="shared" si="0"/>
        <v>147749.34091999999</v>
      </c>
      <c r="K12" s="429">
        <f t="shared" si="0"/>
        <v>125159.35642225086</v>
      </c>
      <c r="L12" s="429">
        <v>179454.95064000002</v>
      </c>
      <c r="M12" s="430">
        <f>(SUM(D12:L12))</f>
        <v>1269380.4807522506</v>
      </c>
    </row>
    <row r="13" spans="3:13" ht="19.5" customHeight="1" x14ac:dyDescent="0.35">
      <c r="C13" s="414" t="s">
        <v>617</v>
      </c>
      <c r="D13" s="431">
        <v>31896.269830000001</v>
      </c>
      <c r="E13" s="431">
        <v>0</v>
      </c>
      <c r="F13" s="431">
        <v>0</v>
      </c>
      <c r="G13" s="431">
        <v>0</v>
      </c>
      <c r="H13" s="431">
        <v>0</v>
      </c>
      <c r="I13" s="431">
        <v>0</v>
      </c>
      <c r="J13" s="431">
        <v>0</v>
      </c>
      <c r="K13" s="431">
        <v>0</v>
      </c>
      <c r="L13" s="431">
        <v>4624.2375400000001</v>
      </c>
      <c r="M13" s="432">
        <f>(SUM(D13:L13))</f>
        <v>36520.507369999999</v>
      </c>
    </row>
    <row r="14" spans="3:13" ht="19.5" customHeight="1" x14ac:dyDescent="0.35">
      <c r="C14" s="410" t="s">
        <v>618</v>
      </c>
      <c r="D14" s="433">
        <f>SUM(D12:D13)</f>
        <v>121968.09781000001</v>
      </c>
      <c r="E14" s="433">
        <v>108243.9558</v>
      </c>
      <c r="F14" s="433">
        <v>98184.048930000004</v>
      </c>
      <c r="G14" s="433">
        <v>143125.50647999998</v>
      </c>
      <c r="H14" s="433">
        <v>258237.86813999998</v>
      </c>
      <c r="I14" s="433">
        <v>119153.62544</v>
      </c>
      <c r="J14" s="433">
        <v>147749.34091999999</v>
      </c>
      <c r="K14" s="433">
        <v>125159.35642225086</v>
      </c>
      <c r="L14" s="433">
        <f>SUM(L12:L13)</f>
        <v>184079.18818000003</v>
      </c>
      <c r="M14" s="430">
        <f>(SUM(D14:L14))</f>
        <v>1305900.9881222509</v>
      </c>
    </row>
    <row r="15" spans="3:13" ht="19.5" customHeight="1" x14ac:dyDescent="0.35">
      <c r="C15" s="414" t="s">
        <v>619</v>
      </c>
      <c r="D15" s="426" t="s">
        <v>110</v>
      </c>
      <c r="E15" s="426" t="s">
        <v>110</v>
      </c>
      <c r="F15" s="426" t="s">
        <v>110</v>
      </c>
      <c r="G15" s="426" t="s">
        <v>110</v>
      </c>
      <c r="H15" s="426" t="s">
        <v>110</v>
      </c>
      <c r="I15" s="426" t="s">
        <v>110</v>
      </c>
      <c r="J15" s="427" t="s">
        <v>110</v>
      </c>
      <c r="K15" s="426" t="s">
        <v>110</v>
      </c>
      <c r="L15" s="426" t="s">
        <v>110</v>
      </c>
      <c r="M15" s="428" t="s">
        <v>243</v>
      </c>
    </row>
    <row r="16" spans="3:13" ht="19.5" hidden="1" customHeight="1" x14ac:dyDescent="0.35">
      <c r="C16" s="410" t="s">
        <v>620</v>
      </c>
      <c r="D16" s="424" t="s">
        <v>621</v>
      </c>
      <c r="E16" s="424" t="s">
        <v>622</v>
      </c>
      <c r="F16" s="424" t="s">
        <v>622</v>
      </c>
      <c r="G16" s="424" t="s">
        <v>622</v>
      </c>
      <c r="H16" s="424" t="s">
        <v>622</v>
      </c>
      <c r="I16" s="424" t="s">
        <v>622</v>
      </c>
      <c r="J16" s="424" t="s">
        <v>622</v>
      </c>
      <c r="K16" s="424" t="s">
        <v>622</v>
      </c>
      <c r="L16" s="424" t="s">
        <v>622</v>
      </c>
      <c r="M16" s="425" t="s">
        <v>243</v>
      </c>
    </row>
    <row r="17" spans="3:13" ht="19.5" customHeight="1" x14ac:dyDescent="0.35">
      <c r="C17" s="414" t="s">
        <v>623</v>
      </c>
      <c r="D17" s="434">
        <v>0.65</v>
      </c>
      <c r="E17" s="434">
        <v>0.75</v>
      </c>
      <c r="F17" s="434">
        <v>0.75</v>
      </c>
      <c r="G17" s="434">
        <v>0.75</v>
      </c>
      <c r="H17" s="434">
        <v>0.45</v>
      </c>
      <c r="I17" s="434">
        <v>0.75</v>
      </c>
      <c r="J17" s="435">
        <v>0.22</v>
      </c>
      <c r="K17" s="434">
        <v>0.75</v>
      </c>
      <c r="L17" s="434">
        <v>0.75</v>
      </c>
      <c r="M17" s="436" t="s">
        <v>243</v>
      </c>
    </row>
    <row r="18" spans="3:13" ht="15" customHeight="1" x14ac:dyDescent="0.35">
      <c r="C18" s="410" t="s">
        <v>624</v>
      </c>
      <c r="D18" s="437">
        <v>9.2499999999999999E-2</v>
      </c>
      <c r="E18" s="437">
        <v>9.2499999999999999E-2</v>
      </c>
      <c r="F18" s="437">
        <v>9.2499999999999999E-2</v>
      </c>
      <c r="G18" s="437">
        <v>9.2499999999999999E-2</v>
      </c>
      <c r="H18" s="437">
        <v>9.2499999999999999E-2</v>
      </c>
      <c r="I18" s="437">
        <v>9.2499999999999999E-2</v>
      </c>
      <c r="J18" s="437">
        <v>9.2499999999999999E-2</v>
      </c>
      <c r="K18" s="437">
        <v>9.2499999999999999E-2</v>
      </c>
      <c r="L18" s="437">
        <v>9.2499999999999999E-2</v>
      </c>
      <c r="M18" s="438" t="s">
        <v>243</v>
      </c>
    </row>
    <row r="19" spans="3:13" ht="15.65" customHeight="1" x14ac:dyDescent="0.35">
      <c r="C19" s="439" t="s">
        <v>625</v>
      </c>
      <c r="D19" s="440">
        <v>45474</v>
      </c>
      <c r="E19" s="440">
        <v>46569</v>
      </c>
      <c r="F19" s="440">
        <v>46569</v>
      </c>
      <c r="G19" s="440">
        <v>46569</v>
      </c>
      <c r="H19" s="440">
        <v>46569</v>
      </c>
      <c r="I19" s="440">
        <v>46569</v>
      </c>
      <c r="J19" s="440">
        <v>46569</v>
      </c>
      <c r="K19" s="440">
        <v>46569</v>
      </c>
      <c r="L19" s="440">
        <v>45108</v>
      </c>
      <c r="M19" s="440"/>
    </row>
    <row r="20" spans="3:13" ht="15" customHeight="1" x14ac:dyDescent="0.35">
      <c r="C20" s="223"/>
    </row>
    <row r="32" spans="3:13" s="407" customFormat="1" ht="15" customHeight="1" x14ac:dyDescent="0.35">
      <c r="D32" s="408"/>
      <c r="E32" s="408"/>
      <c r="F32" s="408"/>
      <c r="G32" s="408"/>
      <c r="H32" s="408"/>
      <c r="I32" s="408"/>
      <c r="J32" s="408"/>
      <c r="K32" s="408"/>
      <c r="L32" s="409"/>
      <c r="M32" s="371"/>
    </row>
  </sheetData>
  <dataConsolidate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AD9D-E972-4CE9-90F4-5B887BF0C6D3}">
  <sheetPr>
    <tabColor theme="9" tint="0.79998168889431442"/>
  </sheetPr>
  <dimension ref="C2:AB255"/>
  <sheetViews>
    <sheetView showGridLines="0" zoomScale="55" zoomScaleNormal="55" workbookViewId="0">
      <selection activeCell="L6" sqref="L6"/>
    </sheetView>
  </sheetViews>
  <sheetFormatPr defaultColWidth="8.81640625" defaultRowHeight="13" x14ac:dyDescent="0.3"/>
  <cols>
    <col min="1" max="1" width="2.81640625" style="130" customWidth="1"/>
    <col min="2" max="2" width="8.81640625" style="130"/>
    <col min="3" max="3" width="25.453125" style="130" customWidth="1"/>
    <col min="4" max="4" width="2.26953125" style="130" customWidth="1"/>
    <col min="5" max="9" width="9.90625" style="130" customWidth="1"/>
    <col min="10" max="10" width="11" style="130" bestFit="1" customWidth="1"/>
    <col min="11" max="28" width="9.90625" style="130" customWidth="1"/>
    <col min="29" max="16384" width="8.81640625" style="130"/>
  </cols>
  <sheetData>
    <row r="2" spans="3:28" ht="12.5" customHeight="1" x14ac:dyDescent="0.3"/>
    <row r="3" spans="3:28" ht="12.5" customHeight="1" x14ac:dyDescent="0.3"/>
    <row r="4" spans="3:28" ht="12.5" customHeight="1" x14ac:dyDescent="0.3"/>
    <row r="5" spans="3:28" ht="12.5" customHeight="1" x14ac:dyDescent="0.3"/>
    <row r="6" spans="3:28" ht="12.5" customHeight="1" x14ac:dyDescent="0.3">
      <c r="C6" s="41" t="s">
        <v>683</v>
      </c>
    </row>
    <row r="7" spans="3:28" ht="13" customHeight="1" x14ac:dyDescent="0.3">
      <c r="C7" s="549" t="s">
        <v>684</v>
      </c>
      <c r="E7" s="550" t="s">
        <v>65</v>
      </c>
      <c r="F7" s="550" t="s">
        <v>66</v>
      </c>
      <c r="G7" s="550" t="s">
        <v>67</v>
      </c>
      <c r="H7" s="550" t="s">
        <v>68</v>
      </c>
      <c r="I7" s="550" t="s">
        <v>69</v>
      </c>
      <c r="J7" s="550" t="s">
        <v>70</v>
      </c>
      <c r="K7" s="550" t="s">
        <v>71</v>
      </c>
      <c r="L7" s="550" t="s">
        <v>72</v>
      </c>
      <c r="M7" s="550" t="s">
        <v>73</v>
      </c>
      <c r="N7" s="550" t="s">
        <v>74</v>
      </c>
      <c r="O7" s="550" t="s">
        <v>75</v>
      </c>
      <c r="P7" s="550" t="s">
        <v>76</v>
      </c>
      <c r="Q7" s="550" t="s">
        <v>77</v>
      </c>
      <c r="R7" s="550" t="s">
        <v>78</v>
      </c>
      <c r="S7" s="550" t="s">
        <v>79</v>
      </c>
      <c r="T7" s="550" t="s">
        <v>80</v>
      </c>
      <c r="U7" s="550" t="s">
        <v>81</v>
      </c>
      <c r="V7" s="550" t="s">
        <v>82</v>
      </c>
      <c r="W7" s="550" t="s">
        <v>83</v>
      </c>
      <c r="X7" s="550" t="s">
        <v>685</v>
      </c>
      <c r="Y7" s="550" t="s">
        <v>686</v>
      </c>
      <c r="Z7" s="550" t="s">
        <v>687</v>
      </c>
      <c r="AA7" s="550" t="s">
        <v>688</v>
      </c>
      <c r="AB7" s="550" t="s">
        <v>689</v>
      </c>
    </row>
    <row r="8" spans="3:28" ht="13" customHeight="1" x14ac:dyDescent="0.3">
      <c r="C8" s="449" t="s">
        <v>690</v>
      </c>
      <c r="E8" s="450">
        <v>201.87714366699998</v>
      </c>
      <c r="F8" s="450">
        <v>188.82038950200001</v>
      </c>
      <c r="G8" s="450">
        <v>244.23123098299996</v>
      </c>
      <c r="H8" s="450">
        <v>282.64080788599995</v>
      </c>
      <c r="I8" s="450">
        <v>155.12741399999999</v>
      </c>
      <c r="J8" s="450">
        <v>151.29882499999999</v>
      </c>
      <c r="K8" s="450">
        <v>243.08228699999995</v>
      </c>
      <c r="L8" s="450">
        <v>281.563039</v>
      </c>
      <c r="M8" s="450">
        <v>228.74878487899997</v>
      </c>
      <c r="N8" s="450">
        <v>159.81665565200001</v>
      </c>
      <c r="O8" s="450">
        <v>225.06946478399999</v>
      </c>
      <c r="P8" s="450">
        <v>290.61093512599996</v>
      </c>
      <c r="Q8" s="450">
        <v>209.01520913800005</v>
      </c>
      <c r="R8" s="450">
        <v>144.23232558500001</v>
      </c>
      <c r="S8" s="450">
        <v>213.45372564036427</v>
      </c>
      <c r="T8" s="450">
        <v>252.55219191800001</v>
      </c>
      <c r="U8" s="450">
        <v>237.86983500000002</v>
      </c>
      <c r="V8" s="450">
        <v>157.54038002201582</v>
      </c>
      <c r="W8" s="450">
        <v>202.2599015011115</v>
      </c>
      <c r="X8" s="450">
        <v>245.51468738861669</v>
      </c>
      <c r="Y8" s="450"/>
      <c r="Z8" s="450"/>
      <c r="AA8" s="450"/>
      <c r="AB8" s="450"/>
    </row>
    <row r="9" spans="3:28" ht="13" customHeight="1" x14ac:dyDescent="0.3">
      <c r="C9" s="449" t="s">
        <v>691</v>
      </c>
      <c r="E9" s="450">
        <v>101.20091520299999</v>
      </c>
      <c r="F9" s="450">
        <v>97.706699273000012</v>
      </c>
      <c r="G9" s="450">
        <v>143.77174223700001</v>
      </c>
      <c r="H9" s="450">
        <v>170.501088337</v>
      </c>
      <c r="I9" s="450">
        <v>76.794325999999998</v>
      </c>
      <c r="J9" s="450">
        <v>83.850566999999998</v>
      </c>
      <c r="K9" s="450">
        <v>138.114642</v>
      </c>
      <c r="L9" s="450">
        <v>174.01467999999997</v>
      </c>
      <c r="M9" s="450">
        <v>122.886442385</v>
      </c>
      <c r="N9" s="450">
        <v>96.420537369000002</v>
      </c>
      <c r="O9" s="450">
        <v>137.69402424429524</v>
      </c>
      <c r="P9" s="450">
        <v>170.00501246599998</v>
      </c>
      <c r="Q9" s="450">
        <v>117.18859971400001</v>
      </c>
      <c r="R9" s="450">
        <v>98.053742521000004</v>
      </c>
      <c r="S9" s="450">
        <v>133.62787284000834</v>
      </c>
      <c r="T9" s="450">
        <v>165.23558026500001</v>
      </c>
      <c r="U9" s="450">
        <v>118.05207300000001</v>
      </c>
      <c r="V9" s="450">
        <v>92.054836361945718</v>
      </c>
      <c r="W9" s="450">
        <v>121.01517822881263</v>
      </c>
      <c r="X9" s="450">
        <v>177.81704470261874</v>
      </c>
      <c r="Y9" s="450"/>
      <c r="Z9" s="450"/>
      <c r="AA9" s="450"/>
      <c r="AB9" s="450"/>
    </row>
    <row r="10" spans="3:28" ht="13" customHeight="1" x14ac:dyDescent="0.3">
      <c r="C10" s="449" t="s">
        <v>692</v>
      </c>
      <c r="E10" s="450">
        <v>60.819446167999999</v>
      </c>
      <c r="F10" s="450">
        <v>81.114531814999992</v>
      </c>
      <c r="G10" s="450">
        <v>120.79036020599999</v>
      </c>
      <c r="H10" s="450">
        <v>101.658782125</v>
      </c>
      <c r="I10" s="450">
        <v>41.493310999999999</v>
      </c>
      <c r="J10" s="450">
        <v>72.255135999999993</v>
      </c>
      <c r="K10" s="450">
        <v>130.16256100000001</v>
      </c>
      <c r="L10" s="450">
        <v>90.949714999999998</v>
      </c>
      <c r="M10" s="450">
        <v>68.154442758000002</v>
      </c>
      <c r="N10" s="450">
        <v>87.662750530000011</v>
      </c>
      <c r="O10" s="450">
        <v>123.87118291200001</v>
      </c>
      <c r="P10" s="450">
        <v>77.745364314</v>
      </c>
      <c r="Q10" s="450">
        <v>53.203544633000007</v>
      </c>
      <c r="R10" s="450">
        <v>71.092545029000007</v>
      </c>
      <c r="S10" s="450">
        <v>116.79366545586973</v>
      </c>
      <c r="T10" s="450">
        <v>73.452434303000004</v>
      </c>
      <c r="U10" s="450">
        <v>62.891977000000004</v>
      </c>
      <c r="V10" s="450">
        <v>71.731901442963391</v>
      </c>
      <c r="W10" s="450">
        <v>107.62269195062171</v>
      </c>
      <c r="X10" s="450">
        <v>78.7921018765214</v>
      </c>
      <c r="Y10" s="450"/>
      <c r="Z10" s="450"/>
      <c r="AA10" s="450"/>
      <c r="AB10" s="450"/>
    </row>
    <row r="11" spans="3:28" ht="13" customHeight="1" x14ac:dyDescent="0.3">
      <c r="C11" s="449" t="s">
        <v>693</v>
      </c>
      <c r="E11" s="450">
        <v>91.699483444999998</v>
      </c>
      <c r="F11" s="450">
        <v>124.11815526399999</v>
      </c>
      <c r="G11" s="450">
        <v>175.23220532799999</v>
      </c>
      <c r="H11" s="450">
        <v>151.038575982</v>
      </c>
      <c r="I11" s="450">
        <v>69.591480000000004</v>
      </c>
      <c r="J11" s="450">
        <v>116.384232</v>
      </c>
      <c r="K11" s="450">
        <v>181.26310500000002</v>
      </c>
      <c r="L11" s="450">
        <v>154.44148200000001</v>
      </c>
      <c r="M11" s="450">
        <v>107.90518601599999</v>
      </c>
      <c r="N11" s="450">
        <v>123.135739061</v>
      </c>
      <c r="O11" s="450">
        <v>178.57805124199999</v>
      </c>
      <c r="P11" s="450">
        <v>125.77362729399999</v>
      </c>
      <c r="Q11" s="450">
        <v>84.631164462000001</v>
      </c>
      <c r="R11" s="450">
        <v>97.801474381999995</v>
      </c>
      <c r="S11" s="450">
        <v>171.47923554042549</v>
      </c>
      <c r="T11" s="450">
        <v>118.48444862300001</v>
      </c>
      <c r="U11" s="450">
        <v>97.903109999999984</v>
      </c>
      <c r="V11" s="450">
        <v>99.466080238682864</v>
      </c>
      <c r="W11" s="450">
        <v>137.32878695964402</v>
      </c>
      <c r="X11" s="450">
        <v>121.13951241551406</v>
      </c>
      <c r="Y11" s="450"/>
      <c r="Z11" s="450"/>
      <c r="AA11" s="450"/>
      <c r="AB11" s="450"/>
    </row>
    <row r="12" spans="3:28" ht="13" customHeight="1" x14ac:dyDescent="0.3">
      <c r="C12" s="449" t="s">
        <v>694</v>
      </c>
      <c r="E12" s="450">
        <v>69.531853335999998</v>
      </c>
      <c r="F12" s="450">
        <v>90.110231651999996</v>
      </c>
      <c r="G12" s="450">
        <v>128.11187148299999</v>
      </c>
      <c r="H12" s="450">
        <v>124.363180034</v>
      </c>
      <c r="I12" s="450">
        <v>55.434576999999997</v>
      </c>
      <c r="J12" s="450">
        <v>81.373724999999993</v>
      </c>
      <c r="K12" s="450">
        <v>139.50799799999999</v>
      </c>
      <c r="L12" s="450">
        <v>124.978488</v>
      </c>
      <c r="M12" s="450">
        <v>94.669079983000003</v>
      </c>
      <c r="N12" s="450">
        <v>99.033268811999989</v>
      </c>
      <c r="O12" s="450">
        <v>136.820976978</v>
      </c>
      <c r="P12" s="450">
        <v>107.73987378700001</v>
      </c>
      <c r="Q12" s="450">
        <v>73.713391643999984</v>
      </c>
      <c r="R12" s="450">
        <v>76.909449844999997</v>
      </c>
      <c r="S12" s="450">
        <v>129.83958665949834</v>
      </c>
      <c r="T12" s="450">
        <v>104.44755523499998</v>
      </c>
      <c r="U12" s="450">
        <v>87.032077000000001</v>
      </c>
      <c r="V12" s="450">
        <v>80.789121267709078</v>
      </c>
      <c r="W12" s="450">
        <v>113.19478673328345</v>
      </c>
      <c r="X12" s="450">
        <v>119.06872342314365</v>
      </c>
      <c r="Y12" s="450"/>
      <c r="Z12" s="450"/>
      <c r="AA12" s="450"/>
      <c r="AB12" s="450"/>
    </row>
    <row r="13" spans="3:28" ht="13" customHeight="1" x14ac:dyDescent="0.3">
      <c r="C13" s="449" t="s">
        <v>695</v>
      </c>
      <c r="E13" s="450">
        <v>42.344220390999993</v>
      </c>
      <c r="F13" s="450">
        <v>54.012313474999999</v>
      </c>
      <c r="G13" s="450">
        <v>77.452317634000011</v>
      </c>
      <c r="H13" s="450">
        <v>69.195040392999999</v>
      </c>
      <c r="I13" s="450">
        <v>29.355343000000001</v>
      </c>
      <c r="J13" s="450">
        <v>45.427639999999997</v>
      </c>
      <c r="K13" s="450">
        <v>81.370247999999989</v>
      </c>
      <c r="L13" s="450">
        <v>64.636077999999998</v>
      </c>
      <c r="M13" s="450">
        <v>48.378539460999995</v>
      </c>
      <c r="N13" s="450">
        <v>57.226038236999997</v>
      </c>
      <c r="O13" s="450">
        <v>80.575045634000006</v>
      </c>
      <c r="P13" s="450">
        <v>54.943318134999991</v>
      </c>
      <c r="Q13" s="450">
        <v>39.707810432999999</v>
      </c>
      <c r="R13" s="450">
        <v>48.003488181999998</v>
      </c>
      <c r="S13" s="450">
        <v>75.705846297433922</v>
      </c>
      <c r="T13" s="450">
        <v>51.566467481999993</v>
      </c>
      <c r="U13" s="450">
        <v>45.111910999999999</v>
      </c>
      <c r="V13" s="450">
        <v>45.111498354276776</v>
      </c>
      <c r="W13" s="450">
        <v>64.401689207718789</v>
      </c>
      <c r="X13" s="450">
        <v>50.894217555050936</v>
      </c>
      <c r="Y13" s="450"/>
      <c r="Z13" s="450"/>
      <c r="AA13" s="450"/>
      <c r="AB13" s="450"/>
    </row>
    <row r="14" spans="3:28" s="452" customFormat="1" ht="13" customHeight="1" x14ac:dyDescent="0.3">
      <c r="C14" s="449" t="s">
        <v>696</v>
      </c>
      <c r="D14" s="451"/>
      <c r="E14" s="450">
        <v>0</v>
      </c>
      <c r="F14" s="450">
        <v>0</v>
      </c>
      <c r="G14" s="450">
        <v>0</v>
      </c>
      <c r="H14" s="450">
        <v>0</v>
      </c>
      <c r="I14" s="450">
        <v>4.7982629999999995</v>
      </c>
      <c r="J14" s="450">
        <v>49.976081000000008</v>
      </c>
      <c r="K14" s="450">
        <v>130.63263800000001</v>
      </c>
      <c r="L14" s="450">
        <v>146.22707</v>
      </c>
      <c r="M14" s="450">
        <v>99.941535972000011</v>
      </c>
      <c r="N14" s="450">
        <v>80.948000180999998</v>
      </c>
      <c r="O14" s="450">
        <v>132.03808256000002</v>
      </c>
      <c r="P14" s="450">
        <v>132.12631276400001</v>
      </c>
      <c r="Q14" s="450">
        <v>77.873257803999991</v>
      </c>
      <c r="R14" s="450">
        <v>63.080461819000007</v>
      </c>
      <c r="S14" s="450">
        <v>127.44425361698735</v>
      </c>
      <c r="T14" s="450">
        <v>128.84539296200001</v>
      </c>
      <c r="U14" s="450">
        <v>92.836230999999998</v>
      </c>
      <c r="V14" s="450">
        <v>73.030804377664623</v>
      </c>
      <c r="W14" s="450">
        <v>93.701271967149609</v>
      </c>
      <c r="X14" s="450">
        <v>87.048310719804647</v>
      </c>
      <c r="Y14" s="450"/>
      <c r="Z14" s="450"/>
      <c r="AA14" s="450"/>
      <c r="AB14" s="450"/>
    </row>
    <row r="15" spans="3:28" ht="13" customHeight="1" x14ac:dyDescent="0.3">
      <c r="C15" s="449" t="s">
        <v>697</v>
      </c>
      <c r="D15" s="453"/>
      <c r="E15" s="450">
        <v>0</v>
      </c>
      <c r="F15" s="450">
        <v>0</v>
      </c>
      <c r="G15" s="450">
        <v>0</v>
      </c>
      <c r="H15" s="450">
        <v>0</v>
      </c>
      <c r="I15" s="450">
        <v>0</v>
      </c>
      <c r="J15" s="450">
        <v>29.780095000000003</v>
      </c>
      <c r="K15" s="450">
        <v>119.106587</v>
      </c>
      <c r="L15" s="450">
        <v>135.34201199999998</v>
      </c>
      <c r="M15" s="450">
        <v>93.614675519000002</v>
      </c>
      <c r="N15" s="450">
        <v>78.427336979999993</v>
      </c>
      <c r="O15" s="450">
        <v>130.005950697</v>
      </c>
      <c r="P15" s="450">
        <v>132.02526848700001</v>
      </c>
      <c r="Q15" s="450">
        <v>77.97973608400001</v>
      </c>
      <c r="R15" s="450">
        <v>64.589967716999993</v>
      </c>
      <c r="S15" s="450">
        <v>123.57791234782003</v>
      </c>
      <c r="T15" s="450">
        <v>124.10079888300001</v>
      </c>
      <c r="U15" s="450">
        <v>92.278616999999997</v>
      </c>
      <c r="V15" s="450">
        <v>72.43831363572076</v>
      </c>
      <c r="W15" s="450">
        <v>91.128756302007488</v>
      </c>
      <c r="X15" s="450">
        <v>86.340950913095469</v>
      </c>
      <c r="Y15" s="450"/>
      <c r="Z15" s="450"/>
      <c r="AA15" s="450"/>
      <c r="AB15" s="450"/>
    </row>
    <row r="16" spans="3:28" ht="13" customHeight="1" x14ac:dyDescent="0.3">
      <c r="C16" s="449" t="s">
        <v>698</v>
      </c>
      <c r="D16" s="453"/>
      <c r="E16" s="450">
        <v>0</v>
      </c>
      <c r="F16" s="450">
        <v>0</v>
      </c>
      <c r="G16" s="450">
        <v>0</v>
      </c>
      <c r="H16" s="450">
        <v>0</v>
      </c>
      <c r="I16" s="450">
        <v>0</v>
      </c>
      <c r="J16" s="450">
        <v>1.6682529999999998</v>
      </c>
      <c r="K16" s="450">
        <v>74.451420000000013</v>
      </c>
      <c r="L16" s="450">
        <v>82.831688</v>
      </c>
      <c r="M16" s="450">
        <v>48.191187925000001</v>
      </c>
      <c r="N16" s="450">
        <v>58.839831134999997</v>
      </c>
      <c r="O16" s="450">
        <v>93.226692341999993</v>
      </c>
      <c r="P16" s="450">
        <v>91.303229377000008</v>
      </c>
      <c r="Q16" s="450">
        <v>55.238483793</v>
      </c>
      <c r="R16" s="450">
        <v>44.355250646000002</v>
      </c>
      <c r="S16" s="450">
        <v>88.453641974824748</v>
      </c>
      <c r="T16" s="450">
        <v>91.919252063000002</v>
      </c>
      <c r="U16" s="450">
        <v>65.612779000000003</v>
      </c>
      <c r="V16" s="450">
        <v>50.561897638623478</v>
      </c>
      <c r="W16" s="450">
        <v>67.594896632558502</v>
      </c>
      <c r="X16" s="450">
        <v>67.085396478952006</v>
      </c>
      <c r="Y16" s="450"/>
      <c r="Z16" s="450"/>
      <c r="AA16" s="450"/>
      <c r="AB16" s="450"/>
    </row>
    <row r="17" spans="3:28" ht="13" customHeight="1" x14ac:dyDescent="0.3">
      <c r="C17" s="449" t="s">
        <v>699</v>
      </c>
      <c r="D17" s="453"/>
      <c r="E17" s="450">
        <v>0</v>
      </c>
      <c r="F17" s="450">
        <v>0</v>
      </c>
      <c r="G17" s="450">
        <v>0</v>
      </c>
      <c r="H17" s="450">
        <v>0</v>
      </c>
      <c r="I17" s="450">
        <v>0</v>
      </c>
      <c r="J17" s="450">
        <v>0</v>
      </c>
      <c r="K17" s="450">
        <v>0</v>
      </c>
      <c r="L17" s="450">
        <v>0</v>
      </c>
      <c r="M17" s="450">
        <v>0</v>
      </c>
      <c r="N17" s="450">
        <v>6.5474399999999996E-4</v>
      </c>
      <c r="O17" s="450">
        <v>27.798001478</v>
      </c>
      <c r="P17" s="450">
        <v>54.272761709000008</v>
      </c>
      <c r="Q17" s="450">
        <v>66.541959839</v>
      </c>
      <c r="R17" s="450">
        <v>60.413473746000001</v>
      </c>
      <c r="S17" s="450">
        <v>113.45110668366375</v>
      </c>
      <c r="T17" s="450">
        <v>110.962196937</v>
      </c>
      <c r="U17" s="450">
        <v>79.677869999999999</v>
      </c>
      <c r="V17" s="450">
        <v>68.93467209658175</v>
      </c>
      <c r="W17" s="450">
        <v>84.181262906039265</v>
      </c>
      <c r="X17" s="450">
        <v>84.249590544026191</v>
      </c>
      <c r="Y17" s="450"/>
      <c r="Z17" s="450"/>
      <c r="AA17" s="450"/>
      <c r="AB17" s="450"/>
    </row>
    <row r="18" spans="3:28" ht="13" customHeight="1" x14ac:dyDescent="0.3">
      <c r="C18" s="449" t="s">
        <v>700</v>
      </c>
      <c r="D18" s="454"/>
      <c r="E18" s="450">
        <v>0</v>
      </c>
      <c r="F18" s="450">
        <v>0</v>
      </c>
      <c r="G18" s="450">
        <v>0</v>
      </c>
      <c r="H18" s="450">
        <v>0</v>
      </c>
      <c r="I18" s="450">
        <v>0</v>
      </c>
      <c r="J18" s="450">
        <v>0</v>
      </c>
      <c r="K18" s="450">
        <v>0</v>
      </c>
      <c r="L18" s="450">
        <v>0</v>
      </c>
      <c r="M18" s="450">
        <v>0</v>
      </c>
      <c r="N18" s="450">
        <v>0</v>
      </c>
      <c r="O18" s="450">
        <v>2.8318475140000001</v>
      </c>
      <c r="P18" s="450">
        <v>35.522916408</v>
      </c>
      <c r="Q18" s="450">
        <v>46.013436210000002</v>
      </c>
      <c r="R18" s="450">
        <v>46.809012256999999</v>
      </c>
      <c r="S18" s="450">
        <v>89.190074804646713</v>
      </c>
      <c r="T18" s="450">
        <v>87.365859350999997</v>
      </c>
      <c r="U18" s="450">
        <v>61.557016000000004</v>
      </c>
      <c r="V18" s="450">
        <v>54.197639628960729</v>
      </c>
      <c r="W18" s="450">
        <v>66.653028294899286</v>
      </c>
      <c r="X18" s="450">
        <v>65.637126688258974</v>
      </c>
      <c r="Y18" s="450"/>
      <c r="Z18" s="450"/>
      <c r="AA18" s="450"/>
      <c r="AB18" s="450"/>
    </row>
    <row r="19" spans="3:28" ht="13" customHeight="1" x14ac:dyDescent="0.3">
      <c r="C19" s="449" t="s">
        <v>701</v>
      </c>
      <c r="D19" s="453"/>
      <c r="E19" s="450">
        <v>0</v>
      </c>
      <c r="F19" s="450">
        <v>0</v>
      </c>
      <c r="G19" s="450">
        <v>0</v>
      </c>
      <c r="H19" s="450">
        <v>0</v>
      </c>
      <c r="I19" s="450">
        <v>0</v>
      </c>
      <c r="J19" s="450">
        <v>0</v>
      </c>
      <c r="K19" s="450">
        <v>0</v>
      </c>
      <c r="L19" s="450">
        <v>0</v>
      </c>
      <c r="M19" s="450">
        <v>0</v>
      </c>
      <c r="N19" s="450">
        <v>0</v>
      </c>
      <c r="O19" s="450">
        <v>0.10355126799999999</v>
      </c>
      <c r="P19" s="450">
        <v>35.849052211999997</v>
      </c>
      <c r="Q19" s="450">
        <v>32.755545601999998</v>
      </c>
      <c r="R19" s="450">
        <v>27.514221524</v>
      </c>
      <c r="S19" s="450">
        <v>49.374956786193152</v>
      </c>
      <c r="T19" s="450">
        <v>50.935585898999996</v>
      </c>
      <c r="U19" s="450">
        <v>37.988968</v>
      </c>
      <c r="V19" s="450">
        <v>30.721724010703483</v>
      </c>
      <c r="W19" s="450">
        <v>36.789958992486874</v>
      </c>
      <c r="X19" s="450">
        <v>32.469673867633553</v>
      </c>
      <c r="Y19" s="455"/>
      <c r="Z19" s="455"/>
      <c r="AA19" s="455"/>
      <c r="AB19" s="455"/>
    </row>
    <row r="20" spans="3:28" ht="13" customHeight="1" x14ac:dyDescent="0.3">
      <c r="C20" s="456" t="s">
        <v>87</v>
      </c>
      <c r="E20" s="457">
        <f>SUM(E8:E19)</f>
        <v>567.47306220999997</v>
      </c>
      <c r="F20" s="457">
        <f t="shared" ref="F20:AB20" si="0">SUM(F8:F19)</f>
        <v>635.88232098100002</v>
      </c>
      <c r="G20" s="457">
        <f t="shared" si="0"/>
        <v>889.58972787099992</v>
      </c>
      <c r="H20" s="457">
        <f t="shared" si="0"/>
        <v>899.39747475699994</v>
      </c>
      <c r="I20" s="457">
        <f t="shared" si="0"/>
        <v>432.59471400000001</v>
      </c>
      <c r="J20" s="457">
        <f t="shared" si="0"/>
        <v>632.01455399999998</v>
      </c>
      <c r="K20" s="457">
        <f t="shared" si="0"/>
        <v>1237.6914859999999</v>
      </c>
      <c r="L20" s="457">
        <f t="shared" si="0"/>
        <v>1254.984252</v>
      </c>
      <c r="M20" s="457">
        <f t="shared" si="0"/>
        <v>912.48987489799993</v>
      </c>
      <c r="N20" s="457">
        <f t="shared" si="0"/>
        <v>841.51081270099985</v>
      </c>
      <c r="O20" s="457">
        <f t="shared" si="0"/>
        <v>1268.6128716532953</v>
      </c>
      <c r="P20" s="457">
        <f t="shared" si="0"/>
        <v>1307.9176720789999</v>
      </c>
      <c r="Q20" s="457">
        <f t="shared" si="0"/>
        <v>933.86213935600006</v>
      </c>
      <c r="R20" s="457">
        <f t="shared" si="0"/>
        <v>842.85541325299994</v>
      </c>
      <c r="S20" s="457">
        <f t="shared" si="0"/>
        <v>1432.3918786477357</v>
      </c>
      <c r="T20" s="457">
        <f t="shared" si="0"/>
        <v>1359.867763921</v>
      </c>
      <c r="U20" s="457">
        <f t="shared" si="0"/>
        <v>1078.8124640000001</v>
      </c>
      <c r="V20" s="457">
        <f t="shared" si="0"/>
        <v>896.57886907584839</v>
      </c>
      <c r="W20" s="457">
        <f t="shared" si="0"/>
        <v>1185.8722096763331</v>
      </c>
      <c r="X20" s="457">
        <f t="shared" si="0"/>
        <v>1216.0573365732362</v>
      </c>
      <c r="Y20" s="457">
        <f t="shared" si="0"/>
        <v>0</v>
      </c>
      <c r="Z20" s="457">
        <f t="shared" si="0"/>
        <v>0</v>
      </c>
      <c r="AA20" s="457">
        <f t="shared" si="0"/>
        <v>0</v>
      </c>
      <c r="AB20" s="457">
        <f t="shared" si="0"/>
        <v>0</v>
      </c>
    </row>
    <row r="21" spans="3:28" ht="13" customHeight="1" x14ac:dyDescent="0.3">
      <c r="C21" s="458"/>
    </row>
    <row r="22" spans="3:28" ht="13" customHeight="1" x14ac:dyDescent="0.3">
      <c r="C22" s="458"/>
    </row>
    <row r="23" spans="3:28" ht="13" customHeight="1" x14ac:dyDescent="0.3">
      <c r="C23" s="549" t="s">
        <v>702</v>
      </c>
      <c r="E23" s="550" t="s">
        <v>65</v>
      </c>
      <c r="F23" s="550" t="s">
        <v>66</v>
      </c>
      <c r="G23" s="550" t="s">
        <v>67</v>
      </c>
      <c r="H23" s="550" t="s">
        <v>68</v>
      </c>
      <c r="I23" s="550" t="s">
        <v>69</v>
      </c>
      <c r="J23" s="550" t="s">
        <v>70</v>
      </c>
      <c r="K23" s="550" t="s">
        <v>71</v>
      </c>
      <c r="L23" s="550" t="s">
        <v>72</v>
      </c>
      <c r="M23" s="550" t="s">
        <v>73</v>
      </c>
      <c r="N23" s="550" t="s">
        <v>74</v>
      </c>
      <c r="O23" s="550" t="s">
        <v>75</v>
      </c>
      <c r="P23" s="550" t="s">
        <v>76</v>
      </c>
      <c r="Q23" s="550" t="s">
        <v>77</v>
      </c>
      <c r="R23" s="550" t="s">
        <v>78</v>
      </c>
      <c r="S23" s="550" t="s">
        <v>79</v>
      </c>
      <c r="T23" s="550" t="s">
        <v>80</v>
      </c>
      <c r="U23" s="550" t="s">
        <v>81</v>
      </c>
      <c r="V23" s="550" t="s">
        <v>82</v>
      </c>
      <c r="W23" s="550" t="s">
        <v>83</v>
      </c>
      <c r="X23" s="550" t="s">
        <v>685</v>
      </c>
      <c r="Y23" s="550" t="s">
        <v>686</v>
      </c>
      <c r="Z23" s="550" t="s">
        <v>687</v>
      </c>
      <c r="AA23" s="550" t="s">
        <v>688</v>
      </c>
      <c r="AB23" s="550" t="s">
        <v>689</v>
      </c>
    </row>
    <row r="24" spans="3:28" ht="13" customHeight="1" x14ac:dyDescent="0.3">
      <c r="C24" s="449" t="s">
        <v>690</v>
      </c>
      <c r="E24" s="459">
        <v>6.9168174589332034</v>
      </c>
      <c r="F24" s="459">
        <v>6.6250582829250328</v>
      </c>
      <c r="G24" s="459">
        <v>7.4087674577866371</v>
      </c>
      <c r="H24" s="459">
        <v>8.1072117963933064</v>
      </c>
      <c r="I24" s="459">
        <v>6.0426713597310799</v>
      </c>
      <c r="J24" s="459">
        <v>6.1089143539710165</v>
      </c>
      <c r="K24" s="459">
        <v>7.4635017709208817</v>
      </c>
      <c r="L24" s="459">
        <v>8.1115075977528157</v>
      </c>
      <c r="M24" s="459">
        <v>7.1989182986910389</v>
      </c>
      <c r="N24" s="459">
        <v>6.1860275556752971</v>
      </c>
      <c r="O24" s="459">
        <v>7.114709972101215</v>
      </c>
      <c r="P24" s="459">
        <v>8.2791083616746395</v>
      </c>
      <c r="Q24" s="459">
        <v>7.0543520914393971</v>
      </c>
      <c r="R24" s="459">
        <v>6.0558486074214404</v>
      </c>
      <c r="S24" s="459">
        <v>7.0818562559459517</v>
      </c>
      <c r="T24" s="460">
        <v>7.5528264177347406</v>
      </c>
      <c r="U24" s="460">
        <v>7.5556422751206354</v>
      </c>
      <c r="V24" s="460">
        <v>6.2284135002127572</v>
      </c>
      <c r="W24" s="460">
        <v>6.9854896946805685</v>
      </c>
      <c r="X24" s="460">
        <v>7.7201516895643021</v>
      </c>
    </row>
    <row r="25" spans="3:28" ht="13" customHeight="1" x14ac:dyDescent="0.3">
      <c r="C25" s="449" t="s">
        <v>691</v>
      </c>
      <c r="E25" s="459">
        <v>6.6721790648814059</v>
      </c>
      <c r="F25" s="459">
        <v>6.5287033418318128</v>
      </c>
      <c r="G25" s="459">
        <v>8.0859393990692752</v>
      </c>
      <c r="H25" s="459">
        <v>9.3670128952103902</v>
      </c>
      <c r="I25" s="459">
        <v>5.876140892139869</v>
      </c>
      <c r="J25" s="459">
        <v>6.0774629221878493</v>
      </c>
      <c r="K25" s="459">
        <v>7.5015450429943309</v>
      </c>
      <c r="L25" s="459">
        <v>8.9892778672585045</v>
      </c>
      <c r="M25" s="459">
        <v>7.1697535342124281</v>
      </c>
      <c r="N25" s="459">
        <v>6.0681710103719428</v>
      </c>
      <c r="O25" s="459">
        <v>7.5977779867822743</v>
      </c>
      <c r="P25" s="459">
        <v>8.7442639486591816</v>
      </c>
      <c r="Q25" s="459">
        <v>7.0294458629420999</v>
      </c>
      <c r="R25" s="459">
        <v>6.3881422474021257</v>
      </c>
      <c r="S25" s="459">
        <v>7.3152210896194214</v>
      </c>
      <c r="T25" s="460">
        <v>8.2239592559993238</v>
      </c>
      <c r="U25" s="460">
        <v>6.9511997412121485</v>
      </c>
      <c r="V25" s="460">
        <v>6.2113052246760105</v>
      </c>
      <c r="W25" s="460">
        <v>8.1785197521858066</v>
      </c>
      <c r="X25" s="460">
        <v>9.2153988462057175</v>
      </c>
    </row>
    <row r="26" spans="3:28" ht="13" customHeight="1" x14ac:dyDescent="0.3">
      <c r="C26" s="449" t="s">
        <v>692</v>
      </c>
      <c r="E26" s="459">
        <v>7.1005379377052806</v>
      </c>
      <c r="F26" s="459">
        <v>8.1605560791981997</v>
      </c>
      <c r="G26" s="459">
        <v>9.9911842277993852</v>
      </c>
      <c r="H26" s="459">
        <v>9.1063862756678926</v>
      </c>
      <c r="I26" s="459">
        <v>5.9944645336696079</v>
      </c>
      <c r="J26" s="459">
        <v>7.6944303209206639</v>
      </c>
      <c r="K26" s="459">
        <v>10.337091136306046</v>
      </c>
      <c r="L26" s="459">
        <v>8.5665446339810192</v>
      </c>
      <c r="M26" s="459">
        <v>7.4910793257038497</v>
      </c>
      <c r="N26" s="459">
        <v>8.5036762068215097</v>
      </c>
      <c r="O26" s="459">
        <v>10.388078397144168</v>
      </c>
      <c r="P26" s="459">
        <v>7.978595815888804</v>
      </c>
      <c r="Q26" s="459">
        <v>6.9710204166278498</v>
      </c>
      <c r="R26" s="459">
        <v>7.925234842741677</v>
      </c>
      <c r="S26" s="459">
        <v>10.10677442697966</v>
      </c>
      <c r="T26" s="460">
        <v>7.8953308273507465</v>
      </c>
      <c r="U26" s="460">
        <v>7.5862270318973835</v>
      </c>
      <c r="V26" s="460">
        <v>7.9317188762115416</v>
      </c>
      <c r="W26" s="460">
        <v>9.6799013764689104</v>
      </c>
      <c r="X26" s="460">
        <v>8.4026476076593113</v>
      </c>
    </row>
    <row r="27" spans="3:28" ht="13" customHeight="1" x14ac:dyDescent="0.3">
      <c r="C27" s="449" t="s">
        <v>693</v>
      </c>
      <c r="E27" s="459">
        <v>6.9815190179480444</v>
      </c>
      <c r="F27" s="459">
        <v>7.9754800676153259</v>
      </c>
      <c r="G27" s="459">
        <v>9.919975239135649</v>
      </c>
      <c r="H27" s="459">
        <v>8.9540246965606567</v>
      </c>
      <c r="I27" s="459">
        <v>6.0912032417216144</v>
      </c>
      <c r="J27" s="459">
        <v>7.7342465182582103</v>
      </c>
      <c r="K27" s="459">
        <v>9.752005291373834</v>
      </c>
      <c r="L27" s="459">
        <v>8.9542023427784443</v>
      </c>
      <c r="M27" s="459">
        <v>7.5704338373409374</v>
      </c>
      <c r="N27" s="459">
        <v>7.9267299058181901</v>
      </c>
      <c r="O27" s="459">
        <v>10.101790976265203</v>
      </c>
      <c r="P27" s="459">
        <v>8.4022280615956895</v>
      </c>
      <c r="Q27" s="459">
        <v>6.9888627203802267</v>
      </c>
      <c r="R27" s="459">
        <v>7.5428720086321723</v>
      </c>
      <c r="S27" s="459">
        <v>9.9147909607576281</v>
      </c>
      <c r="T27" s="460">
        <v>8.12745001256142</v>
      </c>
      <c r="U27" s="460">
        <v>7.728062460902664</v>
      </c>
      <c r="V27" s="460">
        <v>7.698396272056705</v>
      </c>
      <c r="W27" s="460">
        <v>9.3121190059768111</v>
      </c>
      <c r="X27" s="460">
        <v>8.436771262113167</v>
      </c>
    </row>
    <row r="28" spans="3:28" ht="13" customHeight="1" x14ac:dyDescent="0.3">
      <c r="C28" s="449" t="s">
        <v>696</v>
      </c>
      <c r="E28" s="459" t="s">
        <v>703</v>
      </c>
      <c r="F28" s="459">
        <v>7.5355471470316902</v>
      </c>
      <c r="G28" s="459">
        <v>8.6349818810172696</v>
      </c>
      <c r="H28" s="459">
        <v>9.4144546609857809</v>
      </c>
      <c r="I28" s="459">
        <v>6.7805938019857299</v>
      </c>
      <c r="J28" s="459">
        <v>6.4216551400802944</v>
      </c>
      <c r="K28" s="459">
        <v>8.3647288155296575</v>
      </c>
      <c r="L28" s="459">
        <v>8.9442320647446998</v>
      </c>
      <c r="M28" s="459">
        <v>7.7675959507624306</v>
      </c>
      <c r="N28" s="459">
        <v>6.619659286933941</v>
      </c>
      <c r="O28" s="459">
        <v>8.4937763486219495</v>
      </c>
      <c r="P28" s="459">
        <v>8.7334578503733091</v>
      </c>
      <c r="Q28" s="459">
        <v>6.8084085709518858</v>
      </c>
      <c r="R28" s="459">
        <v>6.1014571294679749</v>
      </c>
      <c r="S28" s="459">
        <v>8.1853353666222617</v>
      </c>
      <c r="T28" s="460">
        <v>8.4227553346882704</v>
      </c>
      <c r="U28" s="460">
        <v>7.1567168103324041</v>
      </c>
      <c r="V28" s="460">
        <v>7.1412965002514071</v>
      </c>
      <c r="W28" s="460">
        <v>8.2953321681074481</v>
      </c>
      <c r="X28" s="460">
        <v>8.620997564948123</v>
      </c>
    </row>
    <row r="29" spans="3:28" ht="13" customHeight="1" x14ac:dyDescent="0.3">
      <c r="C29" s="449" t="s">
        <v>694</v>
      </c>
      <c r="E29" s="459">
        <v>6.2540619909601798</v>
      </c>
      <c r="F29" s="459">
        <v>7.1829312999840873</v>
      </c>
      <c r="G29" s="459">
        <v>8.8044272170719147</v>
      </c>
      <c r="H29" s="459">
        <v>8.6040631013103663</v>
      </c>
      <c r="I29" s="459">
        <v>5.7072416835673465</v>
      </c>
      <c r="J29" s="459">
        <v>6.7532086458004237</v>
      </c>
      <c r="K29" s="459">
        <v>8.9733873857293887</v>
      </c>
      <c r="L29" s="459">
        <v>8.4274614946966082</v>
      </c>
      <c r="M29" s="459">
        <v>7.239692901078925</v>
      </c>
      <c r="N29" s="459">
        <v>7.4061315754277235</v>
      </c>
      <c r="O29" s="459">
        <v>9.1420411454278607</v>
      </c>
      <c r="P29" s="459">
        <v>7.8862188003980975</v>
      </c>
      <c r="Q29" s="459">
        <v>6.5869056047785888</v>
      </c>
      <c r="R29" s="459">
        <v>6.5617155912445799</v>
      </c>
      <c r="S29" s="459">
        <v>8.7544919792187432</v>
      </c>
      <c r="T29" s="460">
        <v>7.7853668344109339</v>
      </c>
      <c r="U29" s="460">
        <v>7.1539405303272776</v>
      </c>
      <c r="V29" s="460">
        <v>6.3372478563706958</v>
      </c>
      <c r="W29" s="460">
        <v>8.9095870869536427</v>
      </c>
      <c r="X29" s="460">
        <v>8.3907897150023487</v>
      </c>
    </row>
    <row r="30" spans="3:28" ht="13" customHeight="1" x14ac:dyDescent="0.3">
      <c r="C30" s="449" t="s">
        <v>695</v>
      </c>
      <c r="E30" s="459">
        <v>6.3565262993176779</v>
      </c>
      <c r="F30" s="459">
        <v>7.5569823054603615</v>
      </c>
      <c r="G30" s="459">
        <v>9.1016090957150944</v>
      </c>
      <c r="H30" s="459">
        <v>8.5634599090486319</v>
      </c>
      <c r="I30" s="459">
        <v>5.6017557779947911</v>
      </c>
      <c r="J30" s="459">
        <v>6.8610176529203146</v>
      </c>
      <c r="K30" s="459">
        <v>9.2263015197670981</v>
      </c>
      <c r="L30" s="459">
        <v>8.1540749513584636</v>
      </c>
      <c r="M30" s="459">
        <v>7.1139027860429556</v>
      </c>
      <c r="N30" s="459">
        <v>7.6589247228461756</v>
      </c>
      <c r="O30" s="459">
        <v>9.3476009982219654</v>
      </c>
      <c r="P30" s="459">
        <v>7.6791307489941092</v>
      </c>
      <c r="Q30" s="459">
        <v>6.6360322462187877</v>
      </c>
      <c r="R30" s="459">
        <v>7.0607892873086326</v>
      </c>
      <c r="S30" s="459">
        <v>9.0156767990278155</v>
      </c>
      <c r="T30" s="460">
        <v>7.5829899138298575</v>
      </c>
      <c r="U30" s="460">
        <v>7.2286291656670754</v>
      </c>
      <c r="V30" s="460">
        <v>6.8949620553105868</v>
      </c>
      <c r="W30" s="460">
        <v>8.8650531829267294</v>
      </c>
      <c r="X30" s="460">
        <v>8.004500786463419</v>
      </c>
    </row>
    <row r="31" spans="3:28" ht="13" customHeight="1" x14ac:dyDescent="0.3">
      <c r="C31" s="449" t="s">
        <v>697</v>
      </c>
      <c r="E31" s="459" t="s">
        <v>703</v>
      </c>
      <c r="F31" s="459" t="s">
        <v>703</v>
      </c>
      <c r="G31" s="459" t="s">
        <v>703</v>
      </c>
      <c r="H31" s="459">
        <v>10.031581034425828</v>
      </c>
      <c r="I31" s="459">
        <v>6.8243514501587139</v>
      </c>
      <c r="J31" s="459">
        <v>6.5753876906630531</v>
      </c>
      <c r="K31" s="459">
        <v>8.4920686832673162</v>
      </c>
      <c r="L31" s="459">
        <v>9.0783756522915979</v>
      </c>
      <c r="M31" s="459">
        <v>7.8006112635423595</v>
      </c>
      <c r="N31" s="459">
        <v>6.5364672719606407</v>
      </c>
      <c r="O31" s="459">
        <v>8.4574543627538841</v>
      </c>
      <c r="P31" s="459">
        <v>8.6979048536044665</v>
      </c>
      <c r="Q31" s="459">
        <v>6.81683301580125</v>
      </c>
      <c r="R31" s="459">
        <v>6.1858394308860261</v>
      </c>
      <c r="S31" s="459">
        <v>8.2266334543156034</v>
      </c>
      <c r="T31" s="460">
        <v>8.4924140003543265</v>
      </c>
      <c r="U31" s="460">
        <v>7.2685801568238633</v>
      </c>
      <c r="V31" s="460">
        <v>6.466936585097808</v>
      </c>
      <c r="W31" s="460">
        <v>8.588709409385638</v>
      </c>
      <c r="X31" s="460">
        <v>8.851300223788602</v>
      </c>
    </row>
    <row r="32" spans="3:28" ht="13" customHeight="1" x14ac:dyDescent="0.3">
      <c r="C32" s="449" t="s">
        <v>698</v>
      </c>
      <c r="E32" s="459" t="s">
        <v>703</v>
      </c>
      <c r="F32" s="459" t="s">
        <v>703</v>
      </c>
      <c r="G32" s="459" t="s">
        <v>703</v>
      </c>
      <c r="H32" s="459">
        <v>9.5332421787449579</v>
      </c>
      <c r="I32" s="459">
        <v>6.9069895901522793</v>
      </c>
      <c r="J32" s="459">
        <v>6.7271192859817335</v>
      </c>
      <c r="K32" s="459">
        <v>8.7312345038289614</v>
      </c>
      <c r="L32" s="459">
        <v>9.0030912679174673</v>
      </c>
      <c r="M32" s="459">
        <v>7.6327083799574114</v>
      </c>
      <c r="N32" s="459">
        <v>6.5341919018672066</v>
      </c>
      <c r="O32" s="459">
        <v>8.4772450690684114</v>
      </c>
      <c r="P32" s="459">
        <v>8.4680996355803124</v>
      </c>
      <c r="Q32" s="459">
        <v>6.5393402973810835</v>
      </c>
      <c r="R32" s="459">
        <v>5.7915608201708109</v>
      </c>
      <c r="S32" s="459">
        <v>8.3383715904277302</v>
      </c>
      <c r="T32" s="460">
        <v>8.2938762203506808</v>
      </c>
      <c r="U32" s="460">
        <v>6.9282275358835852</v>
      </c>
      <c r="V32" s="460">
        <v>6.1269670213971823</v>
      </c>
      <c r="W32" s="460">
        <v>8.5256044372268338</v>
      </c>
      <c r="X32" s="460">
        <v>8.7214479912882261</v>
      </c>
    </row>
    <row r="33" spans="3:28" ht="13" customHeight="1" x14ac:dyDescent="0.3">
      <c r="C33" s="449" t="s">
        <v>699</v>
      </c>
      <c r="E33" s="459" t="s">
        <v>703</v>
      </c>
      <c r="F33" s="459" t="s">
        <v>703</v>
      </c>
      <c r="G33" s="459" t="s">
        <v>703</v>
      </c>
      <c r="H33" s="459">
        <v>9.4830869342104691</v>
      </c>
      <c r="I33" s="459">
        <v>6.6278035090519829</v>
      </c>
      <c r="J33" s="459">
        <v>6.4117342299157443</v>
      </c>
      <c r="K33" s="459">
        <v>8.4102871342609991</v>
      </c>
      <c r="L33" s="459">
        <v>9.1399884845899493</v>
      </c>
      <c r="M33" s="459">
        <v>7.8978575441572403</v>
      </c>
      <c r="N33" s="459">
        <v>7.0704861866248834</v>
      </c>
      <c r="O33" s="459">
        <v>8.9696653143690508</v>
      </c>
      <c r="P33" s="459">
        <v>8.7609314268285576</v>
      </c>
      <c r="Q33" s="459">
        <v>6.8492213868131531</v>
      </c>
      <c r="R33" s="459">
        <v>6.3095610522842795</v>
      </c>
      <c r="S33" s="459">
        <v>8.4319538363354951</v>
      </c>
      <c r="T33" s="460">
        <v>8.4898343399579339</v>
      </c>
      <c r="U33" s="460">
        <v>7.2711623943213262</v>
      </c>
      <c r="V33" s="460">
        <v>6.5869923259590299</v>
      </c>
      <c r="W33" s="460">
        <v>8.6945259114027973</v>
      </c>
      <c r="X33" s="460">
        <v>8.8650682382432837</v>
      </c>
    </row>
    <row r="34" spans="3:28" ht="13" customHeight="1" x14ac:dyDescent="0.3">
      <c r="C34" s="449" t="s">
        <v>700</v>
      </c>
      <c r="E34" s="459" t="s">
        <v>703</v>
      </c>
      <c r="F34" s="459" t="s">
        <v>703</v>
      </c>
      <c r="G34" s="459" t="s">
        <v>703</v>
      </c>
      <c r="H34" s="459">
        <v>9.5461890267544103</v>
      </c>
      <c r="I34" s="459">
        <v>6.6278035090519829</v>
      </c>
      <c r="J34" s="459">
        <v>6.4117342299157443</v>
      </c>
      <c r="K34" s="459">
        <v>8.41302814690963</v>
      </c>
      <c r="L34" s="459">
        <v>9.1399884845899493</v>
      </c>
      <c r="M34" s="459">
        <v>7.8978575441572403</v>
      </c>
      <c r="N34" s="459">
        <v>6.9497613435263164</v>
      </c>
      <c r="O34" s="459">
        <v>8.8752375322839487</v>
      </c>
      <c r="P34" s="459">
        <v>8.6515811059785932</v>
      </c>
      <c r="Q34" s="459">
        <v>6.5617094596227012</v>
      </c>
      <c r="R34" s="459">
        <v>6.0136416639600485</v>
      </c>
      <c r="S34" s="459">
        <v>8.3658202160959654</v>
      </c>
      <c r="T34" s="460">
        <v>8.1748726730761323</v>
      </c>
      <c r="U34" s="460">
        <v>7.0787170065773859</v>
      </c>
      <c r="V34" s="460">
        <v>6.4026291579990593</v>
      </c>
      <c r="W34" s="460">
        <v>8.5211335602013953</v>
      </c>
      <c r="X34" s="460">
        <v>8.5405369375063032</v>
      </c>
    </row>
    <row r="35" spans="3:28" ht="13" customHeight="1" x14ac:dyDescent="0.3">
      <c r="C35" s="449" t="s">
        <v>701</v>
      </c>
      <c r="E35" s="459" t="s">
        <v>703</v>
      </c>
      <c r="F35" s="459" t="s">
        <v>703</v>
      </c>
      <c r="G35" s="459" t="s">
        <v>703</v>
      </c>
      <c r="H35" s="459">
        <v>9.5461890267544103</v>
      </c>
      <c r="I35" s="459">
        <v>6.6278035090519829</v>
      </c>
      <c r="J35" s="459">
        <v>6.4117342299157443</v>
      </c>
      <c r="K35" s="459">
        <v>8.41302814690963</v>
      </c>
      <c r="L35" s="459">
        <v>9.1399884845899493</v>
      </c>
      <c r="M35" s="459">
        <v>7.8978575441572403</v>
      </c>
      <c r="N35" s="459">
        <v>6.6477417474264628</v>
      </c>
      <c r="O35" s="459">
        <v>8.5495146357494853</v>
      </c>
      <c r="P35" s="459">
        <v>8.9750790596008301</v>
      </c>
      <c r="Q35" s="459">
        <v>7.3169631905025909</v>
      </c>
      <c r="R35" s="459">
        <v>6.5388276760394755</v>
      </c>
      <c r="S35" s="459">
        <v>8.5457387903462294</v>
      </c>
      <c r="T35" s="460">
        <v>8.9575328308603037</v>
      </c>
      <c r="U35" s="460">
        <v>7.7437673568725582</v>
      </c>
      <c r="V35" s="460">
        <v>6.8461676639514968</v>
      </c>
      <c r="W35" s="460">
        <v>8.8413053595501445</v>
      </c>
      <c r="X35" s="460">
        <v>9.2151844916136376</v>
      </c>
    </row>
    <row r="36" spans="3:28" ht="13" customHeight="1" x14ac:dyDescent="0.3">
      <c r="C36" s="456" t="s">
        <v>87</v>
      </c>
      <c r="E36" s="461">
        <v>6.7861827551781593</v>
      </c>
      <c r="F36" s="461">
        <v>7.1185597700997638</v>
      </c>
      <c r="G36" s="461">
        <v>8.5137448204530255</v>
      </c>
      <c r="H36" s="461">
        <v>8.7031312521700279</v>
      </c>
      <c r="I36" s="461">
        <v>5.94568958775311</v>
      </c>
      <c r="J36" s="461">
        <v>6.6665242192438612</v>
      </c>
      <c r="K36" s="461">
        <v>8.4440489528742297</v>
      </c>
      <c r="L36" s="461">
        <v>8.5244478898378997</v>
      </c>
      <c r="M36" s="461">
        <v>7.3542291868144076</v>
      </c>
      <c r="N36" s="461">
        <v>6.8768520964626951</v>
      </c>
      <c r="O36" s="461">
        <v>8.4433852135926593</v>
      </c>
      <c r="P36" s="461">
        <v>8.3382067053750522</v>
      </c>
      <c r="Q36" s="461">
        <v>6.9094483234008814</v>
      </c>
      <c r="R36" s="461">
        <v>6.5623524943485902</v>
      </c>
      <c r="S36" s="461">
        <v>8.2608493398065157</v>
      </c>
      <c r="T36" s="461">
        <v>7.9908583529167716</v>
      </c>
      <c r="U36" s="461">
        <v>7.3505116133759936</v>
      </c>
      <c r="V36" s="461">
        <v>6.7027549663104073</v>
      </c>
      <c r="W36" s="461">
        <v>8.3183984065758327</v>
      </c>
      <c r="X36" s="461">
        <v>8.4232994384081117</v>
      </c>
      <c r="Y36" s="461"/>
      <c r="Z36" s="461"/>
      <c r="AA36" s="461"/>
      <c r="AB36" s="461"/>
    </row>
    <row r="37" spans="3:28" ht="13" customHeight="1" x14ac:dyDescent="0.3">
      <c r="C37" s="458"/>
    </row>
    <row r="38" spans="3:28" ht="13" customHeight="1" x14ac:dyDescent="0.3">
      <c r="C38" s="458"/>
    </row>
    <row r="39" spans="3:28" ht="13" customHeight="1" x14ac:dyDescent="0.3">
      <c r="C39" s="549" t="s">
        <v>704</v>
      </c>
      <c r="E39" s="550" t="s">
        <v>65</v>
      </c>
      <c r="F39" s="550" t="s">
        <v>66</v>
      </c>
      <c r="G39" s="550" t="s">
        <v>67</v>
      </c>
      <c r="H39" s="550" t="s">
        <v>68</v>
      </c>
      <c r="I39" s="550" t="s">
        <v>69</v>
      </c>
      <c r="J39" s="550" t="s">
        <v>70</v>
      </c>
      <c r="K39" s="550" t="s">
        <v>71</v>
      </c>
      <c r="L39" s="550" t="s">
        <v>72</v>
      </c>
      <c r="M39" s="550" t="s">
        <v>73</v>
      </c>
      <c r="N39" s="550" t="s">
        <v>74</v>
      </c>
      <c r="O39" s="550" t="s">
        <v>75</v>
      </c>
      <c r="P39" s="550" t="s">
        <v>76</v>
      </c>
      <c r="Q39" s="550" t="s">
        <v>77</v>
      </c>
      <c r="R39" s="550" t="s">
        <v>78</v>
      </c>
      <c r="S39" s="550" t="s">
        <v>79</v>
      </c>
      <c r="T39" s="550" t="s">
        <v>80</v>
      </c>
      <c r="U39" s="550" t="s">
        <v>81</v>
      </c>
      <c r="V39" s="550" t="s">
        <v>82</v>
      </c>
      <c r="W39" s="550" t="s">
        <v>83</v>
      </c>
      <c r="X39" s="550" t="s">
        <v>685</v>
      </c>
      <c r="Y39" s="550" t="s">
        <v>686</v>
      </c>
      <c r="Z39" s="550" t="s">
        <v>687</v>
      </c>
      <c r="AA39" s="550" t="s">
        <v>688</v>
      </c>
      <c r="AB39" s="550" t="s">
        <v>689</v>
      </c>
    </row>
    <row r="40" spans="3:28" ht="13" customHeight="1" x14ac:dyDescent="0.3">
      <c r="C40" s="449" t="s">
        <v>690</v>
      </c>
      <c r="E40" s="462">
        <v>0.96326350788380521</v>
      </c>
      <c r="F40" s="462">
        <v>0.96605266814412349</v>
      </c>
      <c r="G40" s="462">
        <v>0.98178690087803488</v>
      </c>
      <c r="H40" s="462">
        <v>0.98196885344528018</v>
      </c>
      <c r="I40" s="462">
        <v>0.9677195204254555</v>
      </c>
      <c r="J40" s="462">
        <v>0.97198681540354459</v>
      </c>
      <c r="K40" s="462">
        <v>0.97211391042231521</v>
      </c>
      <c r="L40" s="462">
        <v>0.9725039907627635</v>
      </c>
      <c r="M40" s="462">
        <v>0.9640778814201002</v>
      </c>
      <c r="N40" s="462">
        <v>0.97848278931271393</v>
      </c>
      <c r="O40" s="462">
        <v>0.97566169176926854</v>
      </c>
      <c r="P40" s="462">
        <v>0.97664970833630782</v>
      </c>
      <c r="Q40" s="462">
        <v>0.97775474436173793</v>
      </c>
      <c r="R40" s="462">
        <v>0.96807698806438813</v>
      </c>
      <c r="S40" s="462">
        <v>0.97485579854151228</v>
      </c>
      <c r="T40" s="463">
        <v>0.97693125000178527</v>
      </c>
      <c r="U40" s="463">
        <v>0.96581897335077727</v>
      </c>
      <c r="V40" s="463">
        <v>0.97320846203073885</v>
      </c>
      <c r="W40" s="463">
        <v>0.97370931761735013</v>
      </c>
      <c r="X40" s="463">
        <v>0.97403506451306288</v>
      </c>
    </row>
    <row r="41" spans="3:28" ht="13" customHeight="1" x14ac:dyDescent="0.3">
      <c r="C41" s="449" t="s">
        <v>691</v>
      </c>
      <c r="E41" s="462">
        <v>0.91383415669589851</v>
      </c>
      <c r="F41" s="462">
        <v>0.93931920010879888</v>
      </c>
      <c r="G41" s="462">
        <v>0.97556663327705795</v>
      </c>
      <c r="H41" s="462">
        <v>0.97709930552256974</v>
      </c>
      <c r="I41" s="462">
        <v>0.96987931886072487</v>
      </c>
      <c r="J41" s="462">
        <v>0.96611342736176553</v>
      </c>
      <c r="K41" s="462">
        <v>0.9689854910772846</v>
      </c>
      <c r="L41" s="462">
        <v>0.97425145132941493</v>
      </c>
      <c r="M41" s="462">
        <v>0.96604613287624341</v>
      </c>
      <c r="N41" s="462">
        <v>0.9632275780784908</v>
      </c>
      <c r="O41" s="462">
        <v>0.95355987504234019</v>
      </c>
      <c r="P41" s="462">
        <v>0.96678615750598751</v>
      </c>
      <c r="Q41" s="462">
        <v>0.9753462489463206</v>
      </c>
      <c r="R41" s="462">
        <v>0.94555275456718568</v>
      </c>
      <c r="S41" s="462">
        <v>0.97428065424817623</v>
      </c>
      <c r="T41" s="463">
        <v>0.97645261875321676</v>
      </c>
      <c r="U41" s="463">
        <v>0.96795420841909241</v>
      </c>
      <c r="V41" s="463">
        <v>0.96885491659623868</v>
      </c>
      <c r="W41" s="463">
        <v>0.96715622520429823</v>
      </c>
      <c r="X41" s="463">
        <v>0.97784866485166255</v>
      </c>
    </row>
    <row r="42" spans="3:28" ht="13" customHeight="1" x14ac:dyDescent="0.3">
      <c r="C42" s="449" t="s">
        <v>692</v>
      </c>
      <c r="E42" s="462">
        <v>0.96900145021098405</v>
      </c>
      <c r="F42" s="462">
        <v>0.97941161796424769</v>
      </c>
      <c r="G42" s="462">
        <v>0.97773875983206038</v>
      </c>
      <c r="H42" s="462">
        <v>0.97693308386568067</v>
      </c>
      <c r="I42" s="462">
        <v>0.98407598266441598</v>
      </c>
      <c r="J42" s="462">
        <v>0.97531316328972584</v>
      </c>
      <c r="K42" s="462">
        <v>0.98383250728556437</v>
      </c>
      <c r="L42" s="462">
        <v>0.9707822007909247</v>
      </c>
      <c r="M42" s="462">
        <v>0.96200800318466995</v>
      </c>
      <c r="N42" s="462">
        <v>0.96665918821885866</v>
      </c>
      <c r="O42" s="462">
        <v>0.95641023674191272</v>
      </c>
      <c r="P42" s="462">
        <v>0.9602433239499818</v>
      </c>
      <c r="Q42" s="462">
        <v>0.95201284482813719</v>
      </c>
      <c r="R42" s="462">
        <v>0.96253300688734211</v>
      </c>
      <c r="S42" s="462">
        <v>0.96377260740889015</v>
      </c>
      <c r="T42" s="463">
        <v>0.96485899003474063</v>
      </c>
      <c r="U42" s="463">
        <v>0.95585403186187412</v>
      </c>
      <c r="V42" s="463">
        <v>0.96227320614871814</v>
      </c>
      <c r="W42" s="463">
        <v>0.96258425388133317</v>
      </c>
      <c r="X42" s="463">
        <v>0.96682609435281708</v>
      </c>
    </row>
    <row r="43" spans="3:28" ht="13" customHeight="1" x14ac:dyDescent="0.3">
      <c r="C43" s="449" t="s">
        <v>693</v>
      </c>
      <c r="E43" s="462">
        <v>0.94002553484299112</v>
      </c>
      <c r="F43" s="462">
        <v>0.96136809576425575</v>
      </c>
      <c r="G43" s="462">
        <v>0.97919155453817674</v>
      </c>
      <c r="H43" s="462">
        <v>0.97863471306576999</v>
      </c>
      <c r="I43" s="462">
        <v>0.96813708858994341</v>
      </c>
      <c r="J43" s="462">
        <v>0.97834848466196234</v>
      </c>
      <c r="K43" s="462">
        <v>0.98058372827084817</v>
      </c>
      <c r="L43" s="462">
        <v>0.9793909987657452</v>
      </c>
      <c r="M43" s="462">
        <v>0.96758880669044123</v>
      </c>
      <c r="N43" s="462">
        <v>0.97261843146694882</v>
      </c>
      <c r="O43" s="462">
        <v>0.97472156467847526</v>
      </c>
      <c r="P43" s="462">
        <v>0.91032703655124037</v>
      </c>
      <c r="Q43" s="462">
        <v>0.89368722098362119</v>
      </c>
      <c r="R43" s="462">
        <v>0.870942218372455</v>
      </c>
      <c r="S43" s="462">
        <v>0.92670707686034881</v>
      </c>
      <c r="T43" s="463">
        <v>0.91516139476722025</v>
      </c>
      <c r="U43" s="463">
        <v>0.86654891794961364</v>
      </c>
      <c r="V43" s="463">
        <v>0.89181157121664445</v>
      </c>
      <c r="W43" s="463">
        <v>0.87522272022364478</v>
      </c>
      <c r="X43" s="463">
        <v>0.9055418150762663</v>
      </c>
    </row>
    <row r="44" spans="3:28" ht="13" customHeight="1" x14ac:dyDescent="0.3">
      <c r="C44" s="449" t="s">
        <v>696</v>
      </c>
      <c r="E44" s="462" t="s">
        <v>703</v>
      </c>
      <c r="F44" s="462" t="s">
        <v>703</v>
      </c>
      <c r="G44" s="462" t="s">
        <v>703</v>
      </c>
      <c r="H44" s="462" t="s">
        <v>703</v>
      </c>
      <c r="I44" s="462" t="s">
        <v>703</v>
      </c>
      <c r="J44" s="462">
        <v>0.95999997854232788</v>
      </c>
      <c r="K44" s="462">
        <v>0.96403260691010428</v>
      </c>
      <c r="L44" s="462">
        <v>0.97708720041681896</v>
      </c>
      <c r="M44" s="462">
        <v>0.93131188179055846</v>
      </c>
      <c r="N44" s="462">
        <v>0.98473173748333376</v>
      </c>
      <c r="O44" s="462">
        <v>0.95908015399523405</v>
      </c>
      <c r="P44" s="462">
        <v>0.96934403932612878</v>
      </c>
      <c r="Q44" s="462">
        <v>0.96033086644278631</v>
      </c>
      <c r="R44" s="462">
        <v>0.9661875250902805</v>
      </c>
      <c r="S44" s="462">
        <v>0.9704229614656904</v>
      </c>
      <c r="T44" s="463">
        <v>0.97251907914229063</v>
      </c>
      <c r="U44" s="463">
        <v>0.96466235874427686</v>
      </c>
      <c r="V44" s="463">
        <v>0.97066635237709042</v>
      </c>
      <c r="W44" s="463">
        <v>0.96927011306971722</v>
      </c>
      <c r="X44" s="463">
        <v>0.97135835513472557</v>
      </c>
    </row>
    <row r="45" spans="3:28" ht="13" customHeight="1" x14ac:dyDescent="0.3">
      <c r="C45" s="449" t="s">
        <v>694</v>
      </c>
      <c r="E45" s="462">
        <v>0.98151731366710604</v>
      </c>
      <c r="F45" s="462">
        <v>0.98003846737629796</v>
      </c>
      <c r="G45" s="462">
        <v>0.98380429347461507</v>
      </c>
      <c r="H45" s="462">
        <v>0.99225592339847901</v>
      </c>
      <c r="I45" s="462">
        <v>0.96407292875518946</v>
      </c>
      <c r="J45" s="462">
        <v>0.9833000198953179</v>
      </c>
      <c r="K45" s="462">
        <v>0.98159752348447782</v>
      </c>
      <c r="L45" s="462">
        <v>0.98937717590516605</v>
      </c>
      <c r="M45" s="462">
        <v>0.97929478922510527</v>
      </c>
      <c r="N45" s="462">
        <v>0.98236984276509542</v>
      </c>
      <c r="O45" s="462">
        <v>0.96888018405007659</v>
      </c>
      <c r="P45" s="462">
        <v>0.97654821274136427</v>
      </c>
      <c r="Q45" s="462">
        <v>0.97167326483300076</v>
      </c>
      <c r="R45" s="462">
        <v>0.97316066485823904</v>
      </c>
      <c r="S45" s="462">
        <v>0.97592076145641871</v>
      </c>
      <c r="T45" s="463">
        <v>0.98035497936565319</v>
      </c>
      <c r="U45" s="463">
        <v>0.96603528779696635</v>
      </c>
      <c r="V45" s="463">
        <v>0.97004871893010725</v>
      </c>
      <c r="W45" s="463">
        <v>0.9711448630520304</v>
      </c>
      <c r="X45" s="463">
        <v>0.97951127070447674</v>
      </c>
    </row>
    <row r="46" spans="3:28" ht="13" customHeight="1" x14ac:dyDescent="0.3">
      <c r="C46" s="449" t="s">
        <v>695</v>
      </c>
      <c r="E46" s="462">
        <v>0.97730388586167927</v>
      </c>
      <c r="F46" s="462">
        <v>0.97731268869869881</v>
      </c>
      <c r="G46" s="462">
        <v>0.98282563367831544</v>
      </c>
      <c r="H46" s="462">
        <v>0.9783697681150576</v>
      </c>
      <c r="I46" s="462">
        <v>0.96885084068818828</v>
      </c>
      <c r="J46" s="462">
        <v>0.97846617459595864</v>
      </c>
      <c r="K46" s="462">
        <v>0.98563825797991489</v>
      </c>
      <c r="L46" s="462">
        <v>0.98528442834166508</v>
      </c>
      <c r="M46" s="462">
        <v>0.97158367363391107</v>
      </c>
      <c r="N46" s="462">
        <v>0.96941509859247521</v>
      </c>
      <c r="O46" s="462">
        <v>0.9619331993162632</v>
      </c>
      <c r="P46" s="462">
        <v>0.95318769933520908</v>
      </c>
      <c r="Q46" s="462">
        <v>0.96089617411295569</v>
      </c>
      <c r="R46" s="462">
        <v>0.96736433479812123</v>
      </c>
      <c r="S46" s="462">
        <v>0.9722587483516637</v>
      </c>
      <c r="T46" s="463">
        <v>0.97129018064858264</v>
      </c>
      <c r="U46" s="463">
        <v>0.96883677509095933</v>
      </c>
      <c r="V46" s="463">
        <v>0.97294987388729359</v>
      </c>
      <c r="W46" s="463">
        <v>0.97017484798551157</v>
      </c>
      <c r="X46" s="463">
        <v>0.97165375418853062</v>
      </c>
    </row>
    <row r="47" spans="3:28" ht="13" customHeight="1" x14ac:dyDescent="0.3">
      <c r="C47" s="449" t="s">
        <v>697</v>
      </c>
      <c r="E47" s="462" t="s">
        <v>703</v>
      </c>
      <c r="F47" s="462" t="s">
        <v>703</v>
      </c>
      <c r="G47" s="462" t="s">
        <v>703</v>
      </c>
      <c r="H47" s="462" t="s">
        <v>703</v>
      </c>
      <c r="I47" s="462" t="s">
        <v>703</v>
      </c>
      <c r="J47" s="462" t="s">
        <v>703</v>
      </c>
      <c r="K47" s="462">
        <v>0.93234408772172006</v>
      </c>
      <c r="L47" s="462">
        <v>0.95132841451519601</v>
      </c>
      <c r="M47" s="462">
        <v>0.92714433102792004</v>
      </c>
      <c r="N47" s="462">
        <v>0.95882736645528588</v>
      </c>
      <c r="O47" s="462">
        <v>0.95138556753867964</v>
      </c>
      <c r="P47" s="462">
        <v>0.96935559924698944</v>
      </c>
      <c r="Q47" s="462">
        <v>0.96112690758014074</v>
      </c>
      <c r="R47" s="462">
        <v>0.96744230200215731</v>
      </c>
      <c r="S47" s="462">
        <v>0.9725000262260437</v>
      </c>
      <c r="T47" s="463">
        <v>0.97245220842794122</v>
      </c>
      <c r="U47" s="463">
        <v>0.95904068725120628</v>
      </c>
      <c r="V47" s="463">
        <v>0.96860997230968282</v>
      </c>
      <c r="W47" s="463">
        <v>0.96725744439988981</v>
      </c>
      <c r="X47" s="463">
        <v>0.971476455041276</v>
      </c>
    </row>
    <row r="48" spans="3:28" ht="13" customHeight="1" x14ac:dyDescent="0.3">
      <c r="C48" s="449" t="s">
        <v>698</v>
      </c>
      <c r="E48" s="462" t="s">
        <v>703</v>
      </c>
      <c r="F48" s="462" t="s">
        <v>703</v>
      </c>
      <c r="G48" s="462" t="s">
        <v>703</v>
      </c>
      <c r="H48" s="462" t="s">
        <v>703</v>
      </c>
      <c r="I48" s="462" t="s">
        <v>703</v>
      </c>
      <c r="J48" s="462" t="s">
        <v>703</v>
      </c>
      <c r="K48" s="462">
        <v>0.92670082215402949</v>
      </c>
      <c r="L48" s="462">
        <v>0.95419195359167841</v>
      </c>
      <c r="M48" s="462">
        <v>0.93895392815272016</v>
      </c>
      <c r="N48" s="462">
        <v>0.95977108688144896</v>
      </c>
      <c r="O48" s="462">
        <v>0.9511099914493768</v>
      </c>
      <c r="P48" s="462">
        <v>0.96930394127317099</v>
      </c>
      <c r="Q48" s="462">
        <v>0.96168340477678516</v>
      </c>
      <c r="R48" s="462">
        <v>0.96589172901688036</v>
      </c>
      <c r="S48" s="462">
        <v>0.97183426599139755</v>
      </c>
      <c r="T48" s="463">
        <v>0.97674845159053802</v>
      </c>
      <c r="U48" s="463">
        <v>0.95723669164710579</v>
      </c>
      <c r="V48" s="463">
        <v>0.9693322940232002</v>
      </c>
      <c r="W48" s="463">
        <v>0.96813981067644406</v>
      </c>
      <c r="X48" s="463">
        <v>0.9713213508543761</v>
      </c>
    </row>
    <row r="49" spans="3:28" ht="13" customHeight="1" x14ac:dyDescent="0.3">
      <c r="C49" s="449" t="s">
        <v>699</v>
      </c>
      <c r="E49" s="462" t="s">
        <v>703</v>
      </c>
      <c r="F49" s="462" t="s">
        <v>703</v>
      </c>
      <c r="G49" s="462" t="s">
        <v>703</v>
      </c>
      <c r="H49" s="462" t="s">
        <v>703</v>
      </c>
      <c r="I49" s="462" t="s">
        <v>703</v>
      </c>
      <c r="J49" s="462" t="s">
        <v>703</v>
      </c>
      <c r="K49" s="462" t="s">
        <v>703</v>
      </c>
      <c r="L49" s="462" t="s">
        <v>703</v>
      </c>
      <c r="M49" s="462" t="s">
        <v>703</v>
      </c>
      <c r="N49" s="462" t="s">
        <v>703</v>
      </c>
      <c r="O49" s="462" t="s">
        <v>703</v>
      </c>
      <c r="P49" s="462" t="s">
        <v>703</v>
      </c>
      <c r="Q49" s="462">
        <v>0.91220097650181164</v>
      </c>
      <c r="R49" s="462">
        <v>0.97429352596804109</v>
      </c>
      <c r="S49" s="462">
        <v>0.98324913952661597</v>
      </c>
      <c r="T49" s="463">
        <v>0.98293484897599404</v>
      </c>
      <c r="U49" s="463">
        <v>0.94807552400261463</v>
      </c>
      <c r="V49" s="463">
        <v>0.97576344123070746</v>
      </c>
      <c r="W49" s="463">
        <v>0.97471053370206195</v>
      </c>
      <c r="X49" s="463">
        <v>0.9913807769596813</v>
      </c>
    </row>
    <row r="50" spans="3:28" ht="13" customHeight="1" x14ac:dyDescent="0.3">
      <c r="C50" s="449" t="s">
        <v>700</v>
      </c>
      <c r="E50" s="462" t="s">
        <v>703</v>
      </c>
      <c r="F50" s="462" t="s">
        <v>703</v>
      </c>
      <c r="G50" s="462" t="s">
        <v>703</v>
      </c>
      <c r="H50" s="462" t="s">
        <v>703</v>
      </c>
      <c r="I50" s="462" t="s">
        <v>703</v>
      </c>
      <c r="J50" s="462" t="s">
        <v>703</v>
      </c>
      <c r="K50" s="462" t="s">
        <v>703</v>
      </c>
      <c r="L50" s="462" t="s">
        <v>703</v>
      </c>
      <c r="M50" s="462" t="s">
        <v>703</v>
      </c>
      <c r="N50" s="462" t="s">
        <v>703</v>
      </c>
      <c r="O50" s="462" t="s">
        <v>703</v>
      </c>
      <c r="P50" s="462" t="s">
        <v>703</v>
      </c>
      <c r="Q50" s="462">
        <v>0.92487716674804688</v>
      </c>
      <c r="R50" s="462">
        <v>0.97384406347851182</v>
      </c>
      <c r="S50" s="462">
        <v>0.97959826659897098</v>
      </c>
      <c r="T50" s="463">
        <v>0.99097533847974695</v>
      </c>
      <c r="U50" s="463">
        <v>0.92735073334640927</v>
      </c>
      <c r="V50" s="463">
        <v>0.97101230360057256</v>
      </c>
      <c r="W50" s="463">
        <v>0.96993220628124399</v>
      </c>
      <c r="X50" s="463">
        <v>0.98648788132097409</v>
      </c>
    </row>
    <row r="51" spans="3:28" ht="13" customHeight="1" x14ac:dyDescent="0.3">
      <c r="C51" s="449" t="s">
        <v>701</v>
      </c>
      <c r="E51" s="462" t="s">
        <v>703</v>
      </c>
      <c r="F51" s="462" t="s">
        <v>703</v>
      </c>
      <c r="G51" s="462" t="s">
        <v>703</v>
      </c>
      <c r="H51" s="462" t="s">
        <v>703</v>
      </c>
      <c r="I51" s="462" t="s">
        <v>703</v>
      </c>
      <c r="J51" s="462" t="s">
        <v>703</v>
      </c>
      <c r="K51" s="462" t="s">
        <v>703</v>
      </c>
      <c r="L51" s="462" t="s">
        <v>703</v>
      </c>
      <c r="M51" s="462" t="s">
        <v>703</v>
      </c>
      <c r="N51" s="462" t="s">
        <v>703</v>
      </c>
      <c r="O51" s="462" t="s">
        <v>703</v>
      </c>
      <c r="P51" s="462" t="s">
        <v>703</v>
      </c>
      <c r="Q51" s="462">
        <v>0.92279154062271118</v>
      </c>
      <c r="R51" s="462">
        <v>0.98111897510486645</v>
      </c>
      <c r="S51" s="462">
        <v>0.98258682826290955</v>
      </c>
      <c r="T51" s="463">
        <v>0.98581978289977368</v>
      </c>
      <c r="U51" s="463">
        <v>0.969225576851103</v>
      </c>
      <c r="V51" s="463">
        <v>0.98089405706484023</v>
      </c>
      <c r="W51" s="463">
        <v>0.97780064899627472</v>
      </c>
      <c r="X51" s="463">
        <v>0.94276790968749835</v>
      </c>
    </row>
    <row r="52" spans="3:28" ht="13" customHeight="1" x14ac:dyDescent="0.3">
      <c r="C52" s="456" t="s">
        <v>87</v>
      </c>
      <c r="E52" s="464">
        <v>0.95248006626471393</v>
      </c>
      <c r="F52" s="464">
        <v>0.96333106999266982</v>
      </c>
      <c r="G52" s="464">
        <v>0.97991865912909792</v>
      </c>
      <c r="H52" s="464">
        <v>0.98076802209877667</v>
      </c>
      <c r="I52" s="464">
        <v>0.96959037403342352</v>
      </c>
      <c r="J52" s="464">
        <v>0.97388044561375331</v>
      </c>
      <c r="K52" s="464">
        <v>0.97605958396413495</v>
      </c>
      <c r="L52" s="464">
        <v>0.97658081792391283</v>
      </c>
      <c r="M52" s="464">
        <v>0.96181016792739482</v>
      </c>
      <c r="N52" s="464">
        <v>0.9722840927429266</v>
      </c>
      <c r="O52" s="464">
        <v>0.96531841057887502</v>
      </c>
      <c r="P52" s="464">
        <v>0.96131600506570203</v>
      </c>
      <c r="Q52" s="464">
        <v>0.95747309314216977</v>
      </c>
      <c r="R52" s="464">
        <v>0.95214379398772553</v>
      </c>
      <c r="S52" s="464">
        <v>0.96774630984100685</v>
      </c>
      <c r="T52" s="464">
        <v>0.96827171520308941</v>
      </c>
      <c r="U52" s="464">
        <v>0.94954519801259152</v>
      </c>
      <c r="V52" s="464">
        <v>0.96040412823773036</v>
      </c>
      <c r="W52" s="464">
        <v>0.95762506748270104</v>
      </c>
      <c r="X52" s="464">
        <v>0.96567954281107404</v>
      </c>
      <c r="Y52" s="464"/>
      <c r="Z52" s="464"/>
      <c r="AA52" s="464"/>
      <c r="AB52" s="464"/>
    </row>
    <row r="53" spans="3:28" ht="13" customHeight="1" x14ac:dyDescent="0.3">
      <c r="C53" s="458"/>
    </row>
    <row r="54" spans="3:28" ht="13" customHeight="1" x14ac:dyDescent="0.3">
      <c r="C54" s="458"/>
    </row>
    <row r="55" spans="3:28" ht="13" customHeight="1" x14ac:dyDescent="0.3">
      <c r="C55" s="549" t="s">
        <v>705</v>
      </c>
      <c r="E55" s="550">
        <v>44562</v>
      </c>
      <c r="F55" s="550">
        <v>44593</v>
      </c>
      <c r="G55" s="550">
        <v>44621</v>
      </c>
      <c r="H55" s="550">
        <v>44652</v>
      </c>
      <c r="I55" s="550">
        <v>44682</v>
      </c>
      <c r="J55" s="550">
        <v>44713</v>
      </c>
      <c r="K55" s="550">
        <v>44743</v>
      </c>
      <c r="L55" s="550">
        <v>44774</v>
      </c>
      <c r="M55" s="550">
        <v>44805</v>
      </c>
      <c r="N55" s="550">
        <v>44835</v>
      </c>
      <c r="O55" s="550">
        <v>44866</v>
      </c>
      <c r="P55" s="550">
        <v>44896</v>
      </c>
      <c r="Q55" s="550">
        <v>44927</v>
      </c>
      <c r="R55" s="550">
        <v>44958</v>
      </c>
      <c r="S55" s="550">
        <v>44986</v>
      </c>
      <c r="T55" s="550">
        <v>45017</v>
      </c>
      <c r="U55" s="550">
        <v>45047</v>
      </c>
      <c r="V55" s="550">
        <v>45078</v>
      </c>
      <c r="W55" s="550">
        <v>45108</v>
      </c>
      <c r="X55" s="550">
        <v>45139</v>
      </c>
      <c r="Y55" s="550">
        <v>45170</v>
      </c>
      <c r="Z55" s="550" t="s">
        <v>706</v>
      </c>
      <c r="AA55" s="550"/>
      <c r="AB55" s="550"/>
    </row>
    <row r="56" spans="3:28" ht="13" customHeight="1" x14ac:dyDescent="0.3">
      <c r="C56" s="449" t="s">
        <v>707</v>
      </c>
      <c r="E56" s="195">
        <v>414.7539220927419</v>
      </c>
      <c r="F56" s="195">
        <v>495.34211916964279</v>
      </c>
      <c r="G56" s="195">
        <v>393.03134037231177</v>
      </c>
      <c r="H56" s="195">
        <v>376.40433306388894</v>
      </c>
      <c r="I56" s="195">
        <v>411.24216129569891</v>
      </c>
      <c r="J56" s="195">
        <v>369.36195413749988</v>
      </c>
      <c r="K56" s="195">
        <v>588.500619701613</v>
      </c>
      <c r="L56" s="195">
        <v>646.32427091129034</v>
      </c>
      <c r="M56" s="195">
        <v>717.96463445972233</v>
      </c>
      <c r="N56" s="195">
        <v>734.2143398548385</v>
      </c>
      <c r="O56" s="195">
        <v>525.43207133888893</v>
      </c>
      <c r="P56" s="195">
        <v>585.08226263037636</v>
      </c>
      <c r="Q56" s="195">
        <v>539.59135634274196</v>
      </c>
      <c r="R56" s="195">
        <v>552.36503407738098</v>
      </c>
      <c r="S56" s="195">
        <v>411.51503329311009</v>
      </c>
      <c r="T56" s="195">
        <v>317.50675644722219</v>
      </c>
      <c r="U56" s="195">
        <v>420.2978424381721</v>
      </c>
      <c r="V56" s="195">
        <v>493.43390230534504</v>
      </c>
      <c r="W56" s="195">
        <v>595.29569514247316</v>
      </c>
      <c r="X56" s="195">
        <v>540.80751848387092</v>
      </c>
      <c r="Y56" s="195">
        <v>473.07141491435164</v>
      </c>
      <c r="Z56" s="195">
        <v>516.31272684729834</v>
      </c>
    </row>
    <row r="57" spans="3:28" ht="13" customHeight="1" x14ac:dyDescent="0.3">
      <c r="C57" s="449" t="s">
        <v>708</v>
      </c>
      <c r="E57" s="195">
        <v>529.04114555090473</v>
      </c>
      <c r="F57" s="195">
        <v>472.8400620181452</v>
      </c>
      <c r="G57" s="195">
        <v>417.08037486428225</v>
      </c>
      <c r="H57" s="195">
        <v>401.03392701342932</v>
      </c>
      <c r="I57" s="195">
        <v>454.47165206558435</v>
      </c>
      <c r="J57" s="195">
        <v>524.65775939984098</v>
      </c>
      <c r="K57" s="195">
        <v>583.74242593653264</v>
      </c>
      <c r="L57" s="195">
        <v>655.91080936519722</v>
      </c>
      <c r="M57" s="195">
        <v>704.55954062381488</v>
      </c>
      <c r="N57" s="195">
        <v>699.21241560125043</v>
      </c>
      <c r="O57" s="195">
        <v>680.47023759154365</v>
      </c>
      <c r="P57" s="195">
        <v>609.72282644812105</v>
      </c>
      <c r="Q57" s="195">
        <v>529.04114555090473</v>
      </c>
      <c r="R57" s="195">
        <v>472.84006201814537</v>
      </c>
      <c r="S57" s="195">
        <v>417.08037486428219</v>
      </c>
      <c r="T57" s="195">
        <v>401.03392701342915</v>
      </c>
      <c r="U57" s="195">
        <v>454.47165206558435</v>
      </c>
      <c r="V57" s="195">
        <v>524.65775939984098</v>
      </c>
      <c r="W57" s="195">
        <v>583.74242593653241</v>
      </c>
      <c r="X57" s="195">
        <v>655.91080936519722</v>
      </c>
      <c r="Y57" s="195">
        <v>704.55954062381511</v>
      </c>
      <c r="Z57" s="195">
        <v>561.6049227949452</v>
      </c>
    </row>
    <row r="58" spans="3:28" ht="13" customHeight="1" x14ac:dyDescent="0.3">
      <c r="C58" s="449" t="s">
        <v>709</v>
      </c>
      <c r="E58" s="195">
        <v>598.61234073421372</v>
      </c>
      <c r="F58" s="195">
        <v>534.9461742354199</v>
      </c>
      <c r="G58" s="195">
        <v>471.54135952509984</v>
      </c>
      <c r="H58" s="195">
        <v>453.52376698428583</v>
      </c>
      <c r="I58" s="195">
        <v>514.48737355578726</v>
      </c>
      <c r="J58" s="195">
        <v>593.97587938167521</v>
      </c>
      <c r="K58" s="195">
        <v>661.36566409584123</v>
      </c>
      <c r="L58" s="195">
        <v>743.44596902938997</v>
      </c>
      <c r="M58" s="195">
        <v>798.19206893365674</v>
      </c>
      <c r="N58" s="195">
        <v>792.008254184968</v>
      </c>
      <c r="O58" s="195">
        <v>770.46573202932632</v>
      </c>
      <c r="P58" s="195">
        <v>690.38524667567242</v>
      </c>
      <c r="Q58" s="195">
        <v>598.61234073421383</v>
      </c>
      <c r="R58" s="195">
        <v>534.94617423542002</v>
      </c>
      <c r="S58" s="195">
        <v>471.54135952509984</v>
      </c>
      <c r="T58" s="195">
        <v>453.52376698428571</v>
      </c>
      <c r="U58" s="195">
        <v>514.48737355578737</v>
      </c>
      <c r="V58" s="195">
        <v>593.97587938167521</v>
      </c>
      <c r="W58" s="195">
        <v>661.36566409584111</v>
      </c>
      <c r="X58" s="195">
        <v>743.44596902939008</v>
      </c>
      <c r="Y58" s="195">
        <v>798.19206893365674</v>
      </c>
      <c r="Z58" s="195">
        <v>635.86424312408292</v>
      </c>
    </row>
    <row r="59" spans="3:28" ht="13" customHeight="1" x14ac:dyDescent="0.3">
      <c r="C59" s="449" t="s">
        <v>710</v>
      </c>
      <c r="E59" s="195">
        <v>668.18353591752282</v>
      </c>
      <c r="F59" s="195">
        <v>597.05228645269472</v>
      </c>
      <c r="G59" s="195">
        <v>526.00234418591731</v>
      </c>
      <c r="H59" s="195">
        <v>506.01360695514245</v>
      </c>
      <c r="I59" s="195">
        <v>574.50309504599068</v>
      </c>
      <c r="J59" s="195">
        <v>663.29399936350944</v>
      </c>
      <c r="K59" s="195">
        <v>738.9889022551497</v>
      </c>
      <c r="L59" s="195">
        <v>830.98112869358272</v>
      </c>
      <c r="M59" s="195">
        <v>891.82459724349837</v>
      </c>
      <c r="N59" s="195">
        <v>884.80409276868579</v>
      </c>
      <c r="O59" s="195">
        <v>860.4612264671091</v>
      </c>
      <c r="P59" s="195">
        <v>771.04766690322401</v>
      </c>
      <c r="Q59" s="195">
        <v>668.18353591752293</v>
      </c>
      <c r="R59" s="195">
        <v>597.05228645269472</v>
      </c>
      <c r="S59" s="195">
        <v>526.00234418591731</v>
      </c>
      <c r="T59" s="195">
        <v>506.01360695514245</v>
      </c>
      <c r="U59" s="195">
        <v>574.50309504599045</v>
      </c>
      <c r="V59" s="195">
        <v>663.29399936350944</v>
      </c>
      <c r="W59" s="195">
        <v>738.98890225514947</v>
      </c>
      <c r="X59" s="195">
        <v>830.98112869358283</v>
      </c>
      <c r="Y59" s="195">
        <v>891.82459724349849</v>
      </c>
      <c r="Z59" s="195">
        <v>710.12356345322053</v>
      </c>
    </row>
    <row r="60" spans="3:28" ht="13" customHeight="1" x14ac:dyDescent="0.3">
      <c r="C60" s="449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</row>
    <row r="61" spans="3:28" ht="13" customHeight="1" x14ac:dyDescent="0.3">
      <c r="C61" s="449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</row>
    <row r="62" spans="3:28" ht="13" customHeight="1" x14ac:dyDescent="0.3">
      <c r="C62" s="549" t="s">
        <v>711</v>
      </c>
      <c r="E62" s="550" t="s">
        <v>712</v>
      </c>
      <c r="F62" s="550" t="s">
        <v>713</v>
      </c>
      <c r="G62" s="550" t="s">
        <v>714</v>
      </c>
      <c r="H62" s="550" t="s">
        <v>715</v>
      </c>
      <c r="I62" s="550" t="s">
        <v>716</v>
      </c>
      <c r="J62" s="550" t="s">
        <v>717</v>
      </c>
      <c r="K62" s="550" t="s">
        <v>718</v>
      </c>
      <c r="L62" s="550" t="s">
        <v>719</v>
      </c>
      <c r="M62" s="550" t="s">
        <v>720</v>
      </c>
      <c r="N62" s="550" t="s">
        <v>721</v>
      </c>
      <c r="O62" s="550" t="s">
        <v>722</v>
      </c>
      <c r="P62" s="550" t="s">
        <v>723</v>
      </c>
      <c r="Q62" s="550" t="s">
        <v>724</v>
      </c>
      <c r="R62" s="550"/>
      <c r="S62" s="550"/>
      <c r="T62" s="550"/>
      <c r="U62" s="550"/>
      <c r="V62" s="550"/>
      <c r="W62" s="550"/>
      <c r="X62" s="550"/>
      <c r="Y62" s="550"/>
      <c r="Z62" s="550"/>
      <c r="AA62" s="550"/>
      <c r="AB62" s="550"/>
    </row>
    <row r="63" spans="3:28" ht="13" customHeight="1" x14ac:dyDescent="0.3">
      <c r="C63" s="449">
        <v>2017</v>
      </c>
      <c r="E63" s="195">
        <v>277.4513669354838</v>
      </c>
      <c r="F63" s="195">
        <v>277.86424255952386</v>
      </c>
      <c r="G63" s="195">
        <v>277.4513669354838</v>
      </c>
      <c r="H63" s="195">
        <v>277.45136666666662</v>
      </c>
      <c r="I63" s="195">
        <v>277.4513669354838</v>
      </c>
      <c r="J63" s="195">
        <v>277.45136666666662</v>
      </c>
      <c r="K63" s="195">
        <v>277.4513669354838</v>
      </c>
      <c r="L63" s="195">
        <v>298.55136693548383</v>
      </c>
      <c r="M63" s="195">
        <v>298.55136666666664</v>
      </c>
      <c r="N63" s="195">
        <v>314.28403629032255</v>
      </c>
      <c r="O63" s="195">
        <v>315.66587499999997</v>
      </c>
      <c r="P63" s="195">
        <v>314.70179973118275</v>
      </c>
      <c r="Q63" s="195">
        <v>290.36057402153733</v>
      </c>
      <c r="R63" s="195"/>
      <c r="S63" s="195"/>
    </row>
    <row r="64" spans="3:28" ht="13" customHeight="1" x14ac:dyDescent="0.3">
      <c r="C64" s="449">
        <v>2018</v>
      </c>
      <c r="E64" s="195">
        <v>325.24136962365594</v>
      </c>
      <c r="F64" s="195">
        <v>348.45912946428564</v>
      </c>
      <c r="G64" s="195">
        <v>347.94136962365599</v>
      </c>
      <c r="H64" s="195">
        <v>318.0182916666667</v>
      </c>
      <c r="I64" s="195">
        <v>318.0182916666667</v>
      </c>
      <c r="J64" s="195">
        <v>318.0182916666667</v>
      </c>
      <c r="K64" s="195">
        <v>318.0182916666667</v>
      </c>
      <c r="L64" s="195">
        <v>318.0182916666667</v>
      </c>
      <c r="M64" s="195">
        <v>327.71829166666669</v>
      </c>
      <c r="N64" s="195">
        <v>327.47162768817208</v>
      </c>
      <c r="O64" s="195">
        <v>342.79676388888885</v>
      </c>
      <c r="P64" s="195">
        <v>343.0182916666667</v>
      </c>
      <c r="Q64" s="195">
        <v>329.39485849627715</v>
      </c>
      <c r="R64" s="195"/>
      <c r="S64" s="195"/>
    </row>
    <row r="65" spans="3:19" ht="13" customHeight="1" x14ac:dyDescent="0.3">
      <c r="C65" s="449">
        <v>2019</v>
      </c>
      <c r="E65" s="195">
        <v>350.40000000000003</v>
      </c>
      <c r="F65" s="195">
        <v>350.92142857142858</v>
      </c>
      <c r="G65" s="195">
        <v>350.40000000000003</v>
      </c>
      <c r="H65" s="195">
        <v>350.40000000000003</v>
      </c>
      <c r="I65" s="195">
        <v>350.40000000000003</v>
      </c>
      <c r="J65" s="195">
        <v>350.40000000000003</v>
      </c>
      <c r="K65" s="195">
        <v>350.40000000000003</v>
      </c>
      <c r="L65" s="195">
        <v>350.40000000000003</v>
      </c>
      <c r="M65" s="195">
        <v>350.40000000000003</v>
      </c>
      <c r="N65" s="195">
        <v>350.40000000000003</v>
      </c>
      <c r="O65" s="195">
        <v>350.40000000000003</v>
      </c>
      <c r="P65" s="195">
        <v>350.40000000000003</v>
      </c>
      <c r="Q65" s="195">
        <v>350.44345238095246</v>
      </c>
      <c r="R65" s="195"/>
      <c r="S65" s="195"/>
    </row>
    <row r="66" spans="3:19" ht="13" customHeight="1" x14ac:dyDescent="0.3">
      <c r="C66" s="449">
        <v>2020</v>
      </c>
      <c r="E66" s="195">
        <v>350.19072983870973</v>
      </c>
      <c r="F66" s="195">
        <v>369.89029741379312</v>
      </c>
      <c r="G66" s="195">
        <v>413.82531451612908</v>
      </c>
      <c r="H66" s="195">
        <v>444.28699583333344</v>
      </c>
      <c r="I66" s="195">
        <v>459.40844220430114</v>
      </c>
      <c r="J66" s="195">
        <v>458.13333194444454</v>
      </c>
      <c r="K66" s="195">
        <v>505.34828763440862</v>
      </c>
      <c r="L66" s="195">
        <v>521.48616935483869</v>
      </c>
      <c r="M66" s="195">
        <v>524.79563194444449</v>
      </c>
      <c r="N66" s="195">
        <v>534.68827553763435</v>
      </c>
      <c r="O66" s="195">
        <v>530.99334583333325</v>
      </c>
      <c r="P66" s="195">
        <v>521.1818924731183</v>
      </c>
      <c r="Q66" s="195">
        <v>469.51905954404083</v>
      </c>
      <c r="R66" s="195"/>
      <c r="S66" s="195"/>
    </row>
    <row r="67" spans="3:19" ht="13" customHeight="1" x14ac:dyDescent="0.3">
      <c r="C67" s="449">
        <v>2021</v>
      </c>
      <c r="E67" s="195">
        <v>516.70377822580633</v>
      </c>
      <c r="F67" s="195">
        <v>508.66716517857145</v>
      </c>
      <c r="G67" s="195">
        <v>497.5144529569892</v>
      </c>
      <c r="H67" s="195">
        <v>465.00597777777779</v>
      </c>
      <c r="I67" s="195">
        <v>473.45292876344087</v>
      </c>
      <c r="J67" s="195">
        <v>509.95607916666654</v>
      </c>
      <c r="K67" s="195">
        <v>520.55817069892476</v>
      </c>
      <c r="L67" s="195">
        <v>565.89931720430116</v>
      </c>
      <c r="M67" s="195">
        <v>590.63430000000005</v>
      </c>
      <c r="N67" s="195">
        <v>595.21338306451628</v>
      </c>
      <c r="O67" s="195">
        <v>610.39645694444459</v>
      </c>
      <c r="P67" s="195">
        <v>621.94147177419359</v>
      </c>
      <c r="Q67" s="195">
        <v>539.66195681296938</v>
      </c>
      <c r="R67" s="195"/>
      <c r="S67" s="195"/>
    </row>
    <row r="68" spans="3:19" ht="13" customHeight="1" x14ac:dyDescent="0.3">
      <c r="C68" s="449">
        <v>2022</v>
      </c>
      <c r="E68" s="195">
        <v>686.78263978494601</v>
      </c>
      <c r="F68" s="195">
        <v>596.35161753571424</v>
      </c>
      <c r="G68" s="195">
        <v>554.3597603870968</v>
      </c>
      <c r="H68" s="195">
        <v>551.88849355555567</v>
      </c>
      <c r="I68" s="195">
        <v>568.57934865591392</v>
      </c>
      <c r="J68" s="195">
        <v>597.45378883333331</v>
      </c>
      <c r="K68" s="195">
        <v>611.17009725806463</v>
      </c>
      <c r="L68" s="195">
        <v>641.62079951612907</v>
      </c>
      <c r="M68" s="195">
        <v>652.60737061111126</v>
      </c>
      <c r="N68" s="195">
        <v>646.76590079569905</v>
      </c>
      <c r="O68" s="195">
        <v>644.28531605555565</v>
      </c>
      <c r="P68" s="195">
        <v>619.99905516129047</v>
      </c>
      <c r="Q68" s="195">
        <v>614.32201567920083</v>
      </c>
      <c r="R68" s="195"/>
      <c r="S68" s="195"/>
    </row>
    <row r="69" spans="3:19" ht="13" customHeight="1" x14ac:dyDescent="0.3">
      <c r="C69" s="449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</row>
    <row r="70" spans="3:19" x14ac:dyDescent="0.3">
      <c r="C70" s="458"/>
    </row>
    <row r="71" spans="3:19" x14ac:dyDescent="0.3">
      <c r="C71" s="465" t="s">
        <v>725</v>
      </c>
      <c r="E71" s="466"/>
      <c r="F71" s="466"/>
      <c r="G71" s="466"/>
      <c r="H71" s="466"/>
      <c r="I71" s="466"/>
    </row>
    <row r="72" spans="3:19" x14ac:dyDescent="0.3">
      <c r="C72" s="191"/>
    </row>
    <row r="73" spans="3:19" ht="39" x14ac:dyDescent="0.3">
      <c r="C73" s="551" t="s">
        <v>726</v>
      </c>
      <c r="E73" s="552" t="s">
        <v>727</v>
      </c>
      <c r="F73" s="552" t="s">
        <v>728</v>
      </c>
      <c r="G73" s="552" t="s">
        <v>729</v>
      </c>
      <c r="H73" s="552" t="s">
        <v>730</v>
      </c>
      <c r="I73" s="552" t="s">
        <v>731</v>
      </c>
      <c r="K73" s="338"/>
      <c r="L73" s="338"/>
    </row>
    <row r="74" spans="3:19" x14ac:dyDescent="0.3">
      <c r="C74" s="467" t="s">
        <v>732</v>
      </c>
      <c r="E74" s="468"/>
      <c r="F74" s="468"/>
      <c r="G74" s="468"/>
      <c r="H74" s="468"/>
      <c r="I74" s="468"/>
      <c r="K74" s="338"/>
      <c r="L74" s="338"/>
    </row>
    <row r="75" spans="3:19" x14ac:dyDescent="0.3">
      <c r="C75" s="469" t="s">
        <v>733</v>
      </c>
      <c r="E75" s="469"/>
      <c r="F75" s="469"/>
      <c r="G75" s="469"/>
      <c r="H75" s="470">
        <v>1204.0799999999995</v>
      </c>
      <c r="I75" s="471">
        <v>614.50000000000011</v>
      </c>
      <c r="K75" s="338"/>
      <c r="L75" s="338"/>
    </row>
    <row r="76" spans="3:19" x14ac:dyDescent="0.3">
      <c r="C76" s="472" t="s">
        <v>734</v>
      </c>
      <c r="E76" s="130" t="s">
        <v>735</v>
      </c>
      <c r="F76" s="473">
        <v>42515</v>
      </c>
      <c r="G76" s="473">
        <v>54752</v>
      </c>
      <c r="H76" s="474">
        <v>31.364999999999998</v>
      </c>
      <c r="I76" s="474">
        <v>17.2</v>
      </c>
      <c r="K76" s="455"/>
      <c r="L76" s="475"/>
    </row>
    <row r="77" spans="3:19" s="452" customFormat="1" x14ac:dyDescent="0.3">
      <c r="C77" s="472" t="s">
        <v>736</v>
      </c>
      <c r="E77" s="130" t="s">
        <v>735</v>
      </c>
      <c r="F77" s="473">
        <v>42515</v>
      </c>
      <c r="G77" s="473">
        <v>54752</v>
      </c>
      <c r="H77" s="474">
        <v>31.364999999999998</v>
      </c>
      <c r="I77" s="474">
        <v>15.5</v>
      </c>
      <c r="J77" s="130"/>
      <c r="K77" s="455"/>
      <c r="L77" s="475"/>
    </row>
    <row r="78" spans="3:19" x14ac:dyDescent="0.3">
      <c r="C78" s="472" t="s">
        <v>737</v>
      </c>
      <c r="E78" s="130" t="s">
        <v>735</v>
      </c>
      <c r="F78" s="473">
        <v>42515</v>
      </c>
      <c r="G78" s="473">
        <v>54754</v>
      </c>
      <c r="H78" s="474">
        <v>31.364999999999998</v>
      </c>
      <c r="I78" s="474">
        <v>15.2</v>
      </c>
      <c r="K78" s="455"/>
      <c r="L78" s="475"/>
    </row>
    <row r="79" spans="3:19" x14ac:dyDescent="0.3">
      <c r="C79" s="472" t="s">
        <v>738</v>
      </c>
      <c r="E79" s="130" t="s">
        <v>735</v>
      </c>
      <c r="F79" s="473">
        <v>42515</v>
      </c>
      <c r="G79" s="473">
        <v>54755</v>
      </c>
      <c r="H79" s="474">
        <v>31.364999999999998</v>
      </c>
      <c r="I79" s="474">
        <v>15.7</v>
      </c>
      <c r="K79" s="338"/>
      <c r="L79" s="338"/>
    </row>
    <row r="80" spans="3:19" x14ac:dyDescent="0.3">
      <c r="C80" s="472" t="s">
        <v>739</v>
      </c>
      <c r="E80" s="130" t="s">
        <v>740</v>
      </c>
      <c r="F80" s="473">
        <v>42536</v>
      </c>
      <c r="G80" s="473">
        <v>54754</v>
      </c>
      <c r="H80" s="474">
        <v>31.364999999999998</v>
      </c>
      <c r="I80" s="474">
        <v>18.600000000000001</v>
      </c>
      <c r="K80" s="338"/>
      <c r="L80" s="476"/>
    </row>
    <row r="81" spans="3:12" x14ac:dyDescent="0.3">
      <c r="C81" s="472" t="s">
        <v>741</v>
      </c>
      <c r="E81" s="130" t="s">
        <v>735</v>
      </c>
      <c r="F81" s="473">
        <v>42515</v>
      </c>
      <c r="G81" s="473">
        <v>54754</v>
      </c>
      <c r="H81" s="474">
        <v>27.675000000000001</v>
      </c>
      <c r="I81" s="474">
        <v>15.2</v>
      </c>
      <c r="K81" s="338"/>
      <c r="L81" s="476"/>
    </row>
    <row r="82" spans="3:12" x14ac:dyDescent="0.3">
      <c r="C82" s="472" t="s">
        <v>742</v>
      </c>
      <c r="E82" s="130" t="s">
        <v>743</v>
      </c>
      <c r="F82" s="473">
        <v>42515</v>
      </c>
      <c r="G82" s="473">
        <v>54755</v>
      </c>
      <c r="H82" s="474">
        <v>25.83</v>
      </c>
      <c r="I82" s="474">
        <v>13</v>
      </c>
      <c r="K82" s="338"/>
      <c r="L82" s="338"/>
    </row>
    <row r="83" spans="3:12" x14ac:dyDescent="0.3">
      <c r="C83" s="472" t="s">
        <v>744</v>
      </c>
      <c r="E83" s="130" t="s">
        <v>740</v>
      </c>
      <c r="F83" s="473">
        <v>42542</v>
      </c>
      <c r="G83" s="473">
        <v>54754</v>
      </c>
      <c r="H83" s="474">
        <v>22.14</v>
      </c>
      <c r="I83" s="474">
        <v>11.7</v>
      </c>
      <c r="K83" s="338"/>
      <c r="L83" s="477"/>
    </row>
    <row r="84" spans="3:12" s="452" customFormat="1" x14ac:dyDescent="0.3">
      <c r="C84" s="472" t="s">
        <v>745</v>
      </c>
      <c r="E84" s="130" t="s">
        <v>746</v>
      </c>
      <c r="F84" s="473">
        <v>42649</v>
      </c>
      <c r="G84" s="473">
        <v>53508</v>
      </c>
      <c r="H84" s="474">
        <v>27.51</v>
      </c>
      <c r="I84" s="474">
        <v>14.1</v>
      </c>
      <c r="J84" s="130"/>
      <c r="K84" s="338"/>
      <c r="L84" s="477"/>
    </row>
    <row r="85" spans="3:12" x14ac:dyDescent="0.3">
      <c r="C85" s="472" t="s">
        <v>747</v>
      </c>
      <c r="E85" s="130" t="s">
        <v>748</v>
      </c>
      <c r="F85" s="473">
        <v>42641</v>
      </c>
      <c r="G85" s="473">
        <v>53516</v>
      </c>
      <c r="H85" s="474">
        <v>29.12</v>
      </c>
      <c r="I85" s="474">
        <v>15.5</v>
      </c>
      <c r="K85" s="338"/>
      <c r="L85" s="338"/>
    </row>
    <row r="86" spans="3:12" x14ac:dyDescent="0.3">
      <c r="C86" s="472" t="s">
        <v>749</v>
      </c>
      <c r="E86" s="130" t="s">
        <v>748</v>
      </c>
      <c r="F86" s="473">
        <v>42650</v>
      </c>
      <c r="G86" s="473">
        <v>53516</v>
      </c>
      <c r="H86" s="474">
        <v>27.51</v>
      </c>
      <c r="I86" s="474">
        <v>14.6</v>
      </c>
      <c r="K86" s="338"/>
      <c r="L86" s="338"/>
    </row>
    <row r="87" spans="3:12" x14ac:dyDescent="0.3">
      <c r="C87" s="472" t="s">
        <v>750</v>
      </c>
      <c r="E87" s="130" t="s">
        <v>746</v>
      </c>
      <c r="F87" s="473">
        <v>42641</v>
      </c>
      <c r="G87" s="473">
        <v>53512</v>
      </c>
      <c r="H87" s="474">
        <v>29.12</v>
      </c>
      <c r="I87" s="474">
        <v>15.5</v>
      </c>
      <c r="K87" s="338"/>
      <c r="L87" s="338"/>
    </row>
    <row r="88" spans="3:12" x14ac:dyDescent="0.3">
      <c r="C88" s="472" t="s">
        <v>751</v>
      </c>
      <c r="E88" s="130" t="s">
        <v>746</v>
      </c>
      <c r="F88" s="473">
        <v>42641</v>
      </c>
      <c r="G88" s="473">
        <v>53512</v>
      </c>
      <c r="H88" s="474">
        <v>27.75</v>
      </c>
      <c r="I88" s="474">
        <v>15.2</v>
      </c>
      <c r="K88" s="338"/>
      <c r="L88" s="338"/>
    </row>
    <row r="89" spans="3:12" x14ac:dyDescent="0.3">
      <c r="C89" s="472" t="s">
        <v>752</v>
      </c>
      <c r="E89" s="130" t="s">
        <v>753</v>
      </c>
      <c r="F89" s="473">
        <v>41310</v>
      </c>
      <c r="G89" s="473">
        <v>53143</v>
      </c>
      <c r="H89" s="474">
        <v>30</v>
      </c>
      <c r="I89" s="474">
        <v>10.84</v>
      </c>
      <c r="K89" s="338"/>
      <c r="L89" s="338"/>
    </row>
    <row r="90" spans="3:12" x14ac:dyDescent="0.3">
      <c r="C90" s="472" t="s">
        <v>754</v>
      </c>
      <c r="E90" s="130" t="s">
        <v>753</v>
      </c>
      <c r="F90" s="473">
        <v>41432</v>
      </c>
      <c r="G90" s="473">
        <v>53542</v>
      </c>
      <c r="H90" s="474">
        <v>18</v>
      </c>
      <c r="I90" s="474">
        <v>6.8</v>
      </c>
      <c r="K90" s="338"/>
      <c r="L90" s="338"/>
    </row>
    <row r="91" spans="3:12" s="452" customFormat="1" x14ac:dyDescent="0.3">
      <c r="C91" s="472" t="s">
        <v>755</v>
      </c>
      <c r="E91" s="130" t="s">
        <v>756</v>
      </c>
      <c r="F91" s="473">
        <v>41033</v>
      </c>
      <c r="G91" s="473">
        <v>53185</v>
      </c>
      <c r="H91" s="474">
        <v>19.8</v>
      </c>
      <c r="I91" s="474">
        <v>6.56</v>
      </c>
      <c r="J91" s="130"/>
      <c r="K91" s="338"/>
      <c r="L91" s="338"/>
    </row>
    <row r="92" spans="3:12" x14ac:dyDescent="0.3">
      <c r="C92" s="472" t="s">
        <v>757</v>
      </c>
      <c r="E92" s="130" t="s">
        <v>756</v>
      </c>
      <c r="F92" s="473">
        <v>41033</v>
      </c>
      <c r="G92" s="473">
        <v>53435</v>
      </c>
      <c r="H92" s="474">
        <v>19.8</v>
      </c>
      <c r="I92" s="474">
        <v>8.4</v>
      </c>
      <c r="K92" s="338"/>
      <c r="L92" s="338"/>
    </row>
    <row r="93" spans="3:12" x14ac:dyDescent="0.3">
      <c r="C93" s="472" t="s">
        <v>758</v>
      </c>
      <c r="E93" s="130" t="s">
        <v>759</v>
      </c>
      <c r="F93" s="473">
        <v>42431</v>
      </c>
      <c r="G93" s="473">
        <v>53556</v>
      </c>
      <c r="H93" s="474">
        <v>20</v>
      </c>
      <c r="I93" s="474">
        <v>9.6999999999999993</v>
      </c>
      <c r="K93" s="338"/>
      <c r="L93" s="338"/>
    </row>
    <row r="94" spans="3:12" x14ac:dyDescent="0.3">
      <c r="C94" s="472" t="s">
        <v>760</v>
      </c>
      <c r="E94" s="130" t="s">
        <v>759</v>
      </c>
      <c r="F94" s="473">
        <v>42431</v>
      </c>
      <c r="G94" s="473">
        <v>53542</v>
      </c>
      <c r="H94" s="474">
        <v>30</v>
      </c>
      <c r="I94" s="474">
        <v>13.5</v>
      </c>
      <c r="K94" s="338"/>
      <c r="L94" s="338"/>
    </row>
    <row r="95" spans="3:12" x14ac:dyDescent="0.3">
      <c r="C95" s="472" t="s">
        <v>761</v>
      </c>
      <c r="E95" s="130" t="s">
        <v>762</v>
      </c>
      <c r="F95" s="473">
        <v>42431</v>
      </c>
      <c r="G95" s="473">
        <v>53550</v>
      </c>
      <c r="H95" s="474">
        <v>30</v>
      </c>
      <c r="I95" s="474">
        <v>12.7</v>
      </c>
      <c r="K95" s="338"/>
      <c r="L95" s="338"/>
    </row>
    <row r="96" spans="3:12" s="452" customFormat="1" x14ac:dyDescent="0.3">
      <c r="C96" s="472" t="s">
        <v>763</v>
      </c>
      <c r="E96" s="130" t="s">
        <v>764</v>
      </c>
      <c r="F96" s="473">
        <v>42420</v>
      </c>
      <c r="G96" s="473">
        <v>53814</v>
      </c>
      <c r="H96" s="474">
        <v>28</v>
      </c>
      <c r="I96" s="474">
        <v>13.2</v>
      </c>
      <c r="J96" s="130"/>
      <c r="K96" s="338"/>
      <c r="L96" s="338"/>
    </row>
    <row r="97" spans="3:12" x14ac:dyDescent="0.3">
      <c r="C97" s="472" t="s">
        <v>765</v>
      </c>
      <c r="E97" s="130" t="s">
        <v>762</v>
      </c>
      <c r="F97" s="473">
        <v>42420</v>
      </c>
      <c r="G97" s="473">
        <v>53814</v>
      </c>
      <c r="H97" s="474">
        <v>20</v>
      </c>
      <c r="I97" s="474">
        <v>9</v>
      </c>
      <c r="K97" s="338"/>
      <c r="L97" s="338"/>
    </row>
    <row r="98" spans="3:12" x14ac:dyDescent="0.3">
      <c r="C98" s="472" t="s">
        <v>766</v>
      </c>
      <c r="E98" s="130" t="s">
        <v>767</v>
      </c>
      <c r="F98" s="473">
        <v>43076</v>
      </c>
      <c r="G98" s="473">
        <v>54880</v>
      </c>
      <c r="H98" s="474">
        <v>20</v>
      </c>
      <c r="I98" s="474">
        <v>11</v>
      </c>
      <c r="K98" s="338"/>
      <c r="L98" s="338"/>
    </row>
    <row r="99" spans="3:12" x14ac:dyDescent="0.3">
      <c r="C99" s="472" t="s">
        <v>768</v>
      </c>
      <c r="E99" s="130" t="s">
        <v>767</v>
      </c>
      <c r="F99" s="473">
        <v>43076</v>
      </c>
      <c r="G99" s="473">
        <v>54880</v>
      </c>
      <c r="H99" s="474">
        <v>20</v>
      </c>
      <c r="I99" s="474">
        <v>10.1</v>
      </c>
      <c r="K99" s="338"/>
      <c r="L99" s="338"/>
    </row>
    <row r="100" spans="3:12" s="452" customFormat="1" x14ac:dyDescent="0.3">
      <c r="C100" s="472" t="s">
        <v>769</v>
      </c>
      <c r="E100" s="130" t="s">
        <v>770</v>
      </c>
      <c r="F100" s="473">
        <v>43242</v>
      </c>
      <c r="G100" s="473">
        <v>54618</v>
      </c>
      <c r="H100" s="474">
        <v>28.6</v>
      </c>
      <c r="I100" s="474">
        <v>15.2</v>
      </c>
      <c r="J100" s="130"/>
      <c r="K100" s="338"/>
      <c r="L100" s="338"/>
    </row>
    <row r="101" spans="3:12" s="478" customFormat="1" ht="3" customHeight="1" x14ac:dyDescent="0.3">
      <c r="C101" s="472" t="s">
        <v>771</v>
      </c>
      <c r="E101" s="130" t="s">
        <v>756</v>
      </c>
      <c r="F101" s="473">
        <v>43242</v>
      </c>
      <c r="G101" s="473">
        <v>54622</v>
      </c>
      <c r="H101" s="474">
        <v>16.8</v>
      </c>
      <c r="I101" s="474">
        <v>9</v>
      </c>
      <c r="J101" s="130"/>
      <c r="K101" s="338"/>
      <c r="L101" s="338"/>
    </row>
    <row r="102" spans="3:12" x14ac:dyDescent="0.3">
      <c r="C102" s="472" t="s">
        <v>772</v>
      </c>
      <c r="E102" s="130" t="s">
        <v>753</v>
      </c>
      <c r="F102" s="473">
        <v>43461</v>
      </c>
      <c r="G102" s="473">
        <v>55285</v>
      </c>
      <c r="H102" s="474">
        <v>20</v>
      </c>
      <c r="I102" s="474">
        <v>9.6999999999999993</v>
      </c>
      <c r="K102" s="338"/>
      <c r="L102" s="338"/>
    </row>
    <row r="103" spans="3:12" x14ac:dyDescent="0.3">
      <c r="C103" s="472" t="s">
        <v>773</v>
      </c>
      <c r="E103" s="130" t="s">
        <v>770</v>
      </c>
      <c r="F103" s="473">
        <v>43470</v>
      </c>
      <c r="G103" s="473">
        <v>55020</v>
      </c>
      <c r="H103" s="474">
        <v>30.800000000000004</v>
      </c>
      <c r="I103" s="474">
        <v>15.3</v>
      </c>
      <c r="K103" s="338"/>
      <c r="L103" s="338"/>
    </row>
    <row r="104" spans="3:12" x14ac:dyDescent="0.3">
      <c r="C104" s="472" t="s">
        <v>774</v>
      </c>
      <c r="E104" s="130" t="s">
        <v>775</v>
      </c>
      <c r="F104" s="473">
        <v>43978</v>
      </c>
      <c r="G104" s="473">
        <v>56244</v>
      </c>
      <c r="H104" s="474">
        <v>37.800000000000004</v>
      </c>
      <c r="I104" s="474">
        <v>21.5</v>
      </c>
      <c r="K104" s="338"/>
      <c r="L104" s="338"/>
    </row>
    <row r="105" spans="3:12" x14ac:dyDescent="0.3">
      <c r="C105" s="472" t="s">
        <v>776</v>
      </c>
      <c r="E105" s="130" t="s">
        <v>775</v>
      </c>
      <c r="F105" s="473">
        <v>43915</v>
      </c>
      <c r="G105" s="473">
        <v>56244</v>
      </c>
      <c r="H105" s="474">
        <v>25.200000000000003</v>
      </c>
      <c r="I105" s="474">
        <v>13.3</v>
      </c>
      <c r="K105" s="338"/>
      <c r="L105" s="338"/>
    </row>
    <row r="106" spans="3:12" x14ac:dyDescent="0.3">
      <c r="C106" s="472" t="s">
        <v>777</v>
      </c>
      <c r="E106" s="130" t="s">
        <v>775</v>
      </c>
      <c r="F106" s="473">
        <v>43939</v>
      </c>
      <c r="G106" s="473">
        <v>56244</v>
      </c>
      <c r="H106" s="474">
        <v>37.800000000000004</v>
      </c>
      <c r="I106" s="474">
        <v>21.1</v>
      </c>
      <c r="K106" s="338"/>
      <c r="L106" s="338"/>
    </row>
    <row r="107" spans="3:12" x14ac:dyDescent="0.3">
      <c r="C107" s="472" t="s">
        <v>778</v>
      </c>
      <c r="E107" s="130" t="s">
        <v>775</v>
      </c>
      <c r="F107" s="473">
        <v>44020</v>
      </c>
      <c r="G107" s="473">
        <v>56329</v>
      </c>
      <c r="H107" s="474">
        <v>42</v>
      </c>
      <c r="I107" s="474">
        <v>23.6</v>
      </c>
      <c r="K107" s="338"/>
      <c r="L107" s="338"/>
    </row>
    <row r="108" spans="3:12" x14ac:dyDescent="0.3">
      <c r="C108" s="472" t="s">
        <v>779</v>
      </c>
      <c r="E108" s="130" t="s">
        <v>775</v>
      </c>
      <c r="F108" s="473">
        <v>43981</v>
      </c>
      <c r="G108" s="473">
        <v>56329</v>
      </c>
      <c r="H108" s="474">
        <v>37.800000000000004</v>
      </c>
      <c r="I108" s="474">
        <v>21.2</v>
      </c>
      <c r="K108" s="338"/>
      <c r="L108" s="338"/>
    </row>
    <row r="109" spans="3:12" x14ac:dyDescent="0.3">
      <c r="C109" s="472" t="s">
        <v>780</v>
      </c>
      <c r="E109" s="130" t="s">
        <v>775</v>
      </c>
      <c r="F109" s="473">
        <v>43991</v>
      </c>
      <c r="G109" s="473">
        <v>56329</v>
      </c>
      <c r="H109" s="474">
        <v>16.8</v>
      </c>
      <c r="I109" s="474">
        <v>9.1</v>
      </c>
      <c r="K109" s="338"/>
      <c r="L109" s="338"/>
    </row>
    <row r="110" spans="3:12" x14ac:dyDescent="0.3">
      <c r="C110" s="472" t="s">
        <v>781</v>
      </c>
      <c r="E110" s="130" t="s">
        <v>775</v>
      </c>
      <c r="F110" s="473">
        <v>44029</v>
      </c>
      <c r="G110" s="473">
        <v>56334</v>
      </c>
      <c r="H110" s="474">
        <v>37.800000000000004</v>
      </c>
      <c r="I110" s="474">
        <v>20.7</v>
      </c>
      <c r="K110" s="338"/>
      <c r="L110" s="338"/>
    </row>
    <row r="111" spans="3:12" x14ac:dyDescent="0.3">
      <c r="C111" s="472" t="s">
        <v>782</v>
      </c>
      <c r="E111" s="130" t="s">
        <v>775</v>
      </c>
      <c r="F111" s="473">
        <v>44070</v>
      </c>
      <c r="G111" s="473">
        <v>56334</v>
      </c>
      <c r="H111" s="474">
        <v>37.800000000000004</v>
      </c>
      <c r="I111" s="474">
        <v>20.8</v>
      </c>
      <c r="K111" s="338"/>
      <c r="L111" s="338"/>
    </row>
    <row r="112" spans="3:12" x14ac:dyDescent="0.3">
      <c r="C112" s="472" t="s">
        <v>783</v>
      </c>
      <c r="E112" s="130" t="s">
        <v>775</v>
      </c>
      <c r="F112" s="473">
        <v>44610</v>
      </c>
      <c r="G112" s="473">
        <v>56685</v>
      </c>
      <c r="H112" s="474">
        <v>21</v>
      </c>
      <c r="I112" s="474">
        <v>10.9</v>
      </c>
      <c r="K112" s="338"/>
      <c r="L112" s="338"/>
    </row>
    <row r="113" spans="3:12" x14ac:dyDescent="0.3">
      <c r="C113" s="472" t="s">
        <v>784</v>
      </c>
      <c r="E113" s="130" t="s">
        <v>775</v>
      </c>
      <c r="F113" s="473">
        <v>44526</v>
      </c>
      <c r="G113" s="473">
        <v>56685</v>
      </c>
      <c r="H113" s="474">
        <v>33.6</v>
      </c>
      <c r="I113" s="474">
        <v>17.600000000000001</v>
      </c>
      <c r="K113" s="338"/>
      <c r="L113" s="338"/>
    </row>
    <row r="114" spans="3:12" x14ac:dyDescent="0.3">
      <c r="C114" s="472" t="s">
        <v>785</v>
      </c>
      <c r="E114" s="130" t="s">
        <v>775</v>
      </c>
      <c r="F114" s="473">
        <v>44610</v>
      </c>
      <c r="G114" s="473">
        <v>56685</v>
      </c>
      <c r="H114" s="474">
        <v>37.800000000000004</v>
      </c>
      <c r="I114" s="474">
        <v>18.5</v>
      </c>
      <c r="K114" s="338"/>
      <c r="L114" s="338"/>
    </row>
    <row r="115" spans="3:12" x14ac:dyDescent="0.3">
      <c r="C115" s="472" t="s">
        <v>786</v>
      </c>
      <c r="E115" s="130" t="s">
        <v>775</v>
      </c>
      <c r="F115" s="473">
        <v>44572</v>
      </c>
      <c r="G115" s="473">
        <v>56685</v>
      </c>
      <c r="H115" s="474">
        <v>37.800000000000004</v>
      </c>
      <c r="I115" s="474">
        <v>18.7</v>
      </c>
      <c r="K115" s="338"/>
      <c r="L115" s="338"/>
    </row>
    <row r="116" spans="3:12" x14ac:dyDescent="0.3">
      <c r="C116" s="472" t="s">
        <v>787</v>
      </c>
      <c r="E116" s="130" t="s">
        <v>775</v>
      </c>
      <c r="F116" s="473">
        <v>44617</v>
      </c>
      <c r="G116" s="473">
        <v>56685</v>
      </c>
      <c r="H116" s="474">
        <v>37.800000000000004</v>
      </c>
      <c r="I116" s="474">
        <v>19.3</v>
      </c>
      <c r="K116" s="338"/>
      <c r="L116" s="338"/>
    </row>
    <row r="117" spans="3:12" x14ac:dyDescent="0.3">
      <c r="C117" s="472" t="s">
        <v>788</v>
      </c>
      <c r="E117" s="130" t="s">
        <v>775</v>
      </c>
      <c r="F117" s="473">
        <v>44561</v>
      </c>
      <c r="G117" s="473">
        <v>56685</v>
      </c>
      <c r="H117" s="474">
        <v>37.800000000000004</v>
      </c>
      <c r="I117" s="474">
        <v>20.2</v>
      </c>
      <c r="K117" s="338"/>
      <c r="L117" s="338"/>
    </row>
    <row r="118" spans="3:12" x14ac:dyDescent="0.3">
      <c r="C118" s="472"/>
      <c r="K118" s="338"/>
      <c r="L118" s="338"/>
    </row>
    <row r="119" spans="3:12" x14ac:dyDescent="0.3">
      <c r="C119" s="467" t="s">
        <v>789</v>
      </c>
      <c r="E119" s="468"/>
      <c r="F119" s="468"/>
      <c r="G119" s="468"/>
      <c r="H119" s="468"/>
      <c r="I119" s="468"/>
      <c r="K119" s="338"/>
      <c r="L119" s="338"/>
    </row>
    <row r="120" spans="3:12" x14ac:dyDescent="0.3">
      <c r="C120" s="469" t="s">
        <v>790</v>
      </c>
      <c r="E120" s="469"/>
      <c r="F120" s="469"/>
      <c r="G120" s="469"/>
      <c r="H120" s="469"/>
      <c r="I120" s="470">
        <v>1200</v>
      </c>
      <c r="K120" s="338"/>
      <c r="L120" s="338"/>
    </row>
    <row r="121" spans="3:12" x14ac:dyDescent="0.3">
      <c r="C121" s="472" t="s">
        <v>791</v>
      </c>
      <c r="E121" s="130" t="s">
        <v>792</v>
      </c>
      <c r="F121" s="338" t="s">
        <v>243</v>
      </c>
      <c r="G121" s="473">
        <v>57124</v>
      </c>
      <c r="H121" s="338" t="s">
        <v>243</v>
      </c>
      <c r="I121" s="474"/>
      <c r="K121" s="338"/>
      <c r="L121" s="338"/>
    </row>
    <row r="122" spans="3:12" x14ac:dyDescent="0.3">
      <c r="C122" s="472" t="s">
        <v>793</v>
      </c>
      <c r="E122" s="130" t="s">
        <v>792</v>
      </c>
      <c r="F122" s="338" t="s">
        <v>243</v>
      </c>
      <c r="G122" s="473">
        <v>57124</v>
      </c>
      <c r="H122" s="338" t="s">
        <v>243</v>
      </c>
      <c r="I122" s="474"/>
      <c r="K122" s="338"/>
      <c r="L122" s="338"/>
    </row>
    <row r="123" spans="3:12" x14ac:dyDescent="0.3">
      <c r="C123" s="472" t="s">
        <v>794</v>
      </c>
      <c r="E123" s="130" t="s">
        <v>792</v>
      </c>
      <c r="F123" s="338" t="s">
        <v>243</v>
      </c>
      <c r="G123" s="473">
        <v>57124</v>
      </c>
      <c r="H123" s="338" t="s">
        <v>243</v>
      </c>
      <c r="I123" s="474"/>
      <c r="K123" s="338"/>
      <c r="L123" s="338"/>
    </row>
    <row r="124" spans="3:12" x14ac:dyDescent="0.3">
      <c r="C124" s="472" t="s">
        <v>795</v>
      </c>
      <c r="E124" s="130" t="s">
        <v>792</v>
      </c>
      <c r="F124" s="338" t="s">
        <v>243</v>
      </c>
      <c r="G124" s="473">
        <v>57124</v>
      </c>
      <c r="H124" s="338" t="s">
        <v>243</v>
      </c>
      <c r="I124" s="474"/>
      <c r="K124" s="338"/>
      <c r="L124" s="338"/>
    </row>
    <row r="125" spans="3:12" x14ac:dyDescent="0.3">
      <c r="C125" s="472" t="s">
        <v>796</v>
      </c>
      <c r="E125" s="130" t="s">
        <v>792</v>
      </c>
      <c r="F125" s="338" t="s">
        <v>243</v>
      </c>
      <c r="G125" s="473">
        <v>57124</v>
      </c>
      <c r="H125" s="338" t="s">
        <v>243</v>
      </c>
      <c r="I125" s="474"/>
      <c r="K125" s="338"/>
      <c r="L125" s="338"/>
    </row>
    <row r="126" spans="3:12" x14ac:dyDescent="0.3">
      <c r="C126" s="472" t="s">
        <v>797</v>
      </c>
      <c r="E126" s="130" t="s">
        <v>792</v>
      </c>
      <c r="F126" s="338" t="s">
        <v>243</v>
      </c>
      <c r="G126" s="473">
        <v>57124</v>
      </c>
      <c r="H126" s="338" t="s">
        <v>243</v>
      </c>
      <c r="I126" s="474"/>
      <c r="K126" s="338"/>
      <c r="L126" s="338"/>
    </row>
    <row r="127" spans="3:12" x14ac:dyDescent="0.3">
      <c r="C127" s="472" t="s">
        <v>798</v>
      </c>
      <c r="E127" s="130" t="s">
        <v>792</v>
      </c>
      <c r="F127" s="338" t="s">
        <v>243</v>
      </c>
      <c r="G127" s="473">
        <v>57124</v>
      </c>
      <c r="H127" s="338" t="s">
        <v>243</v>
      </c>
      <c r="I127" s="474"/>
      <c r="K127" s="338"/>
      <c r="L127" s="338"/>
    </row>
    <row r="128" spans="3:12" x14ac:dyDescent="0.3">
      <c r="C128" s="472" t="s">
        <v>799</v>
      </c>
      <c r="E128" s="130" t="s">
        <v>800</v>
      </c>
      <c r="F128" s="338" t="s">
        <v>243</v>
      </c>
      <c r="G128" s="473">
        <v>56461</v>
      </c>
      <c r="H128" s="338" t="s">
        <v>243</v>
      </c>
      <c r="I128" s="474"/>
      <c r="K128" s="338"/>
      <c r="L128" s="338"/>
    </row>
    <row r="129" spans="3:13" x14ac:dyDescent="0.3">
      <c r="C129" s="472" t="s">
        <v>801</v>
      </c>
      <c r="E129" s="130" t="s">
        <v>800</v>
      </c>
      <c r="F129" s="338" t="s">
        <v>243</v>
      </c>
      <c r="G129" s="473">
        <v>56461</v>
      </c>
      <c r="H129" s="338" t="s">
        <v>243</v>
      </c>
      <c r="I129" s="474"/>
      <c r="K129" s="338"/>
      <c r="L129" s="338"/>
    </row>
    <row r="130" spans="3:13" x14ac:dyDescent="0.3">
      <c r="C130" s="472" t="s">
        <v>802</v>
      </c>
      <c r="E130" s="130" t="s">
        <v>800</v>
      </c>
      <c r="F130" s="338" t="s">
        <v>243</v>
      </c>
      <c r="G130" s="473">
        <v>56461</v>
      </c>
      <c r="H130" s="338" t="s">
        <v>243</v>
      </c>
      <c r="I130" s="474"/>
      <c r="K130" s="338"/>
      <c r="L130" s="338"/>
    </row>
    <row r="131" spans="3:13" x14ac:dyDescent="0.3">
      <c r="C131" s="472" t="s">
        <v>803</v>
      </c>
      <c r="E131" s="130" t="s">
        <v>800</v>
      </c>
      <c r="F131" s="338" t="s">
        <v>243</v>
      </c>
      <c r="G131" s="473">
        <v>56461</v>
      </c>
      <c r="H131" s="338" t="s">
        <v>243</v>
      </c>
      <c r="I131" s="474"/>
      <c r="K131" s="338"/>
      <c r="L131" s="338"/>
    </row>
    <row r="132" spans="3:13" x14ac:dyDescent="0.3">
      <c r="C132" s="472" t="s">
        <v>804</v>
      </c>
      <c r="E132" s="130" t="s">
        <v>800</v>
      </c>
      <c r="F132" s="338" t="s">
        <v>243</v>
      </c>
      <c r="G132" s="473">
        <v>56846</v>
      </c>
      <c r="H132" s="338" t="s">
        <v>243</v>
      </c>
      <c r="I132" s="474"/>
      <c r="K132" s="338"/>
      <c r="L132" s="338"/>
    </row>
    <row r="133" spans="3:13" x14ac:dyDescent="0.3">
      <c r="C133" s="472" t="s">
        <v>805</v>
      </c>
      <c r="E133" s="130" t="s">
        <v>800</v>
      </c>
      <c r="F133" s="338" t="s">
        <v>243</v>
      </c>
      <c r="G133" s="473">
        <v>56846</v>
      </c>
      <c r="H133" s="338" t="s">
        <v>243</v>
      </c>
      <c r="I133" s="474"/>
      <c r="K133" s="338"/>
      <c r="L133" s="338"/>
    </row>
    <row r="134" spans="3:13" x14ac:dyDescent="0.3">
      <c r="C134" s="472" t="s">
        <v>806</v>
      </c>
      <c r="E134" s="130" t="s">
        <v>800</v>
      </c>
      <c r="F134" s="338" t="s">
        <v>243</v>
      </c>
      <c r="G134" s="473">
        <v>56846</v>
      </c>
      <c r="H134" s="338" t="s">
        <v>243</v>
      </c>
      <c r="I134" s="474"/>
      <c r="K134" s="338"/>
      <c r="L134" s="338"/>
    </row>
    <row r="135" spans="3:13" x14ac:dyDescent="0.3">
      <c r="C135" s="472" t="s">
        <v>807</v>
      </c>
      <c r="E135" s="130" t="s">
        <v>800</v>
      </c>
      <c r="F135" s="338" t="s">
        <v>243</v>
      </c>
      <c r="G135" s="473">
        <v>56846</v>
      </c>
      <c r="H135" s="338" t="s">
        <v>243</v>
      </c>
      <c r="I135" s="474"/>
      <c r="K135" s="338"/>
      <c r="L135" s="338"/>
    </row>
    <row r="136" spans="3:13" x14ac:dyDescent="0.3">
      <c r="C136" s="472" t="s">
        <v>808</v>
      </c>
      <c r="E136" s="130" t="s">
        <v>775</v>
      </c>
      <c r="F136" s="338" t="s">
        <v>243</v>
      </c>
      <c r="G136" s="473">
        <v>57083</v>
      </c>
      <c r="H136" s="338" t="s">
        <v>243</v>
      </c>
      <c r="I136" s="474"/>
      <c r="K136" s="338"/>
      <c r="L136" s="338"/>
    </row>
    <row r="137" spans="3:13" x14ac:dyDescent="0.3">
      <c r="C137" s="472" t="s">
        <v>809</v>
      </c>
      <c r="E137" s="130" t="s">
        <v>775</v>
      </c>
      <c r="F137" s="338" t="s">
        <v>243</v>
      </c>
      <c r="G137" s="473">
        <v>57083</v>
      </c>
      <c r="H137" s="338" t="s">
        <v>243</v>
      </c>
      <c r="I137" s="474"/>
      <c r="K137" s="338"/>
      <c r="L137" s="338"/>
    </row>
    <row r="138" spans="3:13" x14ac:dyDescent="0.3">
      <c r="C138" s="472" t="s">
        <v>810</v>
      </c>
      <c r="E138" s="130" t="s">
        <v>775</v>
      </c>
      <c r="F138" s="338" t="s">
        <v>243</v>
      </c>
      <c r="G138" s="479"/>
      <c r="H138" s="338" t="s">
        <v>243</v>
      </c>
      <c r="I138" s="474"/>
      <c r="K138" s="338"/>
      <c r="L138" s="338"/>
    </row>
    <row r="139" spans="3:13" x14ac:dyDescent="0.3">
      <c r="C139" s="480"/>
      <c r="J139" s="338"/>
      <c r="K139" s="338"/>
      <c r="M139" s="481" t="s">
        <v>703</v>
      </c>
    </row>
    <row r="142" spans="3:13" x14ac:dyDescent="0.3">
      <c r="C142" s="465" t="s">
        <v>811</v>
      </c>
      <c r="E142" s="466"/>
      <c r="F142" s="466"/>
      <c r="G142" s="466"/>
      <c r="H142" s="466"/>
      <c r="I142" s="466"/>
    </row>
    <row r="144" spans="3:13" x14ac:dyDescent="0.3">
      <c r="E144" s="553">
        <v>2022</v>
      </c>
      <c r="F144" s="553">
        <v>2023</v>
      </c>
      <c r="G144" s="553">
        <v>2024</v>
      </c>
      <c r="H144" s="553">
        <v>2025</v>
      </c>
      <c r="I144" s="553">
        <v>2026</v>
      </c>
      <c r="J144" s="338"/>
      <c r="K144" s="338"/>
    </row>
    <row r="145" spans="3:11" x14ac:dyDescent="0.3">
      <c r="C145" s="469" t="s">
        <v>812</v>
      </c>
      <c r="E145" s="482">
        <v>614.50000000000011</v>
      </c>
      <c r="F145" s="482">
        <v>614.50000000000011</v>
      </c>
      <c r="G145" s="482">
        <v>614.50000000000011</v>
      </c>
      <c r="H145" s="482">
        <v>614.50000000000011</v>
      </c>
      <c r="I145" s="482">
        <v>614.50000000000011</v>
      </c>
      <c r="J145" s="338"/>
      <c r="K145" s="338"/>
    </row>
    <row r="146" spans="3:11" x14ac:dyDescent="0.3">
      <c r="C146" s="472" t="s">
        <v>813</v>
      </c>
      <c r="E146" s="474">
        <v>17.2</v>
      </c>
      <c r="F146" s="474">
        <v>17.2</v>
      </c>
      <c r="G146" s="474">
        <v>17.2</v>
      </c>
      <c r="H146" s="474">
        <v>17.2</v>
      </c>
      <c r="I146" s="474">
        <v>17.2</v>
      </c>
      <c r="J146" s="338"/>
      <c r="K146" s="338"/>
    </row>
    <row r="147" spans="3:11" x14ac:dyDescent="0.3">
      <c r="C147" s="472" t="s">
        <v>814</v>
      </c>
      <c r="E147" s="474">
        <v>15.5</v>
      </c>
      <c r="F147" s="474">
        <v>15.5</v>
      </c>
      <c r="G147" s="474">
        <v>15.5</v>
      </c>
      <c r="H147" s="474">
        <v>15.5</v>
      </c>
      <c r="I147" s="474">
        <v>15.5</v>
      </c>
      <c r="J147" s="338"/>
      <c r="K147" s="338"/>
    </row>
    <row r="148" spans="3:11" x14ac:dyDescent="0.3">
      <c r="C148" s="472" t="s">
        <v>815</v>
      </c>
      <c r="E148" s="474">
        <v>15.2</v>
      </c>
      <c r="F148" s="474">
        <v>15.2</v>
      </c>
      <c r="G148" s="474">
        <v>15.2</v>
      </c>
      <c r="H148" s="474">
        <v>15.2</v>
      </c>
      <c r="I148" s="474">
        <v>15.2</v>
      </c>
      <c r="J148" s="338"/>
      <c r="K148" s="338"/>
    </row>
    <row r="149" spans="3:11" x14ac:dyDescent="0.3">
      <c r="C149" s="472" t="s">
        <v>816</v>
      </c>
      <c r="E149" s="474">
        <v>15.7</v>
      </c>
      <c r="F149" s="474">
        <v>15.7</v>
      </c>
      <c r="G149" s="474">
        <v>15.7</v>
      </c>
      <c r="H149" s="474">
        <v>15.7</v>
      </c>
      <c r="I149" s="474">
        <v>15.7</v>
      </c>
      <c r="J149" s="338"/>
      <c r="K149" s="338"/>
    </row>
    <row r="150" spans="3:11" x14ac:dyDescent="0.3">
      <c r="C150" s="472" t="s">
        <v>817</v>
      </c>
      <c r="E150" s="474">
        <v>18.600000000000001</v>
      </c>
      <c r="F150" s="474">
        <v>18.600000000000001</v>
      </c>
      <c r="G150" s="474">
        <v>18.600000000000001</v>
      </c>
      <c r="H150" s="474">
        <v>18.600000000000001</v>
      </c>
      <c r="I150" s="474">
        <v>18.600000000000001</v>
      </c>
      <c r="J150" s="338"/>
      <c r="K150" s="338"/>
    </row>
    <row r="151" spans="3:11" x14ac:dyDescent="0.3">
      <c r="C151" s="472" t="s">
        <v>818</v>
      </c>
      <c r="E151" s="474">
        <v>15.2</v>
      </c>
      <c r="F151" s="474">
        <v>15.2</v>
      </c>
      <c r="G151" s="474">
        <v>15.2</v>
      </c>
      <c r="H151" s="474">
        <v>15.2</v>
      </c>
      <c r="I151" s="474">
        <v>15.2</v>
      </c>
      <c r="J151" s="338"/>
      <c r="K151" s="338"/>
    </row>
    <row r="152" spans="3:11" x14ac:dyDescent="0.3">
      <c r="C152" s="472" t="s">
        <v>819</v>
      </c>
      <c r="E152" s="474">
        <v>13</v>
      </c>
      <c r="F152" s="474">
        <v>13</v>
      </c>
      <c r="G152" s="474">
        <v>13</v>
      </c>
      <c r="H152" s="474">
        <v>13</v>
      </c>
      <c r="I152" s="474">
        <v>13</v>
      </c>
      <c r="J152" s="338"/>
      <c r="K152" s="338"/>
    </row>
    <row r="153" spans="3:11" x14ac:dyDescent="0.3">
      <c r="C153" s="472" t="s">
        <v>820</v>
      </c>
      <c r="E153" s="474">
        <v>11.7</v>
      </c>
      <c r="F153" s="474">
        <v>11.7</v>
      </c>
      <c r="G153" s="474">
        <v>11.7</v>
      </c>
      <c r="H153" s="474">
        <v>11.7</v>
      </c>
      <c r="I153" s="474">
        <v>11.7</v>
      </c>
      <c r="J153" s="338"/>
      <c r="K153" s="338"/>
    </row>
    <row r="154" spans="3:11" x14ac:dyDescent="0.3">
      <c r="C154" s="472" t="s">
        <v>821</v>
      </c>
      <c r="E154" s="474">
        <v>14.1</v>
      </c>
      <c r="F154" s="474">
        <v>14.1</v>
      </c>
      <c r="G154" s="474">
        <v>14.1</v>
      </c>
      <c r="H154" s="474">
        <v>14.1</v>
      </c>
      <c r="I154" s="474">
        <v>14.1</v>
      </c>
      <c r="J154" s="338"/>
      <c r="K154" s="338"/>
    </row>
    <row r="155" spans="3:11" x14ac:dyDescent="0.3">
      <c r="C155" s="472" t="s">
        <v>822</v>
      </c>
      <c r="E155" s="474">
        <v>15.5</v>
      </c>
      <c r="F155" s="474">
        <v>15.5</v>
      </c>
      <c r="G155" s="474">
        <v>15.5</v>
      </c>
      <c r="H155" s="474">
        <v>15.5</v>
      </c>
      <c r="I155" s="474">
        <v>15.5</v>
      </c>
      <c r="J155" s="338"/>
      <c r="K155" s="338"/>
    </row>
    <row r="156" spans="3:11" x14ac:dyDescent="0.3">
      <c r="C156" s="472" t="s">
        <v>823</v>
      </c>
      <c r="E156" s="474">
        <v>14.6</v>
      </c>
      <c r="F156" s="474">
        <v>14.6</v>
      </c>
      <c r="G156" s="474">
        <v>14.6</v>
      </c>
      <c r="H156" s="474">
        <v>14.6</v>
      </c>
      <c r="I156" s="474">
        <v>14.6</v>
      </c>
      <c r="J156" s="338"/>
      <c r="K156" s="338"/>
    </row>
    <row r="157" spans="3:11" x14ac:dyDescent="0.3">
      <c r="C157" s="472" t="s">
        <v>824</v>
      </c>
      <c r="E157" s="474">
        <v>15.5</v>
      </c>
      <c r="F157" s="474">
        <v>15.5</v>
      </c>
      <c r="G157" s="474">
        <v>15.5</v>
      </c>
      <c r="H157" s="474">
        <v>15.5</v>
      </c>
      <c r="I157" s="474">
        <v>15.5</v>
      </c>
      <c r="J157" s="338"/>
      <c r="K157" s="338"/>
    </row>
    <row r="158" spans="3:11" x14ac:dyDescent="0.3">
      <c r="C158" s="472" t="s">
        <v>691</v>
      </c>
      <c r="E158" s="474">
        <v>15.2</v>
      </c>
      <c r="F158" s="474">
        <v>15.2</v>
      </c>
      <c r="G158" s="474">
        <v>15.2</v>
      </c>
      <c r="H158" s="474">
        <v>15.2</v>
      </c>
      <c r="I158" s="474">
        <v>15.2</v>
      </c>
      <c r="J158" s="338"/>
      <c r="K158" s="338"/>
    </row>
    <row r="159" spans="3:11" x14ac:dyDescent="0.3">
      <c r="C159" s="472" t="s">
        <v>825</v>
      </c>
      <c r="E159" s="474">
        <v>6.56</v>
      </c>
      <c r="F159" s="474">
        <v>6.56</v>
      </c>
      <c r="G159" s="474">
        <v>6.56</v>
      </c>
      <c r="H159" s="474">
        <v>6.56</v>
      </c>
      <c r="I159" s="474">
        <v>6.56</v>
      </c>
      <c r="J159" s="338"/>
      <c r="K159" s="338"/>
    </row>
    <row r="160" spans="3:11" x14ac:dyDescent="0.3">
      <c r="C160" s="472" t="s">
        <v>826</v>
      </c>
      <c r="E160" s="474">
        <v>8.4</v>
      </c>
      <c r="F160" s="474">
        <v>8.4</v>
      </c>
      <c r="G160" s="474">
        <v>8.4</v>
      </c>
      <c r="H160" s="474">
        <v>8.4</v>
      </c>
      <c r="I160" s="474">
        <v>8.4</v>
      </c>
      <c r="J160" s="338"/>
      <c r="K160" s="338"/>
    </row>
    <row r="161" spans="3:11" x14ac:dyDescent="0.3">
      <c r="C161" s="472" t="s">
        <v>827</v>
      </c>
      <c r="E161" s="474">
        <v>10.84</v>
      </c>
      <c r="F161" s="474">
        <v>10.84</v>
      </c>
      <c r="G161" s="474">
        <v>10.84</v>
      </c>
      <c r="H161" s="474">
        <v>10.84</v>
      </c>
      <c r="I161" s="474">
        <v>10.84</v>
      </c>
      <c r="J161" s="338"/>
      <c r="K161" s="338"/>
    </row>
    <row r="162" spans="3:11" x14ac:dyDescent="0.3">
      <c r="C162" s="472" t="s">
        <v>828</v>
      </c>
      <c r="E162" s="474">
        <v>6.8</v>
      </c>
      <c r="F162" s="474">
        <v>6.8</v>
      </c>
      <c r="G162" s="474">
        <v>6.8</v>
      </c>
      <c r="H162" s="474">
        <v>6.8</v>
      </c>
      <c r="I162" s="474">
        <v>6.8</v>
      </c>
      <c r="J162" s="338"/>
      <c r="K162" s="338"/>
    </row>
    <row r="163" spans="3:11" x14ac:dyDescent="0.3">
      <c r="C163" s="472" t="s">
        <v>829</v>
      </c>
      <c r="E163" s="474">
        <v>9.6999999999999993</v>
      </c>
      <c r="F163" s="474">
        <v>9.6999999999999993</v>
      </c>
      <c r="G163" s="474">
        <v>9.6999999999999993</v>
      </c>
      <c r="H163" s="474">
        <v>9.6999999999999993</v>
      </c>
      <c r="I163" s="474">
        <v>9.6999999999999993</v>
      </c>
      <c r="J163" s="338"/>
      <c r="K163" s="338"/>
    </row>
    <row r="164" spans="3:11" x14ac:dyDescent="0.3">
      <c r="C164" s="472" t="s">
        <v>830</v>
      </c>
      <c r="E164" s="474">
        <v>13.5</v>
      </c>
      <c r="F164" s="474">
        <v>13.5</v>
      </c>
      <c r="G164" s="474">
        <v>13.5</v>
      </c>
      <c r="H164" s="474">
        <v>13.5</v>
      </c>
      <c r="I164" s="474">
        <v>13.5</v>
      </c>
      <c r="J164" s="338"/>
      <c r="K164" s="338"/>
    </row>
    <row r="165" spans="3:11" x14ac:dyDescent="0.3">
      <c r="C165" s="472" t="s">
        <v>831</v>
      </c>
      <c r="E165" s="474">
        <v>12.7</v>
      </c>
      <c r="F165" s="474">
        <v>12.7</v>
      </c>
      <c r="G165" s="474">
        <v>12.7</v>
      </c>
      <c r="H165" s="474">
        <v>12.7</v>
      </c>
      <c r="I165" s="474">
        <v>12.7</v>
      </c>
      <c r="J165" s="338"/>
      <c r="K165" s="338"/>
    </row>
    <row r="166" spans="3:11" x14ac:dyDescent="0.3">
      <c r="C166" s="472" t="s">
        <v>832</v>
      </c>
      <c r="E166" s="474">
        <v>9</v>
      </c>
      <c r="F166" s="474">
        <v>9</v>
      </c>
      <c r="G166" s="474">
        <v>9</v>
      </c>
      <c r="H166" s="474">
        <v>9</v>
      </c>
      <c r="I166" s="474">
        <v>9</v>
      </c>
      <c r="J166" s="338"/>
      <c r="K166" s="338"/>
    </row>
    <row r="167" spans="3:11" x14ac:dyDescent="0.3">
      <c r="C167" s="472" t="s">
        <v>833</v>
      </c>
      <c r="E167" s="474">
        <v>13.2</v>
      </c>
      <c r="F167" s="474">
        <v>13.2</v>
      </c>
      <c r="G167" s="474">
        <v>13.2</v>
      </c>
      <c r="H167" s="474">
        <v>13.2</v>
      </c>
      <c r="I167" s="474">
        <v>13.2</v>
      </c>
      <c r="J167" s="338"/>
      <c r="K167" s="338"/>
    </row>
    <row r="168" spans="3:11" x14ac:dyDescent="0.3">
      <c r="C168" s="472" t="s">
        <v>834</v>
      </c>
      <c r="E168" s="474">
        <v>21.5</v>
      </c>
      <c r="F168" s="474">
        <v>21.5</v>
      </c>
      <c r="G168" s="474">
        <v>21.5</v>
      </c>
      <c r="H168" s="474">
        <v>21.5</v>
      </c>
      <c r="I168" s="474">
        <v>21.5</v>
      </c>
      <c r="J168" s="338"/>
      <c r="K168" s="338"/>
    </row>
    <row r="169" spans="3:11" x14ac:dyDescent="0.3">
      <c r="C169" s="472" t="s">
        <v>835</v>
      </c>
      <c r="E169" s="474">
        <v>13.3</v>
      </c>
      <c r="F169" s="474">
        <v>13.3</v>
      </c>
      <c r="G169" s="474">
        <v>13.3</v>
      </c>
      <c r="H169" s="474">
        <v>13.3</v>
      </c>
      <c r="I169" s="474">
        <v>13.3</v>
      </c>
      <c r="J169" s="338"/>
      <c r="K169" s="338"/>
    </row>
    <row r="170" spans="3:11" x14ac:dyDescent="0.3">
      <c r="C170" s="472" t="s">
        <v>836</v>
      </c>
      <c r="E170" s="474">
        <v>21.1</v>
      </c>
      <c r="F170" s="474">
        <v>21.1</v>
      </c>
      <c r="G170" s="474">
        <v>21.1</v>
      </c>
      <c r="H170" s="474">
        <v>21.1</v>
      </c>
      <c r="I170" s="474">
        <v>21.1</v>
      </c>
      <c r="J170" s="338"/>
      <c r="K170" s="338"/>
    </row>
    <row r="171" spans="3:11" x14ac:dyDescent="0.3">
      <c r="C171" s="472" t="s">
        <v>837</v>
      </c>
      <c r="E171" s="474">
        <v>15.2</v>
      </c>
      <c r="F171" s="474">
        <v>15.2</v>
      </c>
      <c r="G171" s="474">
        <v>15.2</v>
      </c>
      <c r="H171" s="474">
        <v>15.2</v>
      </c>
      <c r="I171" s="474">
        <v>15.2</v>
      </c>
      <c r="J171" s="338"/>
      <c r="K171" s="338"/>
    </row>
    <row r="172" spans="3:11" x14ac:dyDescent="0.3">
      <c r="C172" s="472" t="s">
        <v>838</v>
      </c>
      <c r="E172" s="474">
        <v>9</v>
      </c>
      <c r="F172" s="474">
        <v>9</v>
      </c>
      <c r="G172" s="474">
        <v>9</v>
      </c>
      <c r="H172" s="474">
        <v>9</v>
      </c>
      <c r="I172" s="474">
        <v>9</v>
      </c>
      <c r="J172" s="338"/>
      <c r="K172" s="338"/>
    </row>
    <row r="173" spans="3:11" x14ac:dyDescent="0.3">
      <c r="C173" s="472" t="s">
        <v>839</v>
      </c>
      <c r="E173" s="474">
        <v>11</v>
      </c>
      <c r="F173" s="474">
        <v>11</v>
      </c>
      <c r="G173" s="474">
        <v>11</v>
      </c>
      <c r="H173" s="474">
        <v>11</v>
      </c>
      <c r="I173" s="474">
        <v>11</v>
      </c>
      <c r="J173" s="338"/>
      <c r="K173" s="338"/>
    </row>
    <row r="174" spans="3:11" x14ac:dyDescent="0.3">
      <c r="C174" s="472" t="s">
        <v>840</v>
      </c>
      <c r="E174" s="474">
        <v>10.1</v>
      </c>
      <c r="F174" s="474">
        <v>10.1</v>
      </c>
      <c r="G174" s="474">
        <v>10.1</v>
      </c>
      <c r="H174" s="474">
        <v>10.1</v>
      </c>
      <c r="I174" s="474">
        <v>10.1</v>
      </c>
      <c r="J174" s="338"/>
      <c r="K174" s="338"/>
    </row>
    <row r="175" spans="3:11" x14ac:dyDescent="0.3">
      <c r="C175" s="472" t="s">
        <v>841</v>
      </c>
      <c r="E175" s="474">
        <v>9.6999999999999993</v>
      </c>
      <c r="F175" s="474">
        <v>9.6999999999999993</v>
      </c>
      <c r="G175" s="474">
        <v>9.6999999999999993</v>
      </c>
      <c r="H175" s="474">
        <v>9.6999999999999993</v>
      </c>
      <c r="I175" s="474">
        <v>9.6999999999999993</v>
      </c>
      <c r="J175" s="338"/>
      <c r="K175" s="338"/>
    </row>
    <row r="176" spans="3:11" x14ac:dyDescent="0.3">
      <c r="C176" s="472" t="s">
        <v>842</v>
      </c>
      <c r="E176" s="474">
        <v>15.3</v>
      </c>
      <c r="F176" s="474">
        <v>15.3</v>
      </c>
      <c r="G176" s="474">
        <v>15.3</v>
      </c>
      <c r="H176" s="474">
        <v>15.3</v>
      </c>
      <c r="I176" s="474">
        <v>15.3</v>
      </c>
      <c r="J176" s="338"/>
      <c r="K176" s="338"/>
    </row>
    <row r="177" spans="3:11" x14ac:dyDescent="0.3">
      <c r="C177" s="472" t="s">
        <v>843</v>
      </c>
      <c r="E177" s="474">
        <v>23.6</v>
      </c>
      <c r="F177" s="474">
        <v>23.6</v>
      </c>
      <c r="G177" s="474">
        <v>23.6</v>
      </c>
      <c r="H177" s="474">
        <v>23.6</v>
      </c>
      <c r="I177" s="474">
        <v>23.6</v>
      </c>
      <c r="J177" s="338"/>
      <c r="K177" s="338"/>
    </row>
    <row r="178" spans="3:11" x14ac:dyDescent="0.3">
      <c r="C178" s="472" t="s">
        <v>844</v>
      </c>
      <c r="E178" s="474">
        <v>21.2</v>
      </c>
      <c r="F178" s="474">
        <v>21.2</v>
      </c>
      <c r="G178" s="474">
        <v>21.2</v>
      </c>
      <c r="H178" s="474">
        <v>21.2</v>
      </c>
      <c r="I178" s="474">
        <v>21.2</v>
      </c>
      <c r="J178" s="338"/>
      <c r="K178" s="338"/>
    </row>
    <row r="179" spans="3:11" x14ac:dyDescent="0.3">
      <c r="C179" s="472" t="s">
        <v>845</v>
      </c>
      <c r="E179" s="474">
        <v>9.1</v>
      </c>
      <c r="F179" s="474">
        <v>9.1</v>
      </c>
      <c r="G179" s="474">
        <v>9.1</v>
      </c>
      <c r="H179" s="474">
        <v>9.1</v>
      </c>
      <c r="I179" s="474">
        <v>9.1</v>
      </c>
      <c r="J179" s="338"/>
      <c r="K179" s="338"/>
    </row>
    <row r="180" spans="3:11" x14ac:dyDescent="0.3">
      <c r="C180" s="472" t="s">
        <v>846</v>
      </c>
      <c r="E180" s="474">
        <v>20.7</v>
      </c>
      <c r="F180" s="474">
        <v>20.7</v>
      </c>
      <c r="G180" s="474">
        <v>20.7</v>
      </c>
      <c r="H180" s="474">
        <v>20.7</v>
      </c>
      <c r="I180" s="474">
        <v>20.7</v>
      </c>
      <c r="J180" s="338"/>
      <c r="K180" s="338"/>
    </row>
    <row r="181" spans="3:11" x14ac:dyDescent="0.3">
      <c r="C181" s="472" t="s">
        <v>847</v>
      </c>
      <c r="E181" s="474">
        <v>20.8</v>
      </c>
      <c r="F181" s="474">
        <v>20.8</v>
      </c>
      <c r="G181" s="474">
        <v>20.8</v>
      </c>
      <c r="H181" s="474">
        <v>20.8</v>
      </c>
      <c r="I181" s="474">
        <v>20.8</v>
      </c>
      <c r="J181" s="338"/>
      <c r="K181" s="338"/>
    </row>
    <row r="182" spans="3:11" x14ac:dyDescent="0.3">
      <c r="C182" s="472" t="s">
        <v>848</v>
      </c>
      <c r="E182" s="474">
        <v>10.9</v>
      </c>
      <c r="F182" s="474">
        <v>10.9</v>
      </c>
      <c r="G182" s="474">
        <v>10.9</v>
      </c>
      <c r="H182" s="474">
        <v>10.9</v>
      </c>
      <c r="I182" s="474">
        <v>10.9</v>
      </c>
      <c r="J182" s="338"/>
      <c r="K182" s="338"/>
    </row>
    <row r="183" spans="3:11" x14ac:dyDescent="0.3">
      <c r="C183" s="472" t="s">
        <v>849</v>
      </c>
      <c r="E183" s="474">
        <v>17.600000000000001</v>
      </c>
      <c r="F183" s="474">
        <v>17.600000000000001</v>
      </c>
      <c r="G183" s="474">
        <v>17.600000000000001</v>
      </c>
      <c r="H183" s="474">
        <v>17.600000000000001</v>
      </c>
      <c r="I183" s="474">
        <v>17.600000000000001</v>
      </c>
      <c r="J183" s="338"/>
      <c r="K183" s="338"/>
    </row>
    <row r="184" spans="3:11" x14ac:dyDescent="0.3">
      <c r="C184" s="472" t="s">
        <v>850</v>
      </c>
      <c r="E184" s="474">
        <v>18.5</v>
      </c>
      <c r="F184" s="474">
        <v>18.5</v>
      </c>
      <c r="G184" s="474">
        <v>18.5</v>
      </c>
      <c r="H184" s="474">
        <v>18.5</v>
      </c>
      <c r="I184" s="474">
        <v>18.5</v>
      </c>
      <c r="J184" s="338"/>
      <c r="K184" s="338"/>
    </row>
    <row r="185" spans="3:11" x14ac:dyDescent="0.3">
      <c r="C185" s="472" t="s">
        <v>851</v>
      </c>
      <c r="E185" s="474">
        <v>18.7</v>
      </c>
      <c r="F185" s="474">
        <v>18.7</v>
      </c>
      <c r="G185" s="474">
        <v>18.7</v>
      </c>
      <c r="H185" s="474">
        <v>18.7</v>
      </c>
      <c r="I185" s="474">
        <v>18.7</v>
      </c>
      <c r="J185" s="338"/>
      <c r="K185" s="338"/>
    </row>
    <row r="186" spans="3:11" x14ac:dyDescent="0.3">
      <c r="C186" s="472" t="s">
        <v>852</v>
      </c>
      <c r="E186" s="474">
        <v>19.3</v>
      </c>
      <c r="F186" s="474">
        <v>19.3</v>
      </c>
      <c r="G186" s="474">
        <v>19.3</v>
      </c>
      <c r="H186" s="474">
        <v>19.3</v>
      </c>
      <c r="I186" s="474">
        <v>19.3</v>
      </c>
      <c r="J186" s="338"/>
      <c r="K186" s="338"/>
    </row>
    <row r="187" spans="3:11" x14ac:dyDescent="0.3">
      <c r="C187" s="472" t="s">
        <v>853</v>
      </c>
      <c r="E187" s="474">
        <v>20.2</v>
      </c>
      <c r="F187" s="474">
        <v>20.2</v>
      </c>
      <c r="G187" s="474">
        <v>20.2</v>
      </c>
      <c r="H187" s="474">
        <v>20.2</v>
      </c>
      <c r="I187" s="474">
        <v>20.2</v>
      </c>
      <c r="J187" s="338"/>
      <c r="K187" s="338"/>
    </row>
    <row r="188" spans="3:11" x14ac:dyDescent="0.3">
      <c r="C188" s="472"/>
      <c r="E188" s="474"/>
      <c r="F188" s="474"/>
      <c r="G188" s="474"/>
      <c r="H188" s="474"/>
      <c r="I188" s="474"/>
      <c r="J188" s="338"/>
      <c r="K188" s="338"/>
    </row>
    <row r="189" spans="3:11" x14ac:dyDescent="0.3">
      <c r="C189" s="472"/>
      <c r="E189" s="474"/>
      <c r="F189" s="474"/>
      <c r="G189" s="474"/>
      <c r="H189" s="474"/>
      <c r="I189" s="474"/>
      <c r="J189" s="338"/>
      <c r="K189" s="338"/>
    </row>
    <row r="190" spans="3:11" x14ac:dyDescent="0.3">
      <c r="C190" s="472"/>
      <c r="E190" s="474"/>
      <c r="F190" s="474"/>
      <c r="G190" s="474"/>
      <c r="H190" s="474"/>
      <c r="I190" s="474"/>
      <c r="J190" s="338"/>
      <c r="K190" s="338"/>
    </row>
    <row r="191" spans="3:11" x14ac:dyDescent="0.3">
      <c r="C191" s="480" t="s">
        <v>854</v>
      </c>
      <c r="E191" s="553">
        <v>2022</v>
      </c>
      <c r="F191" s="553">
        <v>2023</v>
      </c>
      <c r="G191" s="553">
        <v>2024</v>
      </c>
      <c r="H191" s="553">
        <v>2025</v>
      </c>
      <c r="I191" s="553">
        <v>2026</v>
      </c>
      <c r="J191" s="338"/>
      <c r="K191" s="338"/>
    </row>
    <row r="192" spans="3:11" x14ac:dyDescent="0.3">
      <c r="C192" s="483" t="s">
        <v>812</v>
      </c>
      <c r="E192" s="484">
        <v>615.20000000000016</v>
      </c>
      <c r="F192" s="484">
        <v>615.20000000000016</v>
      </c>
      <c r="G192" s="484">
        <v>615.20000000000016</v>
      </c>
      <c r="H192" s="484">
        <v>615.20000000000016</v>
      </c>
      <c r="I192" s="484">
        <v>615.20000000000016</v>
      </c>
      <c r="J192" s="338"/>
      <c r="K192" s="338"/>
    </row>
    <row r="193" spans="3:16" ht="71" customHeight="1" x14ac:dyDescent="0.3">
      <c r="C193" s="553"/>
      <c r="E193" s="553">
        <v>2023</v>
      </c>
      <c r="F193" s="553">
        <v>2024</v>
      </c>
      <c r="G193" s="553">
        <v>2025</v>
      </c>
      <c r="H193" s="553">
        <v>2026</v>
      </c>
      <c r="I193" s="553">
        <v>2027</v>
      </c>
      <c r="J193" s="552" t="s">
        <v>855</v>
      </c>
      <c r="K193" s="552" t="s">
        <v>856</v>
      </c>
      <c r="L193" s="552" t="s">
        <v>857</v>
      </c>
    </row>
    <row r="194" spans="3:16" ht="14.5" x14ac:dyDescent="0.35">
      <c r="C194" s="467" t="s">
        <v>858</v>
      </c>
      <c r="E194" s="485">
        <v>331.09998922831051</v>
      </c>
      <c r="F194" s="485">
        <v>331.09998922831051</v>
      </c>
      <c r="G194" s="485">
        <v>331.09998922831051</v>
      </c>
      <c r="H194" s="485">
        <v>331.09998922831051</v>
      </c>
      <c r="I194" s="485">
        <v>331.09998922831051</v>
      </c>
      <c r="J194" s="485" t="s">
        <v>243</v>
      </c>
      <c r="K194" s="486">
        <v>243.93469638685573</v>
      </c>
      <c r="L194" s="486">
        <v>235.03107996873544</v>
      </c>
      <c r="N194" s="487"/>
      <c r="O194" s="487"/>
      <c r="P194" s="460"/>
    </row>
    <row r="195" spans="3:16" ht="14.5" x14ac:dyDescent="0.35">
      <c r="C195" s="472" t="s">
        <v>859</v>
      </c>
      <c r="E195" s="474">
        <v>67.800000228310495</v>
      </c>
      <c r="F195" s="474">
        <v>67.800000228310495</v>
      </c>
      <c r="G195" s="474">
        <v>67.800000228310495</v>
      </c>
      <c r="H195" s="474">
        <v>67.800000228310495</v>
      </c>
      <c r="I195" s="474">
        <v>67.800000228310495</v>
      </c>
      <c r="J195" s="488">
        <v>40299</v>
      </c>
      <c r="K195" s="487">
        <v>275.94269760433178</v>
      </c>
      <c r="L195" s="487">
        <v>265.87078914177368</v>
      </c>
      <c r="N195" s="487"/>
      <c r="O195" s="487"/>
      <c r="P195" s="460"/>
    </row>
    <row r="196" spans="3:16" ht="14.5" x14ac:dyDescent="0.35">
      <c r="C196" s="472" t="s">
        <v>860</v>
      </c>
      <c r="E196" s="474">
        <v>22.599999</v>
      </c>
      <c r="F196" s="474">
        <v>22.599999</v>
      </c>
      <c r="G196" s="474">
        <v>22.599999</v>
      </c>
      <c r="H196" s="474">
        <v>22.599999</v>
      </c>
      <c r="I196" s="474">
        <v>22.599999</v>
      </c>
      <c r="J196" s="488">
        <v>41640</v>
      </c>
      <c r="K196" s="487">
        <v>209.21883905607274</v>
      </c>
      <c r="L196" s="487">
        <v>201.58235143052607</v>
      </c>
      <c r="N196" s="487"/>
      <c r="O196" s="487"/>
      <c r="P196" s="460"/>
    </row>
    <row r="197" spans="3:16" ht="14.5" x14ac:dyDescent="0.35">
      <c r="C197" s="472" t="s">
        <v>861</v>
      </c>
      <c r="E197" s="474">
        <v>107.799993</v>
      </c>
      <c r="F197" s="474">
        <v>107.799993</v>
      </c>
      <c r="G197" s="474">
        <v>107.799993</v>
      </c>
      <c r="H197" s="474">
        <v>107.799993</v>
      </c>
      <c r="I197" s="474">
        <v>107.799993</v>
      </c>
      <c r="J197" s="488">
        <v>41821</v>
      </c>
      <c r="K197" s="487">
        <v>220.66892490280199</v>
      </c>
      <c r="L197" s="487">
        <v>212.61450914384972</v>
      </c>
      <c r="N197" s="487"/>
      <c r="O197" s="487"/>
      <c r="P197" s="460"/>
    </row>
    <row r="198" spans="3:16" ht="14.5" x14ac:dyDescent="0.35">
      <c r="C198" s="472" t="s">
        <v>862</v>
      </c>
      <c r="E198" s="474">
        <v>14.399996999999992</v>
      </c>
      <c r="F198" s="474">
        <v>14.399996999999992</v>
      </c>
      <c r="G198" s="474">
        <v>14.399996999999992</v>
      </c>
      <c r="H198" s="474">
        <v>14.399996999999992</v>
      </c>
      <c r="I198" s="474">
        <v>14.399997000000001</v>
      </c>
      <c r="J198" s="488">
        <v>41974</v>
      </c>
      <c r="K198" s="487">
        <v>222.63217743617273</v>
      </c>
      <c r="L198" s="487">
        <v>214.50610295975244</v>
      </c>
      <c r="N198" s="487"/>
      <c r="O198" s="487"/>
      <c r="P198" s="460"/>
    </row>
    <row r="199" spans="3:16" ht="14.5" x14ac:dyDescent="0.35">
      <c r="C199" s="472" t="s">
        <v>863</v>
      </c>
      <c r="E199" s="474">
        <v>16</v>
      </c>
      <c r="F199" s="474">
        <v>16</v>
      </c>
      <c r="G199" s="474">
        <v>16</v>
      </c>
      <c r="H199" s="474">
        <v>16</v>
      </c>
      <c r="I199" s="474">
        <v>16</v>
      </c>
      <c r="J199" s="488">
        <v>40179</v>
      </c>
      <c r="K199" s="487">
        <v>335.81925582485962</v>
      </c>
      <c r="L199" s="487">
        <v>323.56185298725228</v>
      </c>
      <c r="N199" s="487"/>
      <c r="O199" s="487"/>
      <c r="P199" s="460"/>
    </row>
    <row r="200" spans="3:16" ht="14.5" x14ac:dyDescent="0.35">
      <c r="C200" s="472" t="s">
        <v>864</v>
      </c>
      <c r="E200" s="474">
        <v>49.5</v>
      </c>
      <c r="F200" s="474">
        <v>49.5</v>
      </c>
      <c r="G200" s="474">
        <v>49.5</v>
      </c>
      <c r="H200" s="474">
        <v>49.5</v>
      </c>
      <c r="I200" s="474">
        <v>49.5</v>
      </c>
      <c r="J200" s="488">
        <v>40330</v>
      </c>
      <c r="K200" s="487">
        <v>267.97308135865416</v>
      </c>
      <c r="L200" s="487">
        <v>258.19206388906326</v>
      </c>
      <c r="N200" s="487"/>
      <c r="O200" s="487"/>
      <c r="P200" s="460"/>
    </row>
    <row r="201" spans="3:16" ht="14.5" x14ac:dyDescent="0.35">
      <c r="C201" s="472" t="s">
        <v>865</v>
      </c>
      <c r="E201" s="474">
        <v>22.200000000000003</v>
      </c>
      <c r="F201" s="474">
        <v>22.200000000000003</v>
      </c>
      <c r="G201" s="474">
        <v>22.200000000000003</v>
      </c>
      <c r="H201" s="474">
        <v>22.200000000000003</v>
      </c>
      <c r="I201" s="474">
        <v>22.2</v>
      </c>
      <c r="J201" s="488">
        <v>40787</v>
      </c>
      <c r="K201" s="487">
        <v>202.12143929341349</v>
      </c>
      <c r="L201" s="487">
        <v>194.7440067592039</v>
      </c>
      <c r="N201" s="487"/>
      <c r="O201" s="487"/>
      <c r="P201" s="460"/>
    </row>
    <row r="202" spans="3:16" ht="14.5" x14ac:dyDescent="0.35">
      <c r="C202" s="472" t="s">
        <v>866</v>
      </c>
      <c r="E202" s="474">
        <v>21.1</v>
      </c>
      <c r="F202" s="474">
        <v>21.1</v>
      </c>
      <c r="G202" s="474">
        <v>21.1</v>
      </c>
      <c r="H202" s="474">
        <v>21.1</v>
      </c>
      <c r="I202" s="474">
        <v>21.1</v>
      </c>
      <c r="J202" s="488">
        <v>41944</v>
      </c>
      <c r="K202" s="487">
        <v>223.91555342957017</v>
      </c>
      <c r="L202" s="487">
        <v>215.74263572939086</v>
      </c>
      <c r="N202" s="487"/>
      <c r="O202" s="487"/>
      <c r="P202" s="460"/>
    </row>
    <row r="203" spans="3:16" ht="14.5" x14ac:dyDescent="0.35">
      <c r="C203" s="489" t="s">
        <v>867</v>
      </c>
      <c r="E203" s="490">
        <v>9.7000000000000011</v>
      </c>
      <c r="F203" s="490">
        <v>9.7000000000000011</v>
      </c>
      <c r="G203" s="490">
        <v>9.7000000000000011</v>
      </c>
      <c r="H203" s="490">
        <v>9.7000000000000011</v>
      </c>
      <c r="I203" s="490">
        <v>9.6999999999999993</v>
      </c>
      <c r="J203" s="491">
        <v>42339</v>
      </c>
      <c r="K203" s="492">
        <v>256.29008607460059</v>
      </c>
      <c r="L203" s="492">
        <v>246.93549793287767</v>
      </c>
      <c r="N203" s="487"/>
      <c r="O203" s="487"/>
      <c r="P203" s="460"/>
    </row>
    <row r="204" spans="3:16" ht="14.5" x14ac:dyDescent="0.35">
      <c r="C204" s="467" t="s">
        <v>868</v>
      </c>
      <c r="E204" s="485">
        <v>239.02876760547949</v>
      </c>
      <c r="F204" s="485">
        <v>231.99405097775184</v>
      </c>
      <c r="G204" s="485">
        <v>231.06334278904114</v>
      </c>
      <c r="H204" s="485">
        <v>218.54279484383562</v>
      </c>
      <c r="I204" s="485">
        <v>210.53450991232882</v>
      </c>
      <c r="J204" s="493" t="s">
        <v>243</v>
      </c>
      <c r="K204" s="486">
        <v>189.46178306230388</v>
      </c>
      <c r="L204" s="486">
        <v>182.54642798052978</v>
      </c>
      <c r="N204" s="487"/>
      <c r="O204" s="487"/>
      <c r="P204" s="460"/>
    </row>
    <row r="205" spans="3:16" x14ac:dyDescent="0.3">
      <c r="C205" s="469" t="s">
        <v>869</v>
      </c>
      <c r="E205" s="482">
        <f>E194+E204</f>
        <v>570.12875683379002</v>
      </c>
      <c r="F205" s="482">
        <f t="shared" ref="F205:I205" si="1">F194+F204</f>
        <v>563.09404020606235</v>
      </c>
      <c r="G205" s="482">
        <f t="shared" si="1"/>
        <v>562.16333201735165</v>
      </c>
      <c r="H205" s="482">
        <f t="shared" si="1"/>
        <v>549.64278407214613</v>
      </c>
      <c r="I205" s="482">
        <f t="shared" si="1"/>
        <v>541.63449914063926</v>
      </c>
      <c r="J205" s="338"/>
      <c r="K205" s="338"/>
    </row>
    <row r="206" spans="3:16" x14ac:dyDescent="0.3">
      <c r="C206" s="494" t="s">
        <v>870</v>
      </c>
      <c r="E206" s="474">
        <f>E192-E205</f>
        <v>45.071243166210138</v>
      </c>
      <c r="F206" s="474">
        <f t="shared" ref="F206:I206" si="2">F192-F205</f>
        <v>52.105959793937814</v>
      </c>
      <c r="G206" s="474">
        <f t="shared" si="2"/>
        <v>53.03666798264851</v>
      </c>
      <c r="H206" s="474">
        <f t="shared" si="2"/>
        <v>65.557215927854031</v>
      </c>
      <c r="I206" s="474">
        <f t="shared" si="2"/>
        <v>73.565500859360895</v>
      </c>
      <c r="J206" s="338"/>
      <c r="K206" s="338"/>
    </row>
    <row r="207" spans="3:16" x14ac:dyDescent="0.3">
      <c r="C207" s="130" t="s">
        <v>871</v>
      </c>
      <c r="E207" s="495">
        <v>219.5417724757508</v>
      </c>
      <c r="F207" s="495">
        <v>219.26708755836376</v>
      </c>
      <c r="G207" s="495">
        <v>218.46949190675241</v>
      </c>
      <c r="H207" s="495">
        <v>216.19102372214101</v>
      </c>
      <c r="I207" s="495">
        <v>215.86333497349406</v>
      </c>
      <c r="J207" s="338"/>
      <c r="K207" s="338"/>
    </row>
    <row r="208" spans="3:16" x14ac:dyDescent="0.3">
      <c r="C208" s="157" t="s">
        <v>872</v>
      </c>
      <c r="E208" s="496">
        <f>E205/E192</f>
        <v>0.92673725103021765</v>
      </c>
      <c r="F208" s="496">
        <f t="shared" ref="F208:I208" si="3">F205/F192</f>
        <v>0.91530240605666813</v>
      </c>
      <c r="G208" s="496">
        <f t="shared" si="3"/>
        <v>0.91378955139361429</v>
      </c>
      <c r="H208" s="496">
        <f t="shared" si="3"/>
        <v>0.89343755538385239</v>
      </c>
      <c r="I208" s="496">
        <f t="shared" si="3"/>
        <v>0.88042018715968651</v>
      </c>
      <c r="J208" s="497"/>
      <c r="K208" s="497"/>
      <c r="L208" s="157"/>
    </row>
    <row r="209" spans="3:11" x14ac:dyDescent="0.3">
      <c r="J209" s="338"/>
      <c r="K209" s="338"/>
    </row>
    <row r="210" spans="3:11" x14ac:dyDescent="0.3">
      <c r="C210" s="472" t="s">
        <v>873</v>
      </c>
      <c r="J210" s="338"/>
      <c r="K210" s="338"/>
    </row>
    <row r="212" spans="3:11" x14ac:dyDescent="0.3">
      <c r="C212" s="465" t="s">
        <v>874</v>
      </c>
      <c r="E212" s="465" t="s">
        <v>875</v>
      </c>
      <c r="F212" s="466"/>
      <c r="G212" s="466"/>
      <c r="H212" s="466"/>
      <c r="I212" s="466"/>
    </row>
    <row r="213" spans="3:11" x14ac:dyDescent="0.3">
      <c r="C213" s="498" t="s">
        <v>876</v>
      </c>
      <c r="D213" s="498"/>
      <c r="E213" s="498" t="s">
        <v>825</v>
      </c>
    </row>
    <row r="214" spans="3:11" x14ac:dyDescent="0.3">
      <c r="C214" s="498" t="s">
        <v>877</v>
      </c>
      <c r="D214" s="498"/>
      <c r="E214" s="498" t="s">
        <v>825</v>
      </c>
    </row>
    <row r="215" spans="3:11" x14ac:dyDescent="0.3">
      <c r="C215" s="498" t="s">
        <v>878</v>
      </c>
      <c r="D215" s="498"/>
      <c r="E215" s="498" t="s">
        <v>879</v>
      </c>
    </row>
    <row r="216" spans="3:11" x14ac:dyDescent="0.3">
      <c r="C216" s="498" t="s">
        <v>880</v>
      </c>
      <c r="D216" s="498"/>
      <c r="E216" s="498" t="s">
        <v>879</v>
      </c>
    </row>
    <row r="217" spans="3:11" x14ac:dyDescent="0.3">
      <c r="C217" s="498" t="s">
        <v>881</v>
      </c>
      <c r="D217" s="498"/>
      <c r="E217" s="498" t="s">
        <v>879</v>
      </c>
    </row>
    <row r="218" spans="3:11" x14ac:dyDescent="0.3">
      <c r="C218" s="498" t="s">
        <v>882</v>
      </c>
      <c r="D218" s="498"/>
      <c r="E218" s="498" t="s">
        <v>827</v>
      </c>
    </row>
    <row r="219" spans="3:11" x14ac:dyDescent="0.3">
      <c r="C219" s="498" t="s">
        <v>883</v>
      </c>
      <c r="D219" s="498"/>
      <c r="E219" s="498" t="s">
        <v>827</v>
      </c>
    </row>
    <row r="220" spans="3:11" x14ac:dyDescent="0.3">
      <c r="C220" s="498" t="s">
        <v>884</v>
      </c>
      <c r="D220" s="498"/>
      <c r="E220" s="498" t="s">
        <v>827</v>
      </c>
    </row>
    <row r="221" spans="3:11" x14ac:dyDescent="0.3">
      <c r="C221" s="498" t="s">
        <v>885</v>
      </c>
      <c r="D221" s="498"/>
      <c r="E221" s="498" t="s">
        <v>886</v>
      </c>
    </row>
    <row r="222" spans="3:11" x14ac:dyDescent="0.3">
      <c r="C222" s="498" t="s">
        <v>887</v>
      </c>
      <c r="D222" s="498"/>
      <c r="E222" s="498" t="s">
        <v>886</v>
      </c>
    </row>
    <row r="223" spans="3:11" x14ac:dyDescent="0.3">
      <c r="C223" s="498" t="s">
        <v>888</v>
      </c>
      <c r="D223" s="498"/>
      <c r="E223" s="498" t="s">
        <v>886</v>
      </c>
    </row>
    <row r="224" spans="3:11" x14ac:dyDescent="0.3">
      <c r="C224" s="498" t="s">
        <v>889</v>
      </c>
      <c r="D224" s="498"/>
      <c r="E224" s="498" t="s">
        <v>886</v>
      </c>
    </row>
    <row r="225" spans="3:5" x14ac:dyDescent="0.3">
      <c r="C225" s="498" t="s">
        <v>890</v>
      </c>
      <c r="D225" s="498"/>
      <c r="E225" s="498" t="s">
        <v>886</v>
      </c>
    </row>
    <row r="226" spans="3:5" x14ac:dyDescent="0.3">
      <c r="C226" s="498" t="s">
        <v>891</v>
      </c>
      <c r="D226" s="498"/>
      <c r="E226" s="498" t="s">
        <v>690</v>
      </c>
    </row>
    <row r="227" spans="3:5" x14ac:dyDescent="0.3">
      <c r="C227" s="498" t="s">
        <v>892</v>
      </c>
      <c r="D227" s="498"/>
      <c r="E227" s="498" t="s">
        <v>690</v>
      </c>
    </row>
    <row r="228" spans="3:5" x14ac:dyDescent="0.3">
      <c r="C228" s="498" t="s">
        <v>893</v>
      </c>
      <c r="D228" s="498"/>
      <c r="E228" s="498" t="s">
        <v>690</v>
      </c>
    </row>
    <row r="229" spans="3:5" x14ac:dyDescent="0.3">
      <c r="C229" s="498" t="s">
        <v>894</v>
      </c>
      <c r="D229" s="498"/>
      <c r="E229" s="498" t="s">
        <v>690</v>
      </c>
    </row>
    <row r="230" spans="3:5" x14ac:dyDescent="0.3">
      <c r="C230" s="498" t="s">
        <v>895</v>
      </c>
      <c r="D230" s="498"/>
      <c r="E230" s="498" t="s">
        <v>690</v>
      </c>
    </row>
    <row r="231" spans="3:5" x14ac:dyDescent="0.3">
      <c r="C231" s="498" t="s">
        <v>896</v>
      </c>
      <c r="D231" s="498"/>
      <c r="E231" s="498" t="s">
        <v>690</v>
      </c>
    </row>
    <row r="232" spans="3:5" x14ac:dyDescent="0.3">
      <c r="C232" s="498" t="s">
        <v>897</v>
      </c>
      <c r="D232" s="498"/>
      <c r="E232" s="498" t="s">
        <v>690</v>
      </c>
    </row>
    <row r="233" spans="3:5" x14ac:dyDescent="0.3">
      <c r="C233" s="498" t="s">
        <v>897</v>
      </c>
      <c r="D233" s="498"/>
      <c r="E233" s="498" t="s">
        <v>690</v>
      </c>
    </row>
    <row r="234" spans="3:5" x14ac:dyDescent="0.3">
      <c r="C234" s="498" t="s">
        <v>898</v>
      </c>
      <c r="D234" s="498"/>
      <c r="E234" s="498" t="s">
        <v>690</v>
      </c>
    </row>
    <row r="235" spans="3:5" x14ac:dyDescent="0.3">
      <c r="C235" s="498" t="s">
        <v>899</v>
      </c>
      <c r="D235" s="498"/>
      <c r="E235" s="498" t="s">
        <v>900</v>
      </c>
    </row>
    <row r="236" spans="3:5" x14ac:dyDescent="0.3">
      <c r="C236" s="498" t="s">
        <v>901</v>
      </c>
      <c r="D236" s="498"/>
      <c r="E236" s="498" t="s">
        <v>900</v>
      </c>
    </row>
    <row r="237" spans="3:5" x14ac:dyDescent="0.3">
      <c r="C237" s="498" t="s">
        <v>902</v>
      </c>
      <c r="D237" s="498"/>
      <c r="E237" s="498" t="s">
        <v>900</v>
      </c>
    </row>
    <row r="238" spans="3:5" x14ac:dyDescent="0.3">
      <c r="C238" s="498" t="s">
        <v>903</v>
      </c>
      <c r="D238" s="498"/>
      <c r="E238" s="498" t="s">
        <v>831</v>
      </c>
    </row>
    <row r="239" spans="3:5" x14ac:dyDescent="0.3">
      <c r="C239" s="498" t="s">
        <v>904</v>
      </c>
      <c r="D239" s="498"/>
      <c r="E239" s="498" t="s">
        <v>831</v>
      </c>
    </row>
    <row r="240" spans="3:5" x14ac:dyDescent="0.3">
      <c r="C240" s="498" t="s">
        <v>905</v>
      </c>
      <c r="D240" s="498"/>
      <c r="E240" s="498" t="s">
        <v>831</v>
      </c>
    </row>
    <row r="241" spans="3:5" x14ac:dyDescent="0.3">
      <c r="C241" s="498" t="s">
        <v>906</v>
      </c>
      <c r="D241" s="498"/>
      <c r="E241" s="498" t="s">
        <v>831</v>
      </c>
    </row>
    <row r="242" spans="3:5" x14ac:dyDescent="0.3">
      <c r="C242" s="498" t="s">
        <v>907</v>
      </c>
      <c r="D242" s="498"/>
      <c r="E242" s="498" t="s">
        <v>908</v>
      </c>
    </row>
    <row r="243" spans="3:5" x14ac:dyDescent="0.3">
      <c r="C243" s="498" t="s">
        <v>909</v>
      </c>
      <c r="D243" s="498"/>
      <c r="E243" s="498" t="s">
        <v>908</v>
      </c>
    </row>
    <row r="244" spans="3:5" x14ac:dyDescent="0.3">
      <c r="C244" s="498" t="s">
        <v>910</v>
      </c>
      <c r="D244" s="498"/>
      <c r="E244" s="498" t="s">
        <v>908</v>
      </c>
    </row>
    <row r="245" spans="3:5" x14ac:dyDescent="0.3">
      <c r="C245" s="498" t="s">
        <v>911</v>
      </c>
      <c r="D245" s="498"/>
      <c r="E245" s="498" t="s">
        <v>908</v>
      </c>
    </row>
    <row r="246" spans="3:5" x14ac:dyDescent="0.3">
      <c r="C246" s="498" t="s">
        <v>912</v>
      </c>
      <c r="D246" s="498"/>
      <c r="E246" s="498" t="s">
        <v>908</v>
      </c>
    </row>
    <row r="247" spans="3:5" x14ac:dyDescent="0.3">
      <c r="C247" s="498" t="s">
        <v>913</v>
      </c>
      <c r="D247" s="498"/>
      <c r="E247" s="498" t="s">
        <v>908</v>
      </c>
    </row>
    <row r="248" spans="3:5" x14ac:dyDescent="0.3">
      <c r="C248" s="498" t="s">
        <v>914</v>
      </c>
      <c r="D248" s="498"/>
      <c r="E248" s="498" t="s">
        <v>908</v>
      </c>
    </row>
    <row r="249" spans="3:5" x14ac:dyDescent="0.3">
      <c r="C249" s="498" t="s">
        <v>915</v>
      </c>
      <c r="D249" s="498"/>
      <c r="E249" s="498" t="s">
        <v>908</v>
      </c>
    </row>
    <row r="250" spans="3:5" x14ac:dyDescent="0.3">
      <c r="C250" s="498" t="s">
        <v>916</v>
      </c>
      <c r="D250" s="498"/>
      <c r="E250" s="498" t="s">
        <v>917</v>
      </c>
    </row>
    <row r="251" spans="3:5" x14ac:dyDescent="0.3">
      <c r="C251" s="498" t="s">
        <v>918</v>
      </c>
      <c r="D251" s="498"/>
      <c r="E251" s="498" t="s">
        <v>917</v>
      </c>
    </row>
    <row r="252" spans="3:5" x14ac:dyDescent="0.3">
      <c r="C252" s="498" t="s">
        <v>919</v>
      </c>
      <c r="D252" s="498"/>
      <c r="E252" s="498" t="s">
        <v>917</v>
      </c>
    </row>
    <row r="253" spans="3:5" x14ac:dyDescent="0.3">
      <c r="C253" s="498" t="s">
        <v>920</v>
      </c>
      <c r="D253" s="498"/>
      <c r="E253" s="498" t="s">
        <v>917</v>
      </c>
    </row>
    <row r="254" spans="3:5" x14ac:dyDescent="0.3">
      <c r="C254" s="498" t="s">
        <v>921</v>
      </c>
      <c r="D254" s="498"/>
      <c r="E254" s="498" t="s">
        <v>917</v>
      </c>
    </row>
    <row r="255" spans="3:5" x14ac:dyDescent="0.3">
      <c r="C255" s="498" t="s">
        <v>922</v>
      </c>
      <c r="D255" s="498"/>
      <c r="E255" s="498" t="s">
        <v>917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CC20F-70F0-47B9-A30F-C1EBD65EE393}">
  <sheetPr>
    <tabColor theme="9" tint="0.79998168889431442"/>
  </sheetPr>
  <dimension ref="C2:V24"/>
  <sheetViews>
    <sheetView showGridLines="0" zoomScale="85" zoomScaleNormal="85" workbookViewId="0">
      <selection activeCell="H3" sqref="H3"/>
    </sheetView>
  </sheetViews>
  <sheetFormatPr defaultColWidth="8.81640625" defaultRowHeight="13" x14ac:dyDescent="0.3"/>
  <cols>
    <col min="1" max="1" width="2.81640625" style="130" customWidth="1"/>
    <col min="2" max="2" width="8.81640625" style="130"/>
    <col min="3" max="3" width="54.54296875" style="130" customWidth="1"/>
    <col min="4" max="4" width="2.26953125" style="130" customWidth="1"/>
    <col min="5" max="28" width="9.90625" style="130" customWidth="1"/>
    <col min="29" max="16384" width="8.81640625" style="130"/>
  </cols>
  <sheetData>
    <row r="2" spans="3:22" ht="12.5" customHeight="1" x14ac:dyDescent="0.3"/>
    <row r="3" spans="3:22" ht="12.5" customHeight="1" x14ac:dyDescent="0.3"/>
    <row r="4" spans="3:22" ht="12.5" customHeight="1" x14ac:dyDescent="0.3"/>
    <row r="6" spans="3:22" x14ac:dyDescent="0.3">
      <c r="C6" s="41" t="s">
        <v>973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3:22" x14ac:dyDescent="0.3">
      <c r="C7" s="572" t="s">
        <v>974</v>
      </c>
      <c r="E7" s="573" t="s">
        <v>79</v>
      </c>
      <c r="F7" s="573" t="s">
        <v>80</v>
      </c>
      <c r="G7" s="573" t="s">
        <v>81</v>
      </c>
      <c r="H7" s="573" t="s">
        <v>82</v>
      </c>
      <c r="I7" s="573" t="s">
        <v>83</v>
      </c>
      <c r="J7" s="573" t="s">
        <v>685</v>
      </c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</row>
    <row r="8" spans="3:22" x14ac:dyDescent="0.3">
      <c r="C8" s="209" t="s">
        <v>975</v>
      </c>
      <c r="E8" s="537">
        <v>66.56</v>
      </c>
      <c r="F8" s="537">
        <v>78.173000000000002</v>
      </c>
      <c r="G8" s="537">
        <v>76.549000000000007</v>
      </c>
      <c r="H8" s="537">
        <v>71.712999999999994</v>
      </c>
      <c r="I8" s="537">
        <v>75.471000000000004</v>
      </c>
      <c r="J8" s="537">
        <v>75.37</v>
      </c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</row>
    <row r="9" spans="3:22" x14ac:dyDescent="0.3">
      <c r="C9" s="209" t="s">
        <v>976</v>
      </c>
      <c r="E9" s="537">
        <v>71.567999999999998</v>
      </c>
      <c r="F9" s="537">
        <v>88.777000000000001</v>
      </c>
      <c r="G9" s="537">
        <v>85.67</v>
      </c>
      <c r="H9" s="537">
        <v>79.828000000000003</v>
      </c>
      <c r="I9" s="537">
        <v>82.596999999999994</v>
      </c>
      <c r="J9" s="537">
        <v>81.486000000000004</v>
      </c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</row>
    <row r="10" spans="3:22" x14ac:dyDescent="0.3">
      <c r="C10" s="209" t="s">
        <v>977</v>
      </c>
      <c r="E10" s="538">
        <f>E9/E8</f>
        <v>1.0752403846153846</v>
      </c>
      <c r="F10" s="538">
        <f t="shared" ref="F10:H10" si="0">F9/F8</f>
        <v>1.1356478579560718</v>
      </c>
      <c r="G10" s="538">
        <f t="shared" si="0"/>
        <v>1.1191524383074893</v>
      </c>
      <c r="H10" s="538">
        <f t="shared" si="0"/>
        <v>1.1131593992720987</v>
      </c>
      <c r="I10" s="538">
        <f>I9/I8</f>
        <v>1.0944203733884537</v>
      </c>
      <c r="J10" s="538">
        <v>1.0811463446994825</v>
      </c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</row>
    <row r="11" spans="3:22" ht="13.5" x14ac:dyDescent="0.3">
      <c r="C11" s="209" t="s">
        <v>978</v>
      </c>
      <c r="E11" s="537">
        <v>3772.9479999999999</v>
      </c>
      <c r="F11" s="537">
        <v>5264.6120000000001</v>
      </c>
      <c r="G11" s="537">
        <v>5787.6639999999998</v>
      </c>
      <c r="H11" s="537">
        <v>5515.3509999999997</v>
      </c>
      <c r="I11" s="537">
        <v>5507.5420000000004</v>
      </c>
      <c r="J11" s="537">
        <v>5450.4080000000004</v>
      </c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</row>
    <row r="12" spans="3:22" x14ac:dyDescent="0.3">
      <c r="C12" s="209" t="s">
        <v>979</v>
      </c>
      <c r="E12" s="539">
        <v>0.35</v>
      </c>
      <c r="F12" s="539">
        <v>0.40579999999999999</v>
      </c>
      <c r="G12" s="539">
        <v>0.40579999999999999</v>
      </c>
      <c r="H12" s="539">
        <v>0.42</v>
      </c>
      <c r="I12" s="539">
        <v>0.42</v>
      </c>
      <c r="J12" s="539">
        <v>0.42</v>
      </c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</row>
    <row r="13" spans="3:22" x14ac:dyDescent="0.3">
      <c r="C13" s="209" t="s">
        <v>980</v>
      </c>
      <c r="E13" s="540">
        <v>0.70199999999999996</v>
      </c>
      <c r="F13" s="540">
        <v>0.65300000000000002</v>
      </c>
      <c r="G13" s="540">
        <v>0.64009688666296194</v>
      </c>
      <c r="H13" s="539">
        <v>0.61550000000000005</v>
      </c>
      <c r="I13" s="539">
        <v>0.59389999999999998</v>
      </c>
      <c r="J13" s="539">
        <v>0.58489999999999998</v>
      </c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</row>
    <row r="14" spans="3:22" x14ac:dyDescent="0.3">
      <c r="C14" s="209" t="s">
        <v>981</v>
      </c>
      <c r="E14" s="537">
        <v>873</v>
      </c>
      <c r="F14" s="537">
        <v>873</v>
      </c>
      <c r="G14" s="537">
        <v>873</v>
      </c>
      <c r="H14" s="537">
        <v>873</v>
      </c>
      <c r="I14" s="537">
        <v>873</v>
      </c>
      <c r="J14" s="537">
        <v>873</v>
      </c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</row>
    <row r="15" spans="3:22" ht="14.5" x14ac:dyDescent="0.35">
      <c r="C15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</row>
    <row r="16" spans="3:22" x14ac:dyDescent="0.3">
      <c r="C16" s="572" t="s">
        <v>982</v>
      </c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</row>
    <row r="17" spans="3:22" x14ac:dyDescent="0.3">
      <c r="C17" s="209" t="s">
        <v>975</v>
      </c>
      <c r="E17" s="537">
        <v>8.27</v>
      </c>
      <c r="F17" s="537">
        <v>9.8260000000000005</v>
      </c>
      <c r="G17" s="537">
        <v>9.6539999999999999</v>
      </c>
      <c r="H17" s="537">
        <v>8.7240000000000002</v>
      </c>
      <c r="I17" s="537">
        <v>8.0660000000000007</v>
      </c>
      <c r="J17" s="537">
        <v>8.0739999999999998</v>
      </c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</row>
    <row r="18" spans="3:22" x14ac:dyDescent="0.3">
      <c r="C18" s="209" t="s">
        <v>976</v>
      </c>
      <c r="E18" s="537">
        <v>10.462999999999999</v>
      </c>
      <c r="F18" s="537">
        <v>12.137</v>
      </c>
      <c r="G18" s="537">
        <v>11.827999999999999</v>
      </c>
      <c r="H18" s="537">
        <v>10.84</v>
      </c>
      <c r="I18" s="537">
        <v>10.092000000000001</v>
      </c>
      <c r="J18" s="537">
        <v>9.734</v>
      </c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</row>
    <row r="19" spans="3:22" ht="13.5" x14ac:dyDescent="0.3">
      <c r="C19" s="209" t="s">
        <v>978</v>
      </c>
      <c r="E19" s="537">
        <v>525.32650000000001</v>
      </c>
      <c r="F19" s="537">
        <v>786.09199999999998</v>
      </c>
      <c r="G19" s="537">
        <v>745.9353000000001</v>
      </c>
      <c r="H19" s="537">
        <v>701.95600000000002</v>
      </c>
      <c r="I19" s="537">
        <v>764.11199999999997</v>
      </c>
      <c r="J19" s="537">
        <v>638.73099999999999</v>
      </c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</row>
    <row r="20" spans="3:22" x14ac:dyDescent="0.3">
      <c r="C20" s="209" t="s">
        <v>983</v>
      </c>
      <c r="E20" s="540">
        <v>7.0000000000000007E-2</v>
      </c>
      <c r="F20" s="540">
        <v>7.0000000000000007E-2</v>
      </c>
      <c r="G20" s="540">
        <v>7.0000000000000007E-2</v>
      </c>
      <c r="H20" s="539">
        <v>7.0000000000000007E-2</v>
      </c>
      <c r="I20" s="539">
        <v>0.08</v>
      </c>
      <c r="J20" s="539">
        <v>0.08</v>
      </c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39"/>
      <c r="V20" s="539"/>
    </row>
    <row r="21" spans="3:22" x14ac:dyDescent="0.3">
      <c r="C21" s="209" t="s">
        <v>981</v>
      </c>
      <c r="E21" s="537">
        <v>372</v>
      </c>
      <c r="F21" s="537">
        <v>372</v>
      </c>
      <c r="G21" s="537">
        <v>372</v>
      </c>
      <c r="H21" s="537">
        <v>372</v>
      </c>
      <c r="I21" s="537">
        <v>372</v>
      </c>
      <c r="J21" s="537">
        <v>372</v>
      </c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</row>
    <row r="22" spans="3:22" ht="14.5" x14ac:dyDescent="0.35">
      <c r="C22"/>
      <c r="E22" s="537"/>
      <c r="F22" s="537"/>
      <c r="G22" s="537"/>
      <c r="H22" s="537"/>
      <c r="I22" s="537"/>
      <c r="J22" s="537"/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</row>
    <row r="23" spans="3:22" x14ac:dyDescent="0.3">
      <c r="C23" s="572" t="s">
        <v>984</v>
      </c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3"/>
      <c r="Q23" s="573"/>
      <c r="R23" s="573"/>
      <c r="S23" s="573"/>
      <c r="T23" s="573"/>
      <c r="U23" s="573"/>
      <c r="V23" s="573"/>
    </row>
    <row r="24" spans="3:22" x14ac:dyDescent="0.3">
      <c r="C24" s="209" t="s">
        <v>985</v>
      </c>
      <c r="E24" s="541">
        <v>3.1</v>
      </c>
      <c r="F24" s="541">
        <v>2.5219999999999998</v>
      </c>
      <c r="G24" s="541">
        <v>3.2610000000000001</v>
      </c>
      <c r="H24" s="541">
        <v>4.0540000000000003</v>
      </c>
      <c r="I24" s="541">
        <v>5.9610000000000003</v>
      </c>
      <c r="J24" s="541">
        <v>5.6470000000000002</v>
      </c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71</vt:i4>
      </vt:variant>
    </vt:vector>
  </HeadingPairs>
  <TitlesOfParts>
    <vt:vector size="71" baseType="lpstr">
      <vt:lpstr>Capa</vt:lpstr>
      <vt:lpstr>Operacional</vt:lpstr>
      <vt:lpstr>Mercado Distribuição</vt:lpstr>
      <vt:lpstr>Bal. Energético Distribuição</vt:lpstr>
      <vt:lpstr>Perdas Distribuição</vt:lpstr>
      <vt:lpstr>DEC FEC</vt:lpstr>
      <vt:lpstr>Contratos Distribuição</vt:lpstr>
      <vt:lpstr>Operacional Renováveis</vt:lpstr>
      <vt:lpstr>Operacional Saneamento</vt:lpstr>
      <vt:lpstr>DRE ITR</vt:lpstr>
      <vt:lpstr>DRE ITR Maranhão</vt:lpstr>
      <vt:lpstr>DRE ITR Pará</vt:lpstr>
      <vt:lpstr>DRE ITR Piauí</vt:lpstr>
      <vt:lpstr>DRE ITR Alagoas</vt:lpstr>
      <vt:lpstr>DRE ITR CEEE-D</vt:lpstr>
      <vt:lpstr>DRE ITR CEA</vt:lpstr>
      <vt:lpstr>DRE ITR Goiás</vt:lpstr>
      <vt:lpstr>DRE ITR SPEs</vt:lpstr>
      <vt:lpstr>DRE ITR Echoenergia</vt:lpstr>
      <vt:lpstr>DRE ITR Echo Crescimento</vt:lpstr>
      <vt:lpstr>DRE ITR EQTT</vt:lpstr>
      <vt:lpstr>DRE ITR INTESA</vt:lpstr>
      <vt:lpstr>DRE ITR CSA</vt:lpstr>
      <vt:lpstr>DRE ITR Serviços</vt:lpstr>
      <vt:lpstr>DRE ITR Holding</vt:lpstr>
      <vt:lpstr>DRE ITR Consolidado</vt:lpstr>
      <vt:lpstr>DRE Resumida</vt:lpstr>
      <vt:lpstr>DRE Maranhão</vt:lpstr>
      <vt:lpstr>DRE Pará</vt:lpstr>
      <vt:lpstr>DRE Piauí</vt:lpstr>
      <vt:lpstr>DRE Alagoas</vt:lpstr>
      <vt:lpstr>DRE CEEE-D</vt:lpstr>
      <vt:lpstr>DRE CEA</vt:lpstr>
      <vt:lpstr>DRE Goiás</vt:lpstr>
      <vt:lpstr>DRE Intesa IFRS</vt:lpstr>
      <vt:lpstr>DRE Intesa Reg</vt:lpstr>
      <vt:lpstr>DRE EQTT IFRS</vt:lpstr>
      <vt:lpstr>DRE EQTT Reg</vt:lpstr>
      <vt:lpstr>DRE Echoenergia</vt:lpstr>
      <vt:lpstr>DRE CSA</vt:lpstr>
      <vt:lpstr>DRE EQTL Serviços</vt:lpstr>
      <vt:lpstr>DRE EQTL Cons </vt:lpstr>
      <vt:lpstr>DRE EQTL Holding</vt:lpstr>
      <vt:lpstr>DRE Individual</vt:lpstr>
      <vt:lpstr>Informações Financeiras Aj.</vt:lpstr>
      <vt:lpstr>BPs</vt:lpstr>
      <vt:lpstr>BP Maranhão</vt:lpstr>
      <vt:lpstr>BP Pará</vt:lpstr>
      <vt:lpstr>BP Piauí</vt:lpstr>
      <vt:lpstr>BP Alagoas</vt:lpstr>
      <vt:lpstr>BP CEEE-D </vt:lpstr>
      <vt:lpstr>BP CEA</vt:lpstr>
      <vt:lpstr>BP CELG</vt:lpstr>
      <vt:lpstr>BP CSA</vt:lpstr>
      <vt:lpstr>BP Echoenergia</vt:lpstr>
      <vt:lpstr>BP Transmissão</vt:lpstr>
      <vt:lpstr>BP Intesa</vt:lpstr>
      <vt:lpstr>BP EQTL Cons</vt:lpstr>
      <vt:lpstr>BP EQTL Holding</vt:lpstr>
      <vt:lpstr>Dívida e CAPEX</vt:lpstr>
      <vt:lpstr>Dívida Bruta</vt:lpstr>
      <vt:lpstr>Dívida Líquida</vt:lpstr>
      <vt:lpstr>Dívida Detalhada</vt:lpstr>
      <vt:lpstr>Investimentos</vt:lpstr>
      <vt:lpstr>Balanço CVA</vt:lpstr>
      <vt:lpstr>Sistemas Isolados</vt:lpstr>
      <vt:lpstr>Apuração IR CS </vt:lpstr>
      <vt:lpstr>Dados Regulatórios</vt:lpstr>
      <vt:lpstr>Dados Concessões</vt:lpstr>
      <vt:lpstr>Dados Regulatórios Distribuição</vt:lpstr>
      <vt:lpstr>Dados Leilões Transmissão</vt:lpstr>
    </vt:vector>
  </TitlesOfParts>
  <Company>Equatorial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MARTINS GUIMARAES</dc:creator>
  <cp:lastModifiedBy>LUCAS MARTINS GUIMARAES</cp:lastModifiedBy>
  <dcterms:created xsi:type="dcterms:W3CDTF">2024-01-02T18:00:37Z</dcterms:created>
  <dcterms:modified xsi:type="dcterms:W3CDTF">2024-01-30T18:07:38Z</dcterms:modified>
</cp:coreProperties>
</file>