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marte\FS_CAMIL\43_ESCRITORIO_CENTRAL\RELACOES_INVESTIDORES\Relacoes Investidores\Resultados\2025\3T25\Para Arquivar\"/>
    </mc:Choice>
  </mc:AlternateContent>
  <xr:revisionPtr revIDLastSave="0" documentId="13_ncr:1_{FC032113-868D-491A-B096-BF854636AB3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ontrol" sheetId="5" r:id="rId1"/>
    <sheet name="Quarter" sheetId="1" r:id="rId2"/>
    <sheet name="Year" sheetId="4" r:id="rId3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5" l="1"/>
  <c r="BY6" i="1" l="1"/>
  <c r="B66" i="4"/>
  <c r="B65" i="4"/>
  <c r="B64" i="4"/>
  <c r="B58" i="4"/>
  <c r="B57" i="4"/>
  <c r="B56" i="4"/>
  <c r="B50" i="4"/>
  <c r="B49" i="4"/>
  <c r="B47" i="4"/>
  <c r="B45" i="4"/>
  <c r="B44" i="4"/>
  <c r="B43" i="4"/>
  <c r="B42" i="4"/>
  <c r="B41" i="4"/>
  <c r="B40" i="4"/>
  <c r="B39" i="4"/>
  <c r="B38" i="4"/>
  <c r="B37" i="4"/>
  <c r="B36" i="4"/>
  <c r="B33" i="4"/>
  <c r="B32" i="4"/>
  <c r="B31" i="4"/>
  <c r="B30" i="4"/>
  <c r="B29" i="4"/>
  <c r="B28" i="4"/>
  <c r="B27" i="4"/>
  <c r="B26" i="4"/>
  <c r="B25" i="4"/>
  <c r="B24" i="4"/>
  <c r="B23" i="4"/>
  <c r="B21" i="4"/>
  <c r="B20" i="4"/>
  <c r="B19" i="4"/>
  <c r="B18" i="4"/>
  <c r="B17" i="4"/>
  <c r="B16" i="4"/>
  <c r="B15" i="4"/>
  <c r="B14" i="4"/>
  <c r="B13" i="4"/>
  <c r="B12" i="4"/>
  <c r="B10" i="4"/>
  <c r="B6" i="4"/>
  <c r="B5" i="4"/>
  <c r="B3" i="4"/>
  <c r="B2" i="4"/>
  <c r="B72" i="1"/>
  <c r="B68" i="1"/>
  <c r="B67" i="1"/>
  <c r="B66" i="1"/>
  <c r="B63" i="1"/>
  <c r="B59" i="1"/>
  <c r="B58" i="1"/>
  <c r="B57" i="1"/>
  <c r="B54" i="1"/>
  <c r="B50" i="1"/>
  <c r="B49" i="1"/>
  <c r="B47" i="1"/>
  <c r="B45" i="1"/>
  <c r="B44" i="1"/>
  <c r="B43" i="1"/>
  <c r="B42" i="1"/>
  <c r="B41" i="1"/>
  <c r="B40" i="1"/>
  <c r="B39" i="1"/>
  <c r="B38" i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3" i="1"/>
  <c r="B12" i="1"/>
  <c r="B10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G6" i="1"/>
  <c r="F6" i="1"/>
  <c r="E6" i="1"/>
  <c r="D6" i="1"/>
  <c r="C6" i="1"/>
  <c r="B6" i="1"/>
  <c r="B5" i="1"/>
  <c r="B3" i="1"/>
  <c r="B2" i="1"/>
  <c r="B28" i="5"/>
  <c r="B22" i="5"/>
  <c r="B19" i="5"/>
  <c r="B14" i="5"/>
  <c r="B13" i="5"/>
  <c r="B11" i="5"/>
  <c r="B10" i="5"/>
  <c r="B9" i="5"/>
  <c r="D8" i="5"/>
  <c r="B8" i="5"/>
  <c r="B7" i="5"/>
  <c r="B6" i="5"/>
  <c r="B5" i="5"/>
  <c r="B4" i="5"/>
  <c r="H3" i="5"/>
  <c r="B2" i="5"/>
</calcChain>
</file>

<file path=xl/sharedStrings.xml><?xml version="1.0" encoding="utf-8"?>
<sst xmlns="http://schemas.openxmlformats.org/spreadsheetml/2006/main" count="101" uniqueCount="16">
  <si>
    <t>Volume (k ton)</t>
  </si>
  <si>
    <t>2T08</t>
  </si>
  <si>
    <t>3T08</t>
  </si>
  <si>
    <t>Camil Alimentos S.A.</t>
  </si>
  <si>
    <t>R$</t>
  </si>
  <si>
    <t>Preço Líquido (R$/kg)</t>
  </si>
  <si>
    <t>Chile</t>
  </si>
  <si>
    <t>Peru</t>
  </si>
  <si>
    <t>Argentina</t>
  </si>
  <si>
    <t>Equador</t>
  </si>
  <si>
    <t>2022</t>
  </si>
  <si>
    <r>
      <rPr>
        <b/>
        <sz val="11"/>
        <rFont val="Calibri"/>
        <family val="2"/>
        <scheme val="minor"/>
      </rPr>
      <t>Relações com Investidores Camil/IR</t>
    </r>
    <r>
      <rPr>
        <sz val="11"/>
        <rFont val="Calibri"/>
        <family val="2"/>
        <scheme val="minor"/>
      </rPr>
      <t xml:space="preserve">
Ph.: +55 11 3039-9200
E-mail: ri@camil.com.br</t>
    </r>
  </si>
  <si>
    <t>2023</t>
  </si>
  <si>
    <t>2024</t>
  </si>
  <si>
    <t>Paraguai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</si>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</sst>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#,##0.000_);\(#,##0.000\)"/>
    <numFmt numFmtId="166" formatCode="[$-409]d\-mmm\-yy;@"/>
    <numFmt numFmtId="167" formatCode="#,##0.0_);\(#,##0.0\)"/>
    <numFmt numFmtId="168" formatCode="_(* #,##0_);_(* \(#,##0\);_(* &quot;-&quot;??_);_(@_)"/>
    <numFmt numFmtId="169" formatCode="[$-416]mmm\-yy;@"/>
    <numFmt numFmtId="170" formatCode="mm/dd/yy;@"/>
    <numFmt numFmtId="171" formatCode="_-* #,##0_-;\-* #,##0_-;_-* &quot;-&quot;??_-;_-@_-"/>
    <numFmt numFmtId="172" formatCode="#,##0_);\(#,##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532FF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sz val="8"/>
      <color indexed="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432FF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name val="Trebuchet MS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theme="0" tint="-0.14993743705557422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 style="hair">
        <color theme="0" tint="-0.14993743705557422"/>
      </right>
      <top style="hair">
        <color theme="0" tint="-0.14996795556505021"/>
      </top>
      <bottom/>
      <diagonal/>
    </border>
    <border>
      <left style="hair">
        <color theme="0" tint="-0.14993743705557422"/>
      </left>
      <right/>
      <top/>
      <bottom/>
      <diagonal/>
    </border>
    <border>
      <left/>
      <right style="hair">
        <color theme="0" tint="-0.14993743705557422"/>
      </right>
      <top/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theme="0" tint="-0.14993743705557422"/>
      </left>
      <right/>
      <top/>
      <bottom style="hair">
        <color theme="0" tint="-0.14990691854609822"/>
      </bottom>
      <diagonal/>
    </border>
    <border>
      <left/>
      <right/>
      <top/>
      <bottom style="hair">
        <color theme="0" tint="-0.14990691854609822"/>
      </bottom>
      <diagonal/>
    </border>
    <border>
      <left/>
      <right style="hair">
        <color theme="0" tint="-0.14993743705557422"/>
      </right>
      <top/>
      <bottom style="hair">
        <color theme="0" tint="-0.14990691854609822"/>
      </bottom>
      <diagonal/>
    </border>
    <border>
      <left/>
      <right/>
      <top style="hair">
        <color rgb="FF4472C4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8" fillId="0" borderId="0"/>
    <xf numFmtId="0" fontId="1" fillId="4" borderId="21" applyNumberFormat="0" applyFont="0" applyFill="0" applyAlignment="0" applyProtection="0"/>
    <xf numFmtId="164" fontId="4" fillId="0" borderId="0" applyFont="0" applyFill="0" applyBorder="0" applyAlignment="0" applyProtection="0"/>
    <xf numFmtId="0" fontId="3" fillId="4" borderId="22" applyNumberFormat="0" applyFill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2" applyFont="1"/>
    <xf numFmtId="0" fontId="5" fillId="0" borderId="0" xfId="2" applyFont="1" applyAlignment="1">
      <alignment horizontal="right"/>
    </xf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7" fillId="0" borderId="0" xfId="2" applyFont="1"/>
    <xf numFmtId="165" fontId="5" fillId="0" borderId="0" xfId="2" applyNumberFormat="1" applyFont="1" applyAlignment="1">
      <alignment horizontal="right"/>
    </xf>
    <xf numFmtId="0" fontId="2" fillId="2" borderId="0" xfId="2" applyFont="1" applyFill="1"/>
    <xf numFmtId="0" fontId="9" fillId="0" borderId="0" xfId="2" applyFont="1"/>
    <xf numFmtId="37" fontId="9" fillId="0" borderId="0" xfId="2" applyNumberFormat="1" applyFont="1" applyAlignment="1">
      <alignment horizontal="right"/>
    </xf>
    <xf numFmtId="0" fontId="11" fillId="0" borderId="0" xfId="2" applyFont="1"/>
    <xf numFmtId="167" fontId="12" fillId="0" borderId="0" xfId="2" applyNumberFormat="1" applyFont="1"/>
    <xf numFmtId="167" fontId="9" fillId="0" borderId="0" xfId="2" applyNumberFormat="1" applyFont="1" applyAlignment="1">
      <alignment horizontal="left"/>
    </xf>
    <xf numFmtId="0" fontId="11" fillId="0" borderId="0" xfId="2" applyFont="1" applyAlignment="1">
      <alignment horizontal="right"/>
    </xf>
    <xf numFmtId="167" fontId="9" fillId="0" borderId="0" xfId="2" applyNumberFormat="1" applyFont="1" applyAlignment="1">
      <alignment horizontal="left" indent="1"/>
    </xf>
    <xf numFmtId="168" fontId="9" fillId="0" borderId="0" xfId="1" applyNumberFormat="1" applyFont="1" applyFill="1" applyAlignment="1">
      <alignment horizontal="right" indent="1"/>
    </xf>
    <xf numFmtId="166" fontId="2" fillId="2" borderId="0" xfId="2" applyNumberFormat="1" applyFont="1" applyFill="1" applyAlignment="1">
      <alignment horizontal="right"/>
    </xf>
    <xf numFmtId="0" fontId="6" fillId="0" borderId="1" xfId="2" applyFont="1" applyBorder="1" applyAlignment="1">
      <alignment horizontal="right"/>
    </xf>
    <xf numFmtId="0" fontId="7" fillId="0" borderId="0" xfId="2" applyFont="1" applyAlignment="1">
      <alignment horizontal="right"/>
    </xf>
    <xf numFmtId="0" fontId="2" fillId="2" borderId="0" xfId="2" applyFont="1" applyFill="1" applyAlignment="1">
      <alignment horizontal="right"/>
    </xf>
    <xf numFmtId="0" fontId="8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37" fontId="10" fillId="0" borderId="0" xfId="2" applyNumberFormat="1" applyFont="1" applyAlignment="1">
      <alignment horizontal="right"/>
    </xf>
    <xf numFmtId="167" fontId="8" fillId="0" borderId="0" xfId="2" applyNumberFormat="1" applyFont="1" applyAlignment="1">
      <alignment horizontal="right"/>
    </xf>
    <xf numFmtId="169" fontId="2" fillId="2" borderId="0" xfId="2" applyNumberFormat="1" applyFont="1" applyFill="1" applyAlignment="1">
      <alignment horizontal="right"/>
    </xf>
    <xf numFmtId="0" fontId="12" fillId="0" borderId="0" xfId="2" applyFont="1"/>
    <xf numFmtId="164" fontId="9" fillId="0" borderId="0" xfId="1" applyNumberFormat="1" applyFont="1" applyFill="1" applyAlignment="1">
      <alignment horizontal="right" indent="1"/>
    </xf>
    <xf numFmtId="0" fontId="13" fillId="0" borderId="0" xfId="2" applyFont="1" applyAlignment="1">
      <alignment horizontal="right"/>
    </xf>
    <xf numFmtId="0" fontId="13" fillId="0" borderId="0" xfId="2" applyFont="1" applyAlignment="1">
      <alignment horizontal="left"/>
    </xf>
    <xf numFmtId="0" fontId="5" fillId="0" borderId="1" xfId="2" applyFont="1" applyBorder="1"/>
    <xf numFmtId="167" fontId="5" fillId="0" borderId="1" xfId="2" applyNumberFormat="1" applyFont="1" applyBorder="1"/>
    <xf numFmtId="0" fontId="14" fillId="0" borderId="2" xfId="2" applyFont="1" applyBorder="1"/>
    <xf numFmtId="0" fontId="2" fillId="2" borderId="3" xfId="2" applyFont="1" applyFill="1" applyBorder="1"/>
    <xf numFmtId="0" fontId="15" fillId="2" borderId="4" xfId="2" applyFont="1" applyFill="1" applyBorder="1"/>
    <xf numFmtId="0" fontId="15" fillId="2" borderId="5" xfId="2" applyFont="1" applyFill="1" applyBorder="1"/>
    <xf numFmtId="0" fontId="9" fillId="3" borderId="6" xfId="2" applyFont="1" applyFill="1" applyBorder="1"/>
    <xf numFmtId="0" fontId="9" fillId="3" borderId="0" xfId="2" applyFont="1" applyFill="1"/>
    <xf numFmtId="0" fontId="16" fillId="3" borderId="7" xfId="2" applyFont="1" applyFill="1" applyBorder="1" applyAlignment="1">
      <alignment horizontal="left"/>
    </xf>
    <xf numFmtId="0" fontId="1" fillId="3" borderId="7" xfId="2" applyFont="1" applyFill="1" applyBorder="1" applyAlignment="1">
      <alignment horizontal="left"/>
    </xf>
    <xf numFmtId="166" fontId="16" fillId="3" borderId="7" xfId="2" applyNumberFormat="1" applyFont="1" applyFill="1" applyBorder="1" applyAlignment="1">
      <alignment horizontal="left"/>
    </xf>
    <xf numFmtId="0" fontId="9" fillId="3" borderId="8" xfId="2" applyFont="1" applyFill="1" applyBorder="1"/>
    <xf numFmtId="0" fontId="9" fillId="3" borderId="9" xfId="2" applyFont="1" applyFill="1" applyBorder="1"/>
    <xf numFmtId="166" fontId="16" fillId="3" borderId="10" xfId="2" applyNumberFormat="1" applyFont="1" applyFill="1" applyBorder="1" applyAlignment="1">
      <alignment horizontal="left"/>
    </xf>
    <xf numFmtId="170" fontId="17" fillId="0" borderId="0" xfId="2" applyNumberFormat="1" applyFont="1"/>
    <xf numFmtId="0" fontId="2" fillId="2" borderId="16" xfId="3" applyFont="1" applyFill="1" applyBorder="1" applyAlignment="1">
      <alignment vertical="center"/>
    </xf>
    <xf numFmtId="0" fontId="19" fillId="2" borderId="17" xfId="3" applyFont="1" applyFill="1" applyBorder="1" applyAlignment="1">
      <alignment vertical="center"/>
    </xf>
    <xf numFmtId="167" fontId="2" fillId="5" borderId="0" xfId="2" applyNumberFormat="1" applyFont="1" applyFill="1"/>
    <xf numFmtId="168" fontId="2" fillId="5" borderId="0" xfId="1" applyNumberFormat="1" applyFont="1" applyFill="1" applyAlignment="1">
      <alignment horizontal="right" vertical="top" indent="1"/>
    </xf>
    <xf numFmtId="168" fontId="2" fillId="5" borderId="0" xfId="1" applyNumberFormat="1" applyFont="1" applyFill="1" applyAlignment="1">
      <alignment horizontal="right" indent="1"/>
    </xf>
    <xf numFmtId="168" fontId="2" fillId="5" borderId="0" xfId="2" applyNumberFormat="1" applyFont="1" applyFill="1" applyAlignment="1">
      <alignment horizontal="right" indent="1"/>
    </xf>
    <xf numFmtId="0" fontId="2" fillId="6" borderId="0" xfId="2" applyFont="1" applyFill="1"/>
    <xf numFmtId="166" fontId="2" fillId="6" borderId="0" xfId="2" applyNumberFormat="1" applyFont="1" applyFill="1" applyAlignment="1">
      <alignment horizontal="right"/>
    </xf>
    <xf numFmtId="0" fontId="9" fillId="3" borderId="0" xfId="2" applyFont="1" applyFill="1" applyAlignment="1">
      <alignment horizontal="left"/>
    </xf>
    <xf numFmtId="0" fontId="9" fillId="3" borderId="11" xfId="3" applyFont="1" applyFill="1" applyBorder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9" fillId="3" borderId="15" xfId="3" applyFont="1" applyFill="1" applyBorder="1" applyAlignment="1">
      <alignment vertical="top" wrapText="1"/>
    </xf>
    <xf numFmtId="0" fontId="9" fillId="3" borderId="18" xfId="3" applyFont="1" applyFill="1" applyBorder="1" applyAlignment="1">
      <alignment vertical="top" wrapText="1"/>
    </xf>
    <xf numFmtId="0" fontId="9" fillId="3" borderId="19" xfId="3" applyFont="1" applyFill="1" applyBorder="1" applyAlignment="1">
      <alignment vertical="top" wrapText="1"/>
    </xf>
    <xf numFmtId="0" fontId="9" fillId="3" borderId="20" xfId="3" applyFont="1" applyFill="1" applyBorder="1" applyAlignment="1">
      <alignment vertical="top" wrapText="1"/>
    </xf>
    <xf numFmtId="166" fontId="2" fillId="0" borderId="0" xfId="2" applyNumberFormat="1" applyFont="1" applyAlignment="1">
      <alignment horizontal="right"/>
    </xf>
    <xf numFmtId="168" fontId="2" fillId="0" borderId="0" xfId="1" applyNumberFormat="1" applyFont="1" applyFill="1" applyAlignment="1">
      <alignment horizontal="right" vertical="top" indent="1"/>
    </xf>
    <xf numFmtId="164" fontId="8" fillId="0" borderId="0" xfId="2" applyNumberFormat="1" applyFont="1" applyAlignment="1">
      <alignment horizontal="right"/>
    </xf>
    <xf numFmtId="43" fontId="11" fillId="0" borderId="0" xfId="1" applyFont="1" applyAlignment="1">
      <alignment horizontal="right"/>
    </xf>
    <xf numFmtId="171" fontId="11" fillId="0" borderId="0" xfId="2" applyNumberFormat="1" applyFont="1" applyAlignment="1">
      <alignment horizontal="right"/>
    </xf>
    <xf numFmtId="43" fontId="11" fillId="0" borderId="0" xfId="2" applyNumberFormat="1" applyFont="1" applyAlignment="1">
      <alignment horizontal="right"/>
    </xf>
    <xf numFmtId="172" fontId="8" fillId="0" borderId="0" xfId="2" applyNumberFormat="1" applyFont="1" applyAlignment="1">
      <alignment horizontal="right"/>
    </xf>
    <xf numFmtId="49" fontId="2" fillId="2" borderId="0" xfId="2" applyNumberFormat="1" applyFont="1" applyFill="1" applyAlignment="1">
      <alignment horizontal="right"/>
    </xf>
    <xf numFmtId="167" fontId="9" fillId="0" borderId="0" xfId="2" applyNumberFormat="1" applyFont="1" applyAlignment="1">
      <alignment horizontal="left" indent="2"/>
    </xf>
    <xf numFmtId="164" fontId="9" fillId="0" borderId="0" xfId="1" applyNumberFormat="1" applyFont="1" applyAlignment="1">
      <alignment horizontal="right" indent="1"/>
    </xf>
    <xf numFmtId="168" fontId="20" fillId="0" borderId="0" xfId="1" applyNumberFormat="1" applyFont="1" applyFill="1" applyBorder="1" applyAlignment="1">
      <alignment horizontal="right" indent="1"/>
    </xf>
    <xf numFmtId="0" fontId="9" fillId="3" borderId="11" xfId="3" applyFont="1" applyFill="1" applyBorder="1" applyAlignment="1">
      <alignment horizontal="left" vertical="top" wrapText="1"/>
    </xf>
    <xf numFmtId="0" fontId="9" fillId="3" borderId="12" xfId="3" applyFont="1" applyFill="1" applyBorder="1" applyAlignment="1">
      <alignment horizontal="left" vertical="top" wrapText="1"/>
    </xf>
    <xf numFmtId="0" fontId="9" fillId="3" borderId="13" xfId="3" applyFont="1" applyFill="1" applyBorder="1" applyAlignment="1">
      <alignment horizontal="left" vertical="top" wrapText="1"/>
    </xf>
    <xf numFmtId="0" fontId="9" fillId="3" borderId="14" xfId="3" applyFont="1" applyFill="1" applyBorder="1" applyAlignment="1">
      <alignment horizontal="left" vertical="top" wrapText="1"/>
    </xf>
    <xf numFmtId="0" fontId="9" fillId="3" borderId="0" xfId="3" applyFont="1" applyFill="1" applyAlignment="1">
      <alignment horizontal="left" vertical="top" wrapText="1"/>
    </xf>
    <xf numFmtId="0" fontId="9" fillId="3" borderId="15" xfId="3" applyFont="1" applyFill="1" applyBorder="1" applyAlignment="1">
      <alignment horizontal="left" vertical="top" wrapText="1"/>
    </xf>
    <xf numFmtId="0" fontId="9" fillId="3" borderId="18" xfId="3" applyFont="1" applyFill="1" applyBorder="1" applyAlignment="1">
      <alignment horizontal="left" vertical="top" wrapText="1"/>
    </xf>
    <xf numFmtId="0" fontId="9" fillId="3" borderId="19" xfId="3" applyFont="1" applyFill="1" applyBorder="1" applyAlignment="1">
      <alignment horizontal="left" vertical="top" wrapText="1"/>
    </xf>
    <xf numFmtId="0" fontId="9" fillId="3" borderId="20" xfId="3" applyFont="1" applyFill="1" applyBorder="1" applyAlignment="1">
      <alignment horizontal="left" vertical="top" wrapText="1"/>
    </xf>
  </cellXfs>
  <cellStyles count="9">
    <cellStyle name="Bordas divisórias" xfId="4" xr:uid="{00000000-0005-0000-0000-000000000000}"/>
    <cellStyle name="Comma 2" xfId="5" xr:uid="{00000000-0005-0000-0000-000001000000}"/>
    <cellStyle name="Comma 2 2" xfId="8" xr:uid="{00000000-0005-0000-0000-000002000000}"/>
    <cellStyle name="Normal" xfId="0" builtinId="0"/>
    <cellStyle name="Normal 3" xfId="2" xr:uid="{00000000-0005-0000-0000-000004000000}"/>
    <cellStyle name="Normal_Multiples" xfId="3" xr:uid="{00000000-0005-0000-0000-000005000000}"/>
    <cellStyle name="Total Máscara" xfId="6" xr:uid="{00000000-0005-0000-0000-000006000000}"/>
    <cellStyle name="Vírgula" xfId="1" builtinId="3"/>
    <cellStyle name="Vírgula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3715</xdr:colOff>
      <xdr:row>0</xdr:row>
      <xdr:rowOff>81644</xdr:rowOff>
    </xdr:from>
    <xdr:to>
      <xdr:col>9</xdr:col>
      <xdr:colOff>716648</xdr:colOff>
      <xdr:row>1</xdr:row>
      <xdr:rowOff>172176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698679" y="81644"/>
          <a:ext cx="701503" cy="244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76</xdr:col>
      <xdr:colOff>59381</xdr:colOff>
      <xdr:row>0</xdr:row>
      <xdr:rowOff>74930</xdr:rowOff>
    </xdr:from>
    <xdr:ext cx="821863" cy="280707"/>
    <xdr:pic>
      <xdr:nvPicPr>
        <xdr:cNvPr id="3" name="Imagem 2">
          <a:extLst>
            <a:ext uri="{FF2B5EF4-FFF2-40B4-BE49-F238E27FC236}">
              <a16:creationId xmlns:a16="http://schemas.microsoft.com/office/drawing/2014/main" id="{E490848A-9631-498F-8EA6-D819E1671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6767381" y="74930"/>
          <a:ext cx="821863" cy="28070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324944</xdr:colOff>
      <xdr:row>0</xdr:row>
      <xdr:rowOff>82577</xdr:rowOff>
    </xdr:from>
    <xdr:ext cx="797592" cy="280707"/>
    <xdr:pic>
      <xdr:nvPicPr>
        <xdr:cNvPr id="3" name="Imagem 2">
          <a:extLst>
            <a:ext uri="{FF2B5EF4-FFF2-40B4-BE49-F238E27FC236}">
              <a16:creationId xmlns:a16="http://schemas.microsoft.com/office/drawing/2014/main" id="{15F58B20-75C9-4A4C-842A-3A5DD9A725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21552087" y="82577"/>
          <a:ext cx="797592" cy="280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J33"/>
  <sheetViews>
    <sheetView showGridLines="0" zoomScale="85" zoomScaleNormal="85" workbookViewId="0">
      <selection activeCell="D6" sqref="D6"/>
    </sheetView>
  </sheetViews>
  <sheetFormatPr defaultColWidth="11.7265625" defaultRowHeight="13" x14ac:dyDescent="0.3"/>
  <cols>
    <col min="1" max="1" width="2.26953125" style="10" customWidth="1"/>
    <col min="2" max="2" width="34" style="1" customWidth="1"/>
    <col min="3" max="3" width="3.7265625" style="1" customWidth="1"/>
    <col min="4" max="4" width="34" style="1" customWidth="1"/>
    <col min="5" max="5" width="3.453125" style="1" customWidth="1"/>
    <col min="6" max="6" width="2" style="1" customWidth="1"/>
    <col min="7" max="7" width="10.7265625" style="1" customWidth="1"/>
    <col min="8" max="8" width="26.453125" style="1" customWidth="1"/>
    <col min="9" max="9" width="12" style="1" bestFit="1" customWidth="1"/>
    <col min="10" max="16384" width="11.7265625" style="1"/>
  </cols>
  <sheetData>
    <row r="2" spans="1:10" ht="18.5" x14ac:dyDescent="0.45">
      <c r="A2" s="1"/>
      <c r="B2" s="3" t="str">
        <f>IF(Control!$D$5=1,"Control Panel","Painel de Controle")</f>
        <v>Painel de Controle</v>
      </c>
      <c r="C2" s="29"/>
      <c r="D2" s="29"/>
      <c r="E2" s="29"/>
      <c r="F2" s="29"/>
      <c r="G2" s="29"/>
      <c r="H2" s="30"/>
      <c r="I2" s="30"/>
      <c r="J2" s="30"/>
    </row>
    <row r="3" spans="1:10" x14ac:dyDescent="0.3">
      <c r="A3" s="1"/>
      <c r="H3" s="31" t="str">
        <f>IF(Control!$D$5=1,"Consolidated Financials","Consolidado")</f>
        <v>Consolidado</v>
      </c>
    </row>
    <row r="4" spans="1:10" ht="14.5" x14ac:dyDescent="0.35">
      <c r="A4" s="1"/>
      <c r="B4" s="32" t="str">
        <f>IF(Control!$D$5=1,"Essential Data","Dados Básicos")</f>
        <v>Dados Básicos</v>
      </c>
      <c r="C4" s="33"/>
      <c r="D4" s="34"/>
      <c r="E4" s="8"/>
      <c r="F4" s="8"/>
      <c r="G4" s="8"/>
      <c r="H4" s="8"/>
      <c r="I4" s="8"/>
    </row>
    <row r="5" spans="1:10" ht="14.5" x14ac:dyDescent="0.35">
      <c r="A5" s="1"/>
      <c r="B5" s="35" t="str">
        <f>IF(Control!$D$5=1,"Language (1 = Eng. / 2 = Port.)","Idioma (1 = Ing. / 2 = Port.)")</f>
        <v>Idioma (1 = Ing. / 2 = Port.)</v>
      </c>
      <c r="C5" s="36"/>
      <c r="D5" s="37">
        <v>2</v>
      </c>
      <c r="E5" s="8"/>
      <c r="F5" s="8"/>
      <c r="G5" s="8"/>
      <c r="H5" s="8"/>
      <c r="I5" s="8"/>
    </row>
    <row r="6" spans="1:10" s="10" customFormat="1" ht="14.5" x14ac:dyDescent="0.35">
      <c r="B6" s="35" t="str">
        <f>IF(Control!$D$5=1,"Company Name","Nome da Companhia")</f>
        <v>Nome da Companhia</v>
      </c>
      <c r="C6" s="36"/>
      <c r="D6" s="37" t="s">
        <v>3</v>
      </c>
      <c r="E6" s="8"/>
      <c r="F6" s="8"/>
      <c r="G6" s="8"/>
      <c r="H6" s="8"/>
      <c r="I6" s="8"/>
      <c r="J6" s="1"/>
    </row>
    <row r="7" spans="1:10" s="10" customFormat="1" ht="14.5" x14ac:dyDescent="0.35">
      <c r="B7" s="35" t="str">
        <f>IF(Control!$D$5=1,"Currency","Moeda")</f>
        <v>Moeda</v>
      </c>
      <c r="C7" s="36"/>
      <c r="D7" s="37" t="s">
        <v>4</v>
      </c>
      <c r="E7" s="8"/>
      <c r="F7" s="8"/>
      <c r="G7" s="8"/>
      <c r="H7" s="8"/>
      <c r="I7" s="8"/>
    </row>
    <row r="8" spans="1:10" s="10" customFormat="1" ht="14.5" x14ac:dyDescent="0.35">
      <c r="B8" s="35" t="str">
        <f>IF(Control!$D$5=1,"Currency Units","Unidades da Moeda")</f>
        <v>Unidades da Moeda</v>
      </c>
      <c r="C8" s="52"/>
      <c r="D8" s="38" t="str">
        <f>IF(Control!$D$5=1,"millions","milhões")</f>
        <v>milhões</v>
      </c>
      <c r="E8" s="8"/>
      <c r="F8" s="8"/>
      <c r="G8" s="8"/>
      <c r="H8" s="8"/>
      <c r="I8" s="8"/>
    </row>
    <row r="9" spans="1:10" s="10" customFormat="1" ht="14.5" x14ac:dyDescent="0.35">
      <c r="B9" s="35" t="str">
        <f>IF(Control!$D$5=1,"Last Date of Full Year Financials","Data de Últimos Demonstr. Anuais")</f>
        <v>Data de Últimos Demonstr. Anuais</v>
      </c>
      <c r="C9" s="52"/>
      <c r="D9" s="39">
        <v>45716</v>
      </c>
      <c r="E9" s="8"/>
      <c r="F9" s="8"/>
      <c r="G9" s="8"/>
      <c r="H9" s="8"/>
      <c r="I9" s="8"/>
    </row>
    <row r="10" spans="1:10" s="10" customFormat="1" ht="14.5" x14ac:dyDescent="0.35">
      <c r="B10" s="35" t="str">
        <f>IF(Control!$D$5=1,"Last Date of YTD Financials","Data de Últimos Demonstr. Trim.")</f>
        <v>Data de Últimos Demonstr. Trim.</v>
      </c>
      <c r="C10" s="36"/>
      <c r="D10" s="39">
        <v>45991</v>
      </c>
      <c r="E10" s="8"/>
      <c r="F10" s="8"/>
      <c r="G10" s="8"/>
      <c r="H10" s="8"/>
      <c r="I10" s="8"/>
    </row>
    <row r="11" spans="1:10" s="10" customFormat="1" ht="14.5" x14ac:dyDescent="0.35">
      <c r="B11" s="40" t="str">
        <f>IF(Control!$D$5=1,"Last update on","Última atualização em")</f>
        <v>Última atualização em</v>
      </c>
      <c r="C11" s="41"/>
      <c r="D11" s="42">
        <v>46036</v>
      </c>
      <c r="E11" s="8"/>
      <c r="F11" s="8"/>
      <c r="G11" s="8"/>
      <c r="H11" s="8"/>
      <c r="I11" s="8"/>
    </row>
    <row r="12" spans="1:10" s="10" customFormat="1" ht="14.5" x14ac:dyDescent="0.35">
      <c r="B12" s="8"/>
      <c r="C12" s="8"/>
      <c r="D12" s="43"/>
      <c r="E12" s="8"/>
      <c r="F12" s="8"/>
      <c r="G12" s="8"/>
      <c r="H12" s="8"/>
      <c r="I12" s="8"/>
    </row>
    <row r="13" spans="1:10" s="10" customFormat="1" ht="14.5" x14ac:dyDescent="0.35">
      <c r="B13" s="32" t="str">
        <f>IF(Control!$D$5=1,"Information about the operational data","Informações sobre os dados operacionais")</f>
        <v>Informações sobre os dados operacionais</v>
      </c>
      <c r="C13" s="33"/>
      <c r="D13" s="34"/>
      <c r="E13" s="8"/>
      <c r="F13" s="8"/>
      <c r="G13" s="8"/>
      <c r="H13" s="8"/>
      <c r="I13" s="8"/>
    </row>
    <row r="14" spans="1:10" s="10" customFormat="1" ht="15" customHeight="1" x14ac:dyDescent="0.35">
      <c r="B14" s="70" t="str">
        <f>IF(Control!$D$5=1,"Certain percentages and other amounts included in this document have been rounded. Thus, it may differ from those presented in the financial statements.","Certas porcentagens e outros valores incluídos neste documento foram arredondados. Dessa forma, podem diferir daqueles apresentados nas demonstrações de resultados.")</f>
        <v>Certas porcentagens e outros valores incluídos neste documento foram arredondados. Dessa forma, podem diferir daqueles apresentados nas demonstrações de resultados.</v>
      </c>
      <c r="C14" s="71"/>
      <c r="D14" s="72"/>
      <c r="E14" s="8"/>
      <c r="F14" s="8"/>
      <c r="G14" s="8"/>
      <c r="H14" s="8"/>
      <c r="I14" s="8"/>
    </row>
    <row r="15" spans="1:10" s="10" customFormat="1" ht="14.5" x14ac:dyDescent="0.35">
      <c r="B15" s="73"/>
      <c r="C15" s="74"/>
      <c r="D15" s="75"/>
      <c r="E15" s="8"/>
      <c r="F15" s="8"/>
      <c r="G15" s="8"/>
      <c r="H15" s="8"/>
      <c r="I15" s="8"/>
    </row>
    <row r="16" spans="1:10" s="10" customFormat="1" ht="15" customHeight="1" x14ac:dyDescent="0.35">
      <c r="A16" s="8"/>
      <c r="B16" s="73"/>
      <c r="C16" s="74"/>
      <c r="D16" s="75"/>
      <c r="E16" s="8"/>
      <c r="F16" s="8"/>
      <c r="G16" s="8"/>
      <c r="H16" s="8"/>
      <c r="I16" s="8"/>
    </row>
    <row r="17" spans="1:10" s="10" customFormat="1" ht="14.5" x14ac:dyDescent="0.35">
      <c r="A17" s="8"/>
      <c r="B17" s="73"/>
      <c r="C17" s="74"/>
      <c r="D17" s="75"/>
      <c r="E17" s="8"/>
      <c r="F17" s="8"/>
      <c r="G17" s="8"/>
      <c r="H17" s="8"/>
      <c r="I17" s="8"/>
    </row>
    <row r="18" spans="1:10" s="10" customFormat="1" ht="14.5" x14ac:dyDescent="0.35">
      <c r="A18" s="8"/>
      <c r="B18" s="73"/>
      <c r="C18" s="74"/>
      <c r="D18" s="75"/>
      <c r="E18" s="8"/>
      <c r="F18" s="8"/>
      <c r="G18" s="8"/>
      <c r="H18" s="8"/>
      <c r="I18" s="8"/>
    </row>
    <row r="19" spans="1:10" s="10" customFormat="1" ht="14.5" x14ac:dyDescent="0.35">
      <c r="A19" s="8"/>
      <c r="B19" s="53" t="str">
        <f>IF(Control!$D$5=1,"Unaudited data.","Dados não auditados.")</f>
        <v>Dados não auditados.</v>
      </c>
      <c r="C19" s="54"/>
      <c r="D19" s="55"/>
      <c r="E19" s="8"/>
      <c r="F19" s="8"/>
      <c r="G19" s="8"/>
      <c r="H19" s="8"/>
      <c r="I19" s="8"/>
    </row>
    <row r="20" spans="1:10" s="10" customFormat="1" ht="14.25" customHeight="1" x14ac:dyDescent="0.35">
      <c r="A20" s="8"/>
      <c r="B20" s="56"/>
      <c r="C20" s="57"/>
      <c r="D20" s="58"/>
      <c r="E20" s="8"/>
      <c r="F20" s="8"/>
      <c r="G20" s="8"/>
      <c r="H20" s="8"/>
      <c r="I20" s="8"/>
    </row>
    <row r="21" spans="1:10" s="10" customFormat="1" ht="14.25" customHeight="1" x14ac:dyDescent="0.35">
      <c r="A21" s="8"/>
      <c r="B21" s="8"/>
      <c r="C21" s="8"/>
      <c r="D21" s="8"/>
      <c r="E21" s="8"/>
      <c r="F21" s="8"/>
      <c r="G21" s="8"/>
      <c r="H21" s="8"/>
      <c r="I21" s="8"/>
    </row>
    <row r="22" spans="1:10" s="10" customFormat="1" ht="14.5" x14ac:dyDescent="0.35">
      <c r="A22" s="8"/>
      <c r="B22" s="44" t="str">
        <f>IF(Control!$D$5=1,"Contacts","Contatos")</f>
        <v>Contatos</v>
      </c>
      <c r="C22" s="45"/>
      <c r="D22" s="45"/>
      <c r="E22" s="8"/>
      <c r="F22" s="8"/>
      <c r="G22" s="8"/>
      <c r="H22" s="8"/>
      <c r="I22" s="8"/>
    </row>
    <row r="23" spans="1:10" s="10" customFormat="1" ht="15" customHeight="1" x14ac:dyDescent="0.35">
      <c r="A23" s="8"/>
      <c r="B23" s="70" t="s">
        <v>11</v>
      </c>
      <c r="C23" s="71"/>
      <c r="D23" s="72"/>
      <c r="E23" s="8"/>
      <c r="F23" s="8"/>
      <c r="G23" s="8"/>
      <c r="H23" s="8"/>
      <c r="I23" s="8"/>
    </row>
    <row r="24" spans="1:10" s="10" customFormat="1" ht="15" customHeight="1" x14ac:dyDescent="0.35">
      <c r="A24" s="8"/>
      <c r="B24" s="73"/>
      <c r="C24" s="74"/>
      <c r="D24" s="75"/>
      <c r="E24" s="8"/>
      <c r="F24" s="8"/>
      <c r="G24" s="8"/>
      <c r="H24" s="8"/>
      <c r="I24" s="8"/>
    </row>
    <row r="25" spans="1:10" s="10" customFormat="1" ht="14.5" x14ac:dyDescent="0.35">
      <c r="A25" s="8"/>
      <c r="B25" s="73"/>
      <c r="C25" s="74"/>
      <c r="D25" s="75"/>
      <c r="E25" s="8"/>
      <c r="F25" s="8"/>
      <c r="G25" s="8"/>
      <c r="H25" s="8"/>
      <c r="I25" s="8"/>
    </row>
    <row r="26" spans="1:10" s="10" customFormat="1" ht="15" customHeight="1" x14ac:dyDescent="0.35">
      <c r="A26" s="8"/>
      <c r="B26" s="76"/>
      <c r="C26" s="77"/>
      <c r="D26" s="78"/>
      <c r="E26" s="8"/>
      <c r="F26" s="8"/>
      <c r="G26" s="8"/>
      <c r="H26" s="8"/>
      <c r="I26" s="8"/>
    </row>
    <row r="27" spans="1:10" s="10" customFormat="1" ht="13.5" customHeight="1" x14ac:dyDescent="0.35">
      <c r="A27" s="8"/>
      <c r="B27" s="8"/>
      <c r="C27" s="8"/>
      <c r="D27" s="8"/>
      <c r="E27" s="8"/>
      <c r="F27" s="8"/>
      <c r="G27" s="8"/>
      <c r="H27" s="8"/>
      <c r="I27" s="8"/>
    </row>
    <row r="28" spans="1:10" s="10" customFormat="1" ht="13.5" customHeight="1" x14ac:dyDescent="0.35">
      <c r="A28" s="8"/>
      <c r="B28" s="44" t="str">
        <f>IF(Control!$D$5=1,"Recent Developments","Últimas Atualizações")</f>
        <v>Últimas Atualizações</v>
      </c>
      <c r="C28" s="45"/>
      <c r="D28" s="45"/>
      <c r="E28" s="8"/>
      <c r="F28" s="1"/>
      <c r="G28" s="1"/>
      <c r="H28" s="1"/>
      <c r="I28" s="1"/>
    </row>
    <row r="29" spans="1:10" s="10" customFormat="1" ht="30" customHeight="1" x14ac:dyDescent="0.35">
      <c r="A29" s="8"/>
      <c r="B29" s="70" t="str">
        <f>IF(Control!$D$5=1,"3Q25 update: only high turnover, high growth and international consolidated data","Atualização 3T25: alto giro, alto valor e internacional consolidado")</f>
        <v>Atualização 3T25: alto giro, alto valor e internacional consolidado</v>
      </c>
      <c r="C29" s="71"/>
      <c r="D29" s="72"/>
      <c r="E29" s="8"/>
      <c r="F29" s="1"/>
      <c r="G29" s="1"/>
      <c r="H29" s="1"/>
      <c r="I29" s="1"/>
    </row>
    <row r="30" spans="1:10" s="10" customFormat="1" ht="14.5" x14ac:dyDescent="0.35">
      <c r="A30" s="8"/>
      <c r="B30" s="73"/>
      <c r="C30" s="74"/>
      <c r="D30" s="75"/>
      <c r="E30" s="8"/>
      <c r="F30" s="1"/>
      <c r="G30" s="1"/>
      <c r="H30" s="1"/>
      <c r="I30" s="1"/>
    </row>
    <row r="31" spans="1:10" s="10" customFormat="1" ht="14.5" x14ac:dyDescent="0.35">
      <c r="A31" s="8"/>
      <c r="B31" s="73"/>
      <c r="C31" s="74"/>
      <c r="D31" s="75"/>
      <c r="E31" s="8"/>
      <c r="F31" s="1"/>
      <c r="G31" s="1"/>
      <c r="H31" s="1"/>
      <c r="I31" s="1"/>
    </row>
    <row r="32" spans="1:10" s="10" customFormat="1" ht="14.5" x14ac:dyDescent="0.35">
      <c r="B32" s="76"/>
      <c r="C32" s="77"/>
      <c r="D32" s="78"/>
      <c r="E32" s="8"/>
      <c r="F32" s="1"/>
      <c r="G32" s="1"/>
      <c r="H32" s="1"/>
      <c r="I32" s="1"/>
      <c r="J32" s="1"/>
    </row>
    <row r="33" spans="2:10" s="10" customFormat="1" ht="14.5" x14ac:dyDescent="0.35">
      <c r="B33" s="1"/>
      <c r="C33" s="1"/>
      <c r="D33" s="1"/>
      <c r="E33" s="8"/>
      <c r="F33" s="1"/>
      <c r="G33" s="1"/>
      <c r="H33" s="1"/>
      <c r="I33" s="1"/>
      <c r="J33" s="1"/>
    </row>
  </sheetData>
  <mergeCells count="3">
    <mergeCell ref="B23:D26"/>
    <mergeCell ref="B14:D18"/>
    <mergeCell ref="B29:D32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Y94"/>
  <sheetViews>
    <sheetView showGridLines="0" zoomScale="90" zoomScaleNormal="90" workbookViewId="0">
      <pane xSplit="2" ySplit="7" topLeftCell="BT8" activePane="bottomRight" state="frozen"/>
      <selection pane="topRight" activeCell="G1" sqref="G1"/>
      <selection pane="bottomLeft" activeCell="A8" sqref="A8"/>
      <selection pane="bottomRight" activeCell="BY67" sqref="BY67"/>
    </sheetView>
  </sheetViews>
  <sheetFormatPr defaultColWidth="11.7265625" defaultRowHeight="14.5" x14ac:dyDescent="0.35"/>
  <cols>
    <col min="1" max="1" width="3.453125" style="8" customWidth="1"/>
    <col min="2" max="2" width="55" style="10" bestFit="1" customWidth="1"/>
    <col min="3" max="42" width="14.1796875" style="13" customWidth="1"/>
    <col min="43" max="44" width="14.1796875" style="13" bestFit="1" customWidth="1"/>
    <col min="45" max="77" width="14.1796875" style="13" customWidth="1"/>
    <col min="78" max="16384" width="11.7265625" style="13"/>
  </cols>
  <sheetData>
    <row r="1" spans="1:77" s="2" customFormat="1" ht="13" x14ac:dyDescent="0.3">
      <c r="A1" s="1"/>
      <c r="B1" s="1"/>
    </row>
    <row r="2" spans="1:77" s="2" customFormat="1" ht="18.5" x14ac:dyDescent="0.45">
      <c r="A2" s="1"/>
      <c r="B2" s="3" t="str">
        <f>IF(Control!$D$5=1,"Historical Operational Data","Resultados Operacionais Históricos")</f>
        <v>Resultados Operacionais Históricos</v>
      </c>
      <c r="C2" s="17"/>
      <c r="D2" s="17"/>
      <c r="E2" s="17"/>
      <c r="F2" s="17"/>
      <c r="G2" s="17"/>
      <c r="H2" s="17"/>
      <c r="I2" s="17"/>
      <c r="J2" s="1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</row>
    <row r="3" spans="1:77" s="2" customFormat="1" x14ac:dyDescent="0.35">
      <c r="A3" s="1"/>
      <c r="B3" s="5" t="str">
        <f>IF(Control!$D$5=1,"Consolidated Financials","Consolidado")</f>
        <v>Consolidado</v>
      </c>
      <c r="C3" s="18"/>
      <c r="D3" s="18"/>
      <c r="E3" s="18"/>
      <c r="F3" s="18"/>
      <c r="G3" s="18"/>
      <c r="H3" s="18"/>
      <c r="I3" s="18"/>
      <c r="J3" s="18"/>
    </row>
    <row r="4" spans="1:77" s="2" customFormat="1" ht="13" x14ac:dyDescent="0.3">
      <c r="A4" s="1"/>
      <c r="B4" s="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spans="1:77" s="20" customFormat="1" x14ac:dyDescent="0.35">
      <c r="A5" s="25"/>
      <c r="B5" s="7" t="str">
        <f>IF(Control!$D$5=1,"OPERATIONAL DATA","DADOS OPERACIONAIS")</f>
        <v>DADOS OPERACIONAIS</v>
      </c>
      <c r="C5" s="19"/>
      <c r="D5" s="19"/>
      <c r="E5" s="19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</row>
    <row r="6" spans="1:77" s="20" customFormat="1" x14ac:dyDescent="0.35">
      <c r="A6" s="25"/>
      <c r="B6" s="7" t="str">
        <f>IF(Control!$D$5=1,"Closing Date","Data Fechamento")</f>
        <v>Data Fechamento</v>
      </c>
      <c r="C6" s="16" t="str">
        <f>IF(Control!$D$5=1,"1Q07","1T07")</f>
        <v>1T07</v>
      </c>
      <c r="D6" s="16" t="str">
        <f>IF(Control!$D$5=1,"2Q07","2T07")</f>
        <v>2T07</v>
      </c>
      <c r="E6" s="16" t="str">
        <f>IF(Control!$D$5=1,"3Q07","3T07")</f>
        <v>3T07</v>
      </c>
      <c r="F6" s="16" t="str">
        <f>IF(Control!$D$5=1,"4Q07","4T07")</f>
        <v>4T07</v>
      </c>
      <c r="G6" s="16" t="str">
        <f>IF(Control!$D$5=1,"1Q08","1T08")</f>
        <v>1T08</v>
      </c>
      <c r="H6" s="16" t="s">
        <v>1</v>
      </c>
      <c r="I6" s="16" t="s">
        <v>2</v>
      </c>
      <c r="J6" s="16" t="str">
        <f>IF(Control!$D$5=1,"4Q08","4T08")</f>
        <v>4T08</v>
      </c>
      <c r="K6" s="16" t="str">
        <f>IF(Control!$D$5=1,"1Q09","1T09")</f>
        <v>1T09</v>
      </c>
      <c r="L6" s="16" t="str">
        <f>IF(Control!$D$5=1,"2Q09","2T09")</f>
        <v>2T09</v>
      </c>
      <c r="M6" s="16" t="str">
        <f>IF(Control!$D$5=1,"3Q09","3T09")</f>
        <v>3T09</v>
      </c>
      <c r="N6" s="16" t="str">
        <f>IF(Control!$D$5=1,"4Q09","4T09")</f>
        <v>4T09</v>
      </c>
      <c r="O6" s="16" t="str">
        <f>IF(Control!$D$5=1,"1Q10","1T10")</f>
        <v>1T10</v>
      </c>
      <c r="P6" s="16" t="str">
        <f>IF(Control!$D$5=1,"2Q10","2T10")</f>
        <v>2T10</v>
      </c>
      <c r="Q6" s="16" t="str">
        <f>IF(Control!$D$5=1,"3Q10","3T10")</f>
        <v>3T10</v>
      </c>
      <c r="R6" s="16" t="str">
        <f>IF(Control!$D$5=1,"4Q10","4T10")</f>
        <v>4T10</v>
      </c>
      <c r="S6" s="16" t="str">
        <f>IF(Control!$D$5=1,"1Q11","1T11")</f>
        <v>1T11</v>
      </c>
      <c r="T6" s="16" t="str">
        <f>IF(Control!$D$5=1,"2Q11","2T11")</f>
        <v>2T11</v>
      </c>
      <c r="U6" s="16" t="str">
        <f>IF(Control!$D$5=1,"3Q11","3T11")</f>
        <v>3T11</v>
      </c>
      <c r="V6" s="16" t="str">
        <f>IF(Control!$D$5=1,"4Q11","4T11")</f>
        <v>4T11</v>
      </c>
      <c r="W6" s="16" t="str">
        <f>IF(Control!$D$5=1,"1Q12","1T12")</f>
        <v>1T12</v>
      </c>
      <c r="X6" s="16" t="str">
        <f>IF(Control!$D$5=1,"2Q12","2T12")</f>
        <v>2T12</v>
      </c>
      <c r="Y6" s="16" t="str">
        <f>IF(Control!$D$5=1,"3Q12","3T12")</f>
        <v>3T12</v>
      </c>
      <c r="Z6" s="16" t="str">
        <f>IF(Control!$D$5=1,"4Q12","4T12")</f>
        <v>4T12</v>
      </c>
      <c r="AA6" s="16" t="str">
        <f>IF(Control!$D$5=1,"1Q13","1T13")</f>
        <v>1T13</v>
      </c>
      <c r="AB6" s="16" t="str">
        <f>IF(Control!$D$5=1,"2Q13","2T13")</f>
        <v>2T13</v>
      </c>
      <c r="AC6" s="16" t="str">
        <f>IF(Control!$D$5=1,"3Q13","3T13")</f>
        <v>3T13</v>
      </c>
      <c r="AD6" s="16" t="str">
        <f>IF(Control!$D$5=1,"4Q13","4T13")</f>
        <v>4T13</v>
      </c>
      <c r="AE6" s="16" t="str">
        <f>IF(Control!$D$5=1,"1Q14","1T14")</f>
        <v>1T14</v>
      </c>
      <c r="AF6" s="16" t="str">
        <f>IF(Control!$D$5=1,"2Q14","2T14")</f>
        <v>2T14</v>
      </c>
      <c r="AG6" s="16" t="str">
        <f>IF(Control!$D$5=1,"3Q14","3T14")</f>
        <v>3T14</v>
      </c>
      <c r="AH6" s="16" t="str">
        <f>IF(Control!$D$5=1,"4Q14","4T14")</f>
        <v>4T14</v>
      </c>
      <c r="AI6" s="16" t="str">
        <f>IF(Control!$D$5=1,"1Q15","1T15")</f>
        <v>1T15</v>
      </c>
      <c r="AJ6" s="16" t="str">
        <f>IF(Control!$D$5=1,"2Q15","2T15")</f>
        <v>2T15</v>
      </c>
      <c r="AK6" s="16" t="str">
        <f>IF(Control!$D$5=1,"3Q15","3T15")</f>
        <v>3T15</v>
      </c>
      <c r="AL6" s="16" t="str">
        <f>IF(Control!$D$5=1,"4Q15","4T15")</f>
        <v>4T15</v>
      </c>
      <c r="AM6" s="16" t="str">
        <f>IF(Control!$D$5=1,"1Q16","1T16")</f>
        <v>1T16</v>
      </c>
      <c r="AN6" s="16" t="str">
        <f>IF(Control!$D$5=1,"2Q16","2T16")</f>
        <v>2T16</v>
      </c>
      <c r="AO6" s="16" t="str">
        <f>IF(Control!$D$5=1,"3Q16","3T16")</f>
        <v>3T16</v>
      </c>
      <c r="AP6" s="16" t="str">
        <f>IF(Control!$D$5=1,"4Q16","4T16")</f>
        <v>4T16</v>
      </c>
      <c r="AQ6" s="16" t="str">
        <f>IF(Control!$D$5=1,"1Q17","1T17")</f>
        <v>1T17</v>
      </c>
      <c r="AR6" s="16" t="str">
        <f>IF(Control!$D$5=1,"2Q17","2T17")</f>
        <v>2T17</v>
      </c>
      <c r="AS6" s="16" t="str">
        <f>IF(Control!$D$5=1,"3Q17","3T17")</f>
        <v>3T17</v>
      </c>
      <c r="AT6" s="16" t="str">
        <f>IF(Control!$D$5=1,"4Q17","4T17")</f>
        <v>4T17</v>
      </c>
      <c r="AU6" s="16" t="str">
        <f>IF(Control!$D$5=1,"1Q18","1T18")</f>
        <v>1T18</v>
      </c>
      <c r="AV6" s="16" t="str">
        <f>IF(Control!$D$5=1,"2Q18","2T18")</f>
        <v>2T18</v>
      </c>
      <c r="AW6" s="16" t="str">
        <f>IF(Control!$D$5=1,"3Q18","3T18")</f>
        <v>3T18</v>
      </c>
      <c r="AX6" s="16" t="str">
        <f>IF(Control!$D$5=1,"4Q18","4T18")</f>
        <v>4T18</v>
      </c>
      <c r="AY6" s="16" t="str">
        <f>IF(Control!$D$5=1,"1Q19","1T19")</f>
        <v>1T19</v>
      </c>
      <c r="AZ6" s="16" t="str">
        <f>IF(Control!$D$5=1,"2Q19","2T19")</f>
        <v>2T19</v>
      </c>
      <c r="BA6" s="16" t="str">
        <f>IF(Control!$D$5=1,"3Q19","3T19")</f>
        <v>3T19</v>
      </c>
      <c r="BB6" s="16" t="str">
        <f>IF(Control!$D$5=1,"4Q19","4T19")</f>
        <v>4T19</v>
      </c>
      <c r="BC6" s="16" t="str">
        <f>IF(Control!$D$5=1,"1Q20","1T20")</f>
        <v>1T20</v>
      </c>
      <c r="BD6" s="16" t="str">
        <f>IF(Control!$D$5=1,"2Q20","2T20")</f>
        <v>2T20</v>
      </c>
      <c r="BE6" s="16" t="str">
        <f>IF(Control!$D$5=1,"3Q20","3T20")</f>
        <v>3T20</v>
      </c>
      <c r="BF6" s="16" t="str">
        <f>IF(Control!$D$5=1,"4Q20","4T20")</f>
        <v>4T20</v>
      </c>
      <c r="BG6" s="16" t="str">
        <f>IF(Control!$D$5=1,"1Q21","1T21")</f>
        <v>1T21</v>
      </c>
      <c r="BH6" s="16" t="str">
        <f>IF(Control!$D$5=1,"2Q21","2T21")</f>
        <v>2T21</v>
      </c>
      <c r="BI6" s="16" t="str">
        <f>IF(Control!$D$5=1,"3Q21","3T21")</f>
        <v>3T21</v>
      </c>
      <c r="BJ6" s="16" t="str">
        <f>IF(Control!$D$5=1,"4Q21","4T21")</f>
        <v>4T21</v>
      </c>
      <c r="BK6" s="16" t="str">
        <f>IF(Control!$D$5=1,"1Q22","1T22")</f>
        <v>1T22</v>
      </c>
      <c r="BL6" s="16" t="str">
        <f>IF(Control!$D$5=1,"2Q22","2T22")</f>
        <v>2T22</v>
      </c>
      <c r="BM6" s="16" t="str">
        <f>IF(Control!$D$5=1,"3Q22","3T22")</f>
        <v>3T22</v>
      </c>
      <c r="BN6" s="16" t="str">
        <f>IF(Control!$D$5=1,"4Q22","4T22")</f>
        <v>4T22</v>
      </c>
      <c r="BO6" s="16" t="str">
        <f>IF(Control!$D$5=1,"1Q23","1T23")</f>
        <v>1T23</v>
      </c>
      <c r="BP6" s="16" t="str">
        <f>IF(Control!$D$5=1,"2Q23","2T23")</f>
        <v>2T23</v>
      </c>
      <c r="BQ6" s="16" t="str">
        <f>IF(Control!$D$5=1,"3Q23","3T23")</f>
        <v>3T23</v>
      </c>
      <c r="BR6" s="16" t="str">
        <f>IF(Control!$D$5=1,"4Q23","4T23")</f>
        <v>4T23</v>
      </c>
      <c r="BS6" s="16" t="str">
        <f>IF(Control!$D$5=1,"1Q24","1T24")</f>
        <v>1T24</v>
      </c>
      <c r="BT6" s="16" t="str">
        <f>IF(Control!$D$5=1,"2Q24","2T24")</f>
        <v>2T24</v>
      </c>
      <c r="BU6" s="16" t="str">
        <f>IF(Control!$D$5=1,"3Q24","3T24")</f>
        <v>3T24</v>
      </c>
      <c r="BV6" s="16" t="str">
        <f>IF(Control!$D$5=1,"4Q24","4T24")</f>
        <v>4T24</v>
      </c>
      <c r="BW6" s="16" t="str">
        <f>IF(Control!$D$5=1,"1Q25","1T25")</f>
        <v>1T25</v>
      </c>
      <c r="BX6" s="16" t="str">
        <f>IF(Control!$D$5=1,"2Q25","2T25")</f>
        <v>2T25</v>
      </c>
      <c r="BY6" s="16" t="str">
        <f>IF(Control!$D$5=1,"3Q25","3T25")</f>
        <v>3T25</v>
      </c>
    </row>
    <row r="7" spans="1:77" s="20" customFormat="1" x14ac:dyDescent="0.35">
      <c r="A7" s="25"/>
      <c r="B7" s="7"/>
      <c r="C7" s="24">
        <v>39233</v>
      </c>
      <c r="D7" s="24">
        <v>39325</v>
      </c>
      <c r="E7" s="24">
        <v>39416</v>
      </c>
      <c r="F7" s="24">
        <v>39506</v>
      </c>
      <c r="G7" s="24">
        <v>39599</v>
      </c>
      <c r="H7" s="24">
        <v>39691</v>
      </c>
      <c r="I7" s="24">
        <v>39782</v>
      </c>
      <c r="J7" s="24">
        <v>39872</v>
      </c>
      <c r="K7" s="24">
        <v>39964</v>
      </c>
      <c r="L7" s="24">
        <v>40056</v>
      </c>
      <c r="M7" s="24">
        <v>40147</v>
      </c>
      <c r="N7" s="24">
        <v>40237</v>
      </c>
      <c r="O7" s="24">
        <v>40329</v>
      </c>
      <c r="P7" s="24">
        <v>40421</v>
      </c>
      <c r="Q7" s="24">
        <v>40512</v>
      </c>
      <c r="R7" s="24">
        <v>40602</v>
      </c>
      <c r="S7" s="24">
        <v>40694</v>
      </c>
      <c r="T7" s="24">
        <v>40786</v>
      </c>
      <c r="U7" s="24">
        <v>40877</v>
      </c>
      <c r="V7" s="24">
        <v>40967</v>
      </c>
      <c r="W7" s="24">
        <v>41060</v>
      </c>
      <c r="X7" s="24">
        <v>41152</v>
      </c>
      <c r="Y7" s="24">
        <v>41243</v>
      </c>
      <c r="Z7" s="24">
        <v>41333</v>
      </c>
      <c r="AA7" s="24">
        <v>41425</v>
      </c>
      <c r="AB7" s="24">
        <v>41517</v>
      </c>
      <c r="AC7" s="24">
        <v>41608</v>
      </c>
      <c r="AD7" s="24">
        <v>41698</v>
      </c>
      <c r="AE7" s="24">
        <v>41790</v>
      </c>
      <c r="AF7" s="24">
        <v>41882</v>
      </c>
      <c r="AG7" s="24">
        <v>41973</v>
      </c>
      <c r="AH7" s="24">
        <v>42063</v>
      </c>
      <c r="AI7" s="24">
        <v>42155</v>
      </c>
      <c r="AJ7" s="24">
        <v>42247</v>
      </c>
      <c r="AK7" s="24">
        <v>42338</v>
      </c>
      <c r="AL7" s="24">
        <v>42428</v>
      </c>
      <c r="AM7" s="24">
        <v>42521</v>
      </c>
      <c r="AN7" s="24">
        <v>42613</v>
      </c>
      <c r="AO7" s="24">
        <v>42704</v>
      </c>
      <c r="AP7" s="24">
        <v>42794</v>
      </c>
      <c r="AQ7" s="24">
        <v>42886</v>
      </c>
      <c r="AR7" s="24">
        <v>42978</v>
      </c>
      <c r="AS7" s="24">
        <v>43069</v>
      </c>
      <c r="AT7" s="24">
        <v>43159</v>
      </c>
      <c r="AU7" s="24">
        <v>43251</v>
      </c>
      <c r="AV7" s="24">
        <v>43343</v>
      </c>
      <c r="AW7" s="24">
        <v>43434</v>
      </c>
      <c r="AX7" s="24">
        <v>43524</v>
      </c>
      <c r="AY7" s="24">
        <v>43616</v>
      </c>
      <c r="AZ7" s="24">
        <v>43708</v>
      </c>
      <c r="BA7" s="24">
        <v>43799</v>
      </c>
      <c r="BB7" s="24">
        <v>43890</v>
      </c>
      <c r="BC7" s="24">
        <v>43982</v>
      </c>
      <c r="BD7" s="24">
        <v>44074</v>
      </c>
      <c r="BE7" s="24">
        <v>44165</v>
      </c>
      <c r="BF7" s="24">
        <v>44255</v>
      </c>
      <c r="BG7" s="24">
        <v>44347</v>
      </c>
      <c r="BH7" s="24">
        <v>44439</v>
      </c>
      <c r="BI7" s="24">
        <v>44501</v>
      </c>
      <c r="BJ7" s="24">
        <v>44620</v>
      </c>
      <c r="BK7" s="24">
        <v>44682</v>
      </c>
      <c r="BL7" s="24">
        <v>44774</v>
      </c>
      <c r="BM7" s="24">
        <v>44866</v>
      </c>
      <c r="BN7" s="24">
        <v>44958</v>
      </c>
      <c r="BO7" s="24">
        <v>45047</v>
      </c>
      <c r="BP7" s="24">
        <v>45139</v>
      </c>
      <c r="BQ7" s="24">
        <v>45260</v>
      </c>
      <c r="BR7" s="24">
        <v>45323</v>
      </c>
      <c r="BS7" s="24">
        <v>45442</v>
      </c>
      <c r="BT7" s="24">
        <v>45505</v>
      </c>
      <c r="BU7" s="24">
        <v>45626</v>
      </c>
      <c r="BV7" s="24">
        <v>45716</v>
      </c>
      <c r="BW7" s="24">
        <v>45807</v>
      </c>
      <c r="BX7" s="24">
        <v>45900</v>
      </c>
      <c r="BY7" s="24">
        <v>45962</v>
      </c>
    </row>
    <row r="8" spans="1:77" ht="6.75" customHeight="1" x14ac:dyDescent="0.35">
      <c r="B8" s="8"/>
      <c r="C8" s="21"/>
      <c r="D8" s="21"/>
      <c r="E8" s="21"/>
      <c r="F8" s="21"/>
      <c r="G8" s="21"/>
      <c r="H8" s="21"/>
      <c r="I8" s="21"/>
      <c r="J8" s="21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</row>
    <row r="9" spans="1:77" ht="6.75" customHeight="1" x14ac:dyDescent="0.35">
      <c r="B9" s="8"/>
      <c r="C9" s="21"/>
      <c r="D9" s="21"/>
      <c r="E9" s="21"/>
      <c r="F9" s="21"/>
      <c r="G9" s="21"/>
      <c r="H9" s="21"/>
      <c r="I9" s="21"/>
      <c r="J9" s="21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</row>
    <row r="10" spans="1:77" s="20" customFormat="1" x14ac:dyDescent="0.35">
      <c r="A10" s="25"/>
      <c r="B10" s="50" t="str">
        <f>IF(Control!$D$5=1,"Brazil","Brasil")</f>
        <v>Brasil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</row>
    <row r="11" spans="1:77" s="23" customFormat="1" x14ac:dyDescent="0.35">
      <c r="A11" s="11"/>
      <c r="B11" s="46" t="s">
        <v>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</row>
    <row r="12" spans="1:77" s="23" customFormat="1" x14ac:dyDescent="0.35">
      <c r="A12" s="11"/>
      <c r="B12" s="12" t="str">
        <f>IF(Control!$D$5=1,"High Turnover","Alto Giro")</f>
        <v>Alto Giro</v>
      </c>
      <c r="C12" s="15">
        <v>116080.7</v>
      </c>
      <c r="D12" s="15">
        <v>119725.59</v>
      </c>
      <c r="E12" s="15">
        <v>113440.67</v>
      </c>
      <c r="F12" s="15">
        <v>107540.51</v>
      </c>
      <c r="G12" s="15">
        <v>124229.66</v>
      </c>
      <c r="H12" s="15">
        <v>105000.67</v>
      </c>
      <c r="I12" s="15">
        <v>108158.7</v>
      </c>
      <c r="J12" s="15">
        <v>116681.94</v>
      </c>
      <c r="K12" s="15">
        <v>119670.48</v>
      </c>
      <c r="L12" s="15">
        <v>123826.64</v>
      </c>
      <c r="M12" s="15">
        <v>114965.09</v>
      </c>
      <c r="N12" s="15">
        <v>114868.11</v>
      </c>
      <c r="O12" s="15">
        <v>124507.21</v>
      </c>
      <c r="P12" s="15">
        <v>129145.52</v>
      </c>
      <c r="Q12" s="15">
        <v>131559.42000000001</v>
      </c>
      <c r="R12" s="15">
        <v>119422.48</v>
      </c>
      <c r="S12" s="15">
        <v>133139.29</v>
      </c>
      <c r="T12" s="15">
        <v>149406.70000000001</v>
      </c>
      <c r="U12" s="15">
        <v>139659.66</v>
      </c>
      <c r="V12" s="15">
        <v>137894.26999999999</v>
      </c>
      <c r="W12" s="15">
        <v>151991.88</v>
      </c>
      <c r="X12" s="15">
        <v>156081.76</v>
      </c>
      <c r="Y12" s="15">
        <v>236265.69</v>
      </c>
      <c r="Z12" s="15">
        <v>273093.95</v>
      </c>
      <c r="AA12" s="15">
        <v>311614.67</v>
      </c>
      <c r="AB12" s="15">
        <v>320659.62</v>
      </c>
      <c r="AC12" s="15">
        <v>331110.46999999997</v>
      </c>
      <c r="AD12" s="15">
        <v>303588</v>
      </c>
      <c r="AE12" s="15">
        <v>312909.28000000003</v>
      </c>
      <c r="AF12" s="15">
        <v>316618.03999999998</v>
      </c>
      <c r="AG12" s="15">
        <v>302520.57</v>
      </c>
      <c r="AH12" s="15">
        <v>264325.46000000002</v>
      </c>
      <c r="AI12" s="15">
        <v>292020.86</v>
      </c>
      <c r="AJ12" s="15">
        <v>317620.53000000003</v>
      </c>
      <c r="AK12" s="15">
        <v>297767.78999999998</v>
      </c>
      <c r="AL12" s="15">
        <v>262043.59</v>
      </c>
      <c r="AM12" s="15">
        <v>299787.84999999998</v>
      </c>
      <c r="AN12" s="15">
        <v>321227.21999999997</v>
      </c>
      <c r="AO12" s="15">
        <v>315472.48</v>
      </c>
      <c r="AP12" s="15">
        <v>292266.23999999999</v>
      </c>
      <c r="AQ12" s="15">
        <v>340557.95</v>
      </c>
      <c r="AR12" s="15">
        <v>313749.82</v>
      </c>
      <c r="AS12" s="15">
        <v>292680.90000000002</v>
      </c>
      <c r="AT12" s="15">
        <v>262813.48</v>
      </c>
      <c r="AU12" s="15">
        <v>276731.76</v>
      </c>
      <c r="AV12" s="15">
        <v>314470.84000000003</v>
      </c>
      <c r="AW12" s="15">
        <v>288396.21999999997</v>
      </c>
      <c r="AX12" s="15">
        <v>356409</v>
      </c>
      <c r="AY12" s="15">
        <v>348030.41</v>
      </c>
      <c r="AZ12" s="15">
        <v>336441.48</v>
      </c>
      <c r="BA12" s="15">
        <v>346636.14</v>
      </c>
      <c r="BB12" s="15">
        <v>319898.58</v>
      </c>
      <c r="BC12" s="15">
        <v>377693.19</v>
      </c>
      <c r="BD12" s="15">
        <v>387661.45</v>
      </c>
      <c r="BE12" s="15">
        <v>335644.06</v>
      </c>
      <c r="BF12" s="15">
        <v>299635.78000000003</v>
      </c>
      <c r="BG12" s="15">
        <v>397129.48</v>
      </c>
      <c r="BH12" s="15">
        <v>383481.18</v>
      </c>
      <c r="BI12" s="15">
        <v>361404.79</v>
      </c>
      <c r="BJ12" s="15">
        <v>335613.91</v>
      </c>
      <c r="BK12" s="15">
        <v>357249.09</v>
      </c>
      <c r="BL12" s="15">
        <v>355062.39</v>
      </c>
      <c r="BM12" s="15">
        <v>349139.21</v>
      </c>
      <c r="BN12" s="15">
        <v>273693.87</v>
      </c>
      <c r="BO12" s="15">
        <v>337885</v>
      </c>
      <c r="BP12" s="15">
        <v>380538</v>
      </c>
      <c r="BQ12" s="15">
        <v>359691</v>
      </c>
      <c r="BR12" s="15">
        <v>264213</v>
      </c>
      <c r="BS12" s="15">
        <v>338781</v>
      </c>
      <c r="BT12" s="15">
        <v>357556</v>
      </c>
      <c r="BU12" s="15">
        <v>338336</v>
      </c>
      <c r="BV12" s="15">
        <v>266849</v>
      </c>
      <c r="BW12" s="15">
        <v>292593</v>
      </c>
      <c r="BX12" s="15">
        <v>352138.10999999993</v>
      </c>
      <c r="BY12" s="15">
        <v>310752.34000000008</v>
      </c>
    </row>
    <row r="13" spans="1:77" s="23" customFormat="1" x14ac:dyDescent="0.35">
      <c r="A13" s="11"/>
      <c r="B13" s="14" t="str">
        <f>IF(Control!$D$5=1,"Grains","Grãos")</f>
        <v>Grãos</v>
      </c>
      <c r="C13" s="15">
        <v>116080.7</v>
      </c>
      <c r="D13" s="15">
        <v>119725.59</v>
      </c>
      <c r="E13" s="15">
        <v>113440.67</v>
      </c>
      <c r="F13" s="15">
        <v>107540.51</v>
      </c>
      <c r="G13" s="15">
        <v>124229.66</v>
      </c>
      <c r="H13" s="15">
        <v>105000.67</v>
      </c>
      <c r="I13" s="15">
        <v>108158.7</v>
      </c>
      <c r="J13" s="15">
        <v>116681.94</v>
      </c>
      <c r="K13" s="15">
        <v>119670.48</v>
      </c>
      <c r="L13" s="15">
        <v>123826.64</v>
      </c>
      <c r="M13" s="15">
        <v>114965.09</v>
      </c>
      <c r="N13" s="15">
        <v>114868.11</v>
      </c>
      <c r="O13" s="15">
        <v>124507.21</v>
      </c>
      <c r="P13" s="15">
        <v>129145.52</v>
      </c>
      <c r="Q13" s="15">
        <v>131559.42000000001</v>
      </c>
      <c r="R13" s="15">
        <v>119422.48</v>
      </c>
      <c r="S13" s="15">
        <v>133139.29</v>
      </c>
      <c r="T13" s="15">
        <v>149406.70000000001</v>
      </c>
      <c r="U13" s="15">
        <v>139659.66</v>
      </c>
      <c r="V13" s="15">
        <v>137894.26999999999</v>
      </c>
      <c r="W13" s="15">
        <v>151991.88</v>
      </c>
      <c r="X13" s="15">
        <v>156081.76</v>
      </c>
      <c r="Y13" s="15">
        <v>138832.95000000001</v>
      </c>
      <c r="Z13" s="15">
        <v>140699.93</v>
      </c>
      <c r="AA13" s="15">
        <v>163449.59</v>
      </c>
      <c r="AB13" s="15">
        <v>165493.39000000001</v>
      </c>
      <c r="AC13" s="15">
        <v>168506.53</v>
      </c>
      <c r="AD13" s="15">
        <v>159064.73000000001</v>
      </c>
      <c r="AE13" s="15">
        <v>161723.64000000001</v>
      </c>
      <c r="AF13" s="15">
        <v>155205.41</v>
      </c>
      <c r="AG13" s="15">
        <v>153407.88</v>
      </c>
      <c r="AH13" s="15">
        <v>135459.85</v>
      </c>
      <c r="AI13" s="15">
        <v>154797.88</v>
      </c>
      <c r="AJ13" s="15">
        <v>164834.37</v>
      </c>
      <c r="AK13" s="15">
        <v>153825.09</v>
      </c>
      <c r="AL13" s="15">
        <v>150753.68</v>
      </c>
      <c r="AM13" s="15">
        <v>161854.45000000001</v>
      </c>
      <c r="AN13" s="15">
        <v>179231.54</v>
      </c>
      <c r="AO13" s="15">
        <v>167567.96</v>
      </c>
      <c r="AP13" s="15">
        <v>166846.63</v>
      </c>
      <c r="AQ13" s="15">
        <v>188111.85</v>
      </c>
      <c r="AR13" s="15">
        <v>175280.7</v>
      </c>
      <c r="AS13" s="15">
        <v>160359.97</v>
      </c>
      <c r="AT13" s="15">
        <v>144785.45000000001</v>
      </c>
      <c r="AU13" s="15">
        <v>153274.35999999999</v>
      </c>
      <c r="AV13" s="15">
        <v>182178.5</v>
      </c>
      <c r="AW13" s="15">
        <v>153680.5</v>
      </c>
      <c r="AX13" s="15">
        <v>221164</v>
      </c>
      <c r="AY13" s="15">
        <v>210566.69</v>
      </c>
      <c r="AZ13" s="15">
        <v>216901.26</v>
      </c>
      <c r="BA13" s="15">
        <v>216088.4</v>
      </c>
      <c r="BB13" s="15">
        <v>191578.5</v>
      </c>
      <c r="BC13" s="15">
        <v>231811.19</v>
      </c>
      <c r="BD13" s="15">
        <v>240522.49</v>
      </c>
      <c r="BE13" s="15">
        <v>187182.46</v>
      </c>
      <c r="BF13" s="15">
        <v>185072.45</v>
      </c>
      <c r="BG13" s="15">
        <v>240291.83</v>
      </c>
      <c r="BH13" s="15">
        <v>238817.18</v>
      </c>
      <c r="BI13" s="15">
        <v>224374.81</v>
      </c>
      <c r="BJ13" s="15">
        <v>219530.71</v>
      </c>
      <c r="BK13" s="15">
        <v>222818.99</v>
      </c>
      <c r="BL13" s="15">
        <v>230562.39</v>
      </c>
      <c r="BM13" s="15">
        <v>219879.21</v>
      </c>
      <c r="BN13" s="15">
        <v>180497.87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</row>
    <row r="14" spans="1:77" s="23" customFormat="1" x14ac:dyDescent="0.35">
      <c r="A14" s="11"/>
      <c r="B14" s="67" t="str">
        <f>IF(Control!$D$5=1,"Rice","Arroz")</f>
        <v>Arroz</v>
      </c>
      <c r="C14" s="15">
        <v>100708.81</v>
      </c>
      <c r="D14" s="15">
        <v>104914.95</v>
      </c>
      <c r="E14" s="15">
        <v>99022.28</v>
      </c>
      <c r="F14" s="15">
        <v>95786.94</v>
      </c>
      <c r="G14" s="15">
        <v>110047.8</v>
      </c>
      <c r="H14" s="15">
        <v>92773.08</v>
      </c>
      <c r="I14" s="15">
        <v>95959.78</v>
      </c>
      <c r="J14" s="15">
        <v>102374.14</v>
      </c>
      <c r="K14" s="15">
        <v>104861.29</v>
      </c>
      <c r="L14" s="15">
        <v>108361.92</v>
      </c>
      <c r="M14" s="15">
        <v>101051.35</v>
      </c>
      <c r="N14" s="15">
        <v>99538.14</v>
      </c>
      <c r="O14" s="15">
        <v>108999.8</v>
      </c>
      <c r="P14" s="15">
        <v>111650.93</v>
      </c>
      <c r="Q14" s="15">
        <v>117491.8</v>
      </c>
      <c r="R14" s="15">
        <v>104450.2</v>
      </c>
      <c r="S14" s="15">
        <v>115802.28</v>
      </c>
      <c r="T14" s="15">
        <v>131889.53</v>
      </c>
      <c r="U14" s="15">
        <v>123084.83</v>
      </c>
      <c r="V14" s="15">
        <v>123039.29</v>
      </c>
      <c r="W14" s="15">
        <v>136454.22</v>
      </c>
      <c r="X14" s="15">
        <v>139814.93</v>
      </c>
      <c r="Y14" s="15">
        <v>122721.96</v>
      </c>
      <c r="Z14" s="15">
        <v>126360.55</v>
      </c>
      <c r="AA14" s="15">
        <v>146844.54</v>
      </c>
      <c r="AB14" s="15">
        <v>146754.45000000001</v>
      </c>
      <c r="AC14" s="15">
        <v>149680.67000000001</v>
      </c>
      <c r="AD14" s="15">
        <v>139267.57999999999</v>
      </c>
      <c r="AE14" s="15">
        <v>142961.74</v>
      </c>
      <c r="AF14" s="15">
        <v>137062.22</v>
      </c>
      <c r="AG14" s="15">
        <v>136796.78</v>
      </c>
      <c r="AH14" s="15">
        <v>121056.28</v>
      </c>
      <c r="AI14" s="15">
        <v>137503.95000000001</v>
      </c>
      <c r="AJ14" s="15">
        <v>145938.04999999999</v>
      </c>
      <c r="AK14" s="15">
        <v>137177.42000000001</v>
      </c>
      <c r="AL14" s="15">
        <v>134895.17000000001</v>
      </c>
      <c r="AM14" s="15">
        <v>145466.99</v>
      </c>
      <c r="AN14" s="15">
        <v>159448.17000000001</v>
      </c>
      <c r="AO14" s="15">
        <v>147054.96</v>
      </c>
      <c r="AP14" s="15">
        <v>147553.82999999999</v>
      </c>
      <c r="AQ14" s="15">
        <v>167654.70000000001</v>
      </c>
      <c r="AR14" s="15">
        <v>155798.46</v>
      </c>
      <c r="AS14" s="15">
        <v>144293.82</v>
      </c>
      <c r="AT14" s="15">
        <v>128372.01</v>
      </c>
      <c r="AU14" s="15">
        <v>136080.31</v>
      </c>
      <c r="AV14" s="15">
        <v>162716.85</v>
      </c>
      <c r="AW14" s="15">
        <v>133599.39000000001</v>
      </c>
      <c r="AX14" s="15">
        <v>197697</v>
      </c>
      <c r="AY14" s="15">
        <v>187227.29</v>
      </c>
      <c r="AZ14" s="15">
        <v>190368.72</v>
      </c>
      <c r="BA14" s="15">
        <v>193700</v>
      </c>
      <c r="BB14" s="15">
        <v>171547.2</v>
      </c>
      <c r="BC14" s="15">
        <v>208259.7</v>
      </c>
      <c r="BD14" s="15">
        <v>217158.78</v>
      </c>
      <c r="BE14" s="15">
        <v>162563.32</v>
      </c>
      <c r="BF14" s="15">
        <v>162376.97</v>
      </c>
      <c r="BG14" s="15">
        <v>213370.87</v>
      </c>
      <c r="BH14" s="15">
        <v>207779.05</v>
      </c>
      <c r="BI14" s="15">
        <v>194854.22</v>
      </c>
      <c r="BJ14" s="15">
        <v>191443.25</v>
      </c>
      <c r="BK14" s="15">
        <v>194171.42</v>
      </c>
      <c r="BL14" s="15">
        <v>199195.51999999999</v>
      </c>
      <c r="BM14" s="15">
        <v>188870.1</v>
      </c>
      <c r="BN14" s="15">
        <v>158305.01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</row>
    <row r="15" spans="1:77" s="23" customFormat="1" x14ac:dyDescent="0.35">
      <c r="A15" s="11"/>
      <c r="B15" s="67" t="str">
        <f>IF(Control!$D$5=1,"Beans","Feijão")</f>
        <v>Feijão</v>
      </c>
      <c r="C15" s="15">
        <v>15371.89</v>
      </c>
      <c r="D15" s="15">
        <v>14810.64</v>
      </c>
      <c r="E15" s="15">
        <v>14418.39</v>
      </c>
      <c r="F15" s="15">
        <v>11753.57</v>
      </c>
      <c r="G15" s="15">
        <v>14181.86</v>
      </c>
      <c r="H15" s="15">
        <v>12227.59</v>
      </c>
      <c r="I15" s="15">
        <v>12198.92</v>
      </c>
      <c r="J15" s="15">
        <v>14307.8</v>
      </c>
      <c r="K15" s="15">
        <v>14809.19</v>
      </c>
      <c r="L15" s="15">
        <v>15464.72</v>
      </c>
      <c r="M15" s="15">
        <v>13913.74</v>
      </c>
      <c r="N15" s="15">
        <v>15329.97</v>
      </c>
      <c r="O15" s="15">
        <v>15507.41</v>
      </c>
      <c r="P15" s="15">
        <v>17494.59</v>
      </c>
      <c r="Q15" s="15">
        <v>14067.62</v>
      </c>
      <c r="R15" s="15">
        <v>14972.28</v>
      </c>
      <c r="S15" s="15">
        <v>17337.009999999998</v>
      </c>
      <c r="T15" s="15">
        <v>17517.169999999998</v>
      </c>
      <c r="U15" s="15">
        <v>16574.830000000002</v>
      </c>
      <c r="V15" s="15">
        <v>14854.98</v>
      </c>
      <c r="W15" s="15">
        <v>15537.66</v>
      </c>
      <c r="X15" s="15">
        <v>16266.83</v>
      </c>
      <c r="Y15" s="15">
        <v>16110.99</v>
      </c>
      <c r="Z15" s="15">
        <v>14339.38</v>
      </c>
      <c r="AA15" s="15">
        <v>16605.05</v>
      </c>
      <c r="AB15" s="15">
        <v>18738.939999999999</v>
      </c>
      <c r="AC15" s="15">
        <v>18825.86</v>
      </c>
      <c r="AD15" s="15">
        <v>19797.150000000001</v>
      </c>
      <c r="AE15" s="15">
        <v>18761.900000000001</v>
      </c>
      <c r="AF15" s="15">
        <v>18143.189999999999</v>
      </c>
      <c r="AG15" s="15">
        <v>16611.099999999999</v>
      </c>
      <c r="AH15" s="15">
        <v>14403.57</v>
      </c>
      <c r="AI15" s="15">
        <v>17293.93</v>
      </c>
      <c r="AJ15" s="15">
        <v>18896.32</v>
      </c>
      <c r="AK15" s="15">
        <v>16647.669999999998</v>
      </c>
      <c r="AL15" s="15">
        <v>15858.51</v>
      </c>
      <c r="AM15" s="15">
        <v>16387.46</v>
      </c>
      <c r="AN15" s="15">
        <v>19783.37</v>
      </c>
      <c r="AO15" s="15">
        <v>20513</v>
      </c>
      <c r="AP15" s="15">
        <v>19292.8</v>
      </c>
      <c r="AQ15" s="15">
        <v>20457.150000000001</v>
      </c>
      <c r="AR15" s="15">
        <v>19482.240000000002</v>
      </c>
      <c r="AS15" s="15">
        <v>16066.15</v>
      </c>
      <c r="AT15" s="15">
        <v>16413.439999999999</v>
      </c>
      <c r="AU15" s="15">
        <v>17194.05</v>
      </c>
      <c r="AV15" s="15">
        <v>19461.650000000001</v>
      </c>
      <c r="AW15" s="15">
        <v>20081.11</v>
      </c>
      <c r="AX15" s="15">
        <v>23467</v>
      </c>
      <c r="AY15" s="15">
        <v>23339.4</v>
      </c>
      <c r="AZ15" s="15">
        <v>26532.54</v>
      </c>
      <c r="BA15" s="15">
        <v>22388.400000000001</v>
      </c>
      <c r="BB15" s="15">
        <v>20031.3</v>
      </c>
      <c r="BC15" s="15">
        <v>23551.49</v>
      </c>
      <c r="BD15" s="15">
        <v>23363.71</v>
      </c>
      <c r="BE15" s="15">
        <v>24619.14</v>
      </c>
      <c r="BF15" s="15">
        <v>22695.48</v>
      </c>
      <c r="BG15" s="15">
        <v>26920.959999999999</v>
      </c>
      <c r="BH15" s="15">
        <v>31038.13</v>
      </c>
      <c r="BI15" s="15">
        <v>29520.59</v>
      </c>
      <c r="BJ15" s="15">
        <v>28087.46</v>
      </c>
      <c r="BK15" s="15">
        <v>28647.57</v>
      </c>
      <c r="BL15" s="15">
        <v>31366.87</v>
      </c>
      <c r="BM15" s="15">
        <v>31009.11</v>
      </c>
      <c r="BN15" s="15">
        <v>22192.86</v>
      </c>
      <c r="BO15" s="15">
        <v>0</v>
      </c>
      <c r="BP15" s="15">
        <v>0</v>
      </c>
      <c r="BQ15" s="15">
        <v>0</v>
      </c>
      <c r="BR15" s="15">
        <v>0</v>
      </c>
      <c r="BS15" s="15">
        <v>0</v>
      </c>
      <c r="BT15" s="15">
        <v>0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</row>
    <row r="16" spans="1:77" s="23" customFormat="1" x14ac:dyDescent="0.35">
      <c r="A16" s="11"/>
      <c r="B16" s="14" t="str">
        <f>IF(Control!$D$5=1,"Sugar","Açúcar")</f>
        <v>Açúcar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97432.74</v>
      </c>
      <c r="Z16" s="15">
        <v>132394.01999999999</v>
      </c>
      <c r="AA16" s="15">
        <v>148165.07999999999</v>
      </c>
      <c r="AB16" s="15">
        <v>155166.23000000001</v>
      </c>
      <c r="AC16" s="15">
        <v>162603.94</v>
      </c>
      <c r="AD16" s="15">
        <v>144523.26999999999</v>
      </c>
      <c r="AE16" s="15">
        <v>151185.64000000001</v>
      </c>
      <c r="AF16" s="15">
        <v>161412.63</v>
      </c>
      <c r="AG16" s="15">
        <v>149112.69</v>
      </c>
      <c r="AH16" s="15">
        <v>128865.61</v>
      </c>
      <c r="AI16" s="15">
        <v>137222.98000000001</v>
      </c>
      <c r="AJ16" s="15">
        <v>152786.16</v>
      </c>
      <c r="AK16" s="15">
        <v>143942.70000000001</v>
      </c>
      <c r="AL16" s="15">
        <v>111289.91</v>
      </c>
      <c r="AM16" s="15">
        <v>137933.4</v>
      </c>
      <c r="AN16" s="15">
        <v>141995.68</v>
      </c>
      <c r="AO16" s="15">
        <v>147904.51999999999</v>
      </c>
      <c r="AP16" s="15">
        <v>125419.61</v>
      </c>
      <c r="AQ16" s="15">
        <v>152446.1</v>
      </c>
      <c r="AR16" s="15">
        <v>138469.12</v>
      </c>
      <c r="AS16" s="15">
        <v>132320.93</v>
      </c>
      <c r="AT16" s="15">
        <v>118028.03</v>
      </c>
      <c r="AU16" s="15">
        <v>123457.4</v>
      </c>
      <c r="AV16" s="15">
        <v>132292.34</v>
      </c>
      <c r="AW16" s="15">
        <v>134715.72</v>
      </c>
      <c r="AX16" s="15">
        <v>135245</v>
      </c>
      <c r="AY16" s="15">
        <v>137463.72</v>
      </c>
      <c r="AZ16" s="15">
        <v>119540.22</v>
      </c>
      <c r="BA16" s="15">
        <v>130547.75</v>
      </c>
      <c r="BB16" s="15">
        <v>128320.08</v>
      </c>
      <c r="BC16" s="15">
        <v>145882</v>
      </c>
      <c r="BD16" s="15">
        <v>147138.96</v>
      </c>
      <c r="BE16" s="15">
        <v>148461.6</v>
      </c>
      <c r="BF16" s="15">
        <v>114563.33</v>
      </c>
      <c r="BG16" s="15">
        <v>156837.65</v>
      </c>
      <c r="BH16" s="15">
        <v>144664</v>
      </c>
      <c r="BI16" s="15">
        <v>137029.98000000001</v>
      </c>
      <c r="BJ16" s="15">
        <v>116083.2</v>
      </c>
      <c r="BK16" s="15">
        <v>134430.1</v>
      </c>
      <c r="BL16" s="15">
        <v>124500</v>
      </c>
      <c r="BM16" s="15">
        <v>129260</v>
      </c>
      <c r="BN16" s="15">
        <v>93196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</row>
    <row r="17" spans="1:77" s="23" customFormat="1" x14ac:dyDescent="0.35">
      <c r="A17" s="11"/>
      <c r="B17" s="12" t="str">
        <f>IF(Control!$D$5=1,"High Growth","Alto Valor")</f>
        <v>Alto Valor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172.04</v>
      </c>
      <c r="V17" s="15">
        <v>4061.78</v>
      </c>
      <c r="W17" s="15">
        <v>7593.06</v>
      </c>
      <c r="X17" s="15">
        <v>8394</v>
      </c>
      <c r="Y17" s="15">
        <v>9347.51</v>
      </c>
      <c r="Z17" s="15">
        <v>8932.57</v>
      </c>
      <c r="AA17" s="15">
        <v>7149.09</v>
      </c>
      <c r="AB17" s="15">
        <v>7473.62</v>
      </c>
      <c r="AC17" s="15">
        <v>8153.48</v>
      </c>
      <c r="AD17" s="15">
        <v>10603.02</v>
      </c>
      <c r="AE17" s="15">
        <v>6474.39</v>
      </c>
      <c r="AF17" s="15">
        <v>4900.58</v>
      </c>
      <c r="AG17" s="15">
        <v>8207.33</v>
      </c>
      <c r="AH17" s="15">
        <v>11998.9</v>
      </c>
      <c r="AI17" s="15">
        <v>6652.19</v>
      </c>
      <c r="AJ17" s="15">
        <v>6414.79</v>
      </c>
      <c r="AK17" s="15">
        <v>11490.44</v>
      </c>
      <c r="AL17" s="15">
        <v>12431.76</v>
      </c>
      <c r="AM17" s="15">
        <v>8083.92</v>
      </c>
      <c r="AN17" s="15">
        <v>8299.39</v>
      </c>
      <c r="AO17" s="15">
        <v>9213.67</v>
      </c>
      <c r="AP17" s="15">
        <v>14019.52</v>
      </c>
      <c r="AQ17" s="15">
        <v>7552.44</v>
      </c>
      <c r="AR17" s="15">
        <v>6180.42</v>
      </c>
      <c r="AS17" s="15">
        <v>10924.96</v>
      </c>
      <c r="AT17" s="15">
        <v>11393.8</v>
      </c>
      <c r="AU17" s="15">
        <v>5009.33</v>
      </c>
      <c r="AV17" s="15">
        <v>8125.13</v>
      </c>
      <c r="AW17" s="15">
        <v>10130.32</v>
      </c>
      <c r="AX17" s="15">
        <v>11965</v>
      </c>
      <c r="AY17" s="15">
        <v>7044.71</v>
      </c>
      <c r="AZ17" s="15">
        <v>6098.74</v>
      </c>
      <c r="BA17" s="15">
        <v>9976.2800000000007</v>
      </c>
      <c r="BB17" s="15">
        <v>15541.8</v>
      </c>
      <c r="BC17" s="15">
        <v>7538.53</v>
      </c>
      <c r="BD17" s="15">
        <v>9546.73</v>
      </c>
      <c r="BE17" s="15">
        <v>8334.99</v>
      </c>
      <c r="BF17" s="15">
        <v>11165.51</v>
      </c>
      <c r="BG17" s="15">
        <v>9241.5499999999993</v>
      </c>
      <c r="BH17" s="15">
        <v>7966.19</v>
      </c>
      <c r="BI17" s="15">
        <v>14498.14</v>
      </c>
      <c r="BJ17" s="15">
        <v>26950.49</v>
      </c>
      <c r="BK17" s="15">
        <v>33672.230000000003</v>
      </c>
      <c r="BL17" s="15">
        <v>33715.360000000001</v>
      </c>
      <c r="BM17" s="15">
        <v>32776.589999999997</v>
      </c>
      <c r="BN17" s="15">
        <v>39666.58</v>
      </c>
      <c r="BO17" s="69">
        <v>46211</v>
      </c>
      <c r="BP17" s="69">
        <v>44361.9</v>
      </c>
      <c r="BQ17" s="69">
        <v>40920</v>
      </c>
      <c r="BR17" s="69">
        <v>42982</v>
      </c>
      <c r="BS17" s="69">
        <v>48882</v>
      </c>
      <c r="BT17" s="69">
        <v>48129</v>
      </c>
      <c r="BU17" s="69">
        <v>45546</v>
      </c>
      <c r="BV17" s="69">
        <v>50569</v>
      </c>
      <c r="BW17" s="69">
        <v>47096</v>
      </c>
      <c r="BX17" s="69">
        <v>45222.349999999875</v>
      </c>
      <c r="BY17" s="69">
        <v>55883.182838663684</v>
      </c>
    </row>
    <row r="18" spans="1:77" s="23" customFormat="1" x14ac:dyDescent="0.35">
      <c r="A18" s="11"/>
      <c r="B18" s="14" t="str">
        <f>IF(Control!$D$5=1,"Fish","Pescados")</f>
        <v>Pescados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172.04</v>
      </c>
      <c r="V18" s="15">
        <v>4061.78</v>
      </c>
      <c r="W18" s="15">
        <v>7593.06</v>
      </c>
      <c r="X18" s="15">
        <v>8394</v>
      </c>
      <c r="Y18" s="15">
        <v>9347.51</v>
      </c>
      <c r="Z18" s="15">
        <v>8932.57</v>
      </c>
      <c r="AA18" s="15">
        <v>7149.09</v>
      </c>
      <c r="AB18" s="15">
        <v>7473.62</v>
      </c>
      <c r="AC18" s="15">
        <v>8153.48</v>
      </c>
      <c r="AD18" s="15">
        <v>10603.02</v>
      </c>
      <c r="AE18" s="15">
        <v>6474.39</v>
      </c>
      <c r="AF18" s="15">
        <v>4900.58</v>
      </c>
      <c r="AG18" s="15">
        <v>8207.33</v>
      </c>
      <c r="AH18" s="15">
        <v>11998.9</v>
      </c>
      <c r="AI18" s="15">
        <v>6652.19</v>
      </c>
      <c r="AJ18" s="15">
        <v>6414.79</v>
      </c>
      <c r="AK18" s="15">
        <v>11490.44</v>
      </c>
      <c r="AL18" s="15">
        <v>12431.76</v>
      </c>
      <c r="AM18" s="15">
        <v>8083.92</v>
      </c>
      <c r="AN18" s="15">
        <v>8299.39</v>
      </c>
      <c r="AO18" s="15">
        <v>9213.67</v>
      </c>
      <c r="AP18" s="15">
        <v>14019.52</v>
      </c>
      <c r="AQ18" s="15">
        <v>7552.44</v>
      </c>
      <c r="AR18" s="15">
        <v>6180.42</v>
      </c>
      <c r="AS18" s="15">
        <v>10924.96</v>
      </c>
      <c r="AT18" s="15">
        <v>11393.8</v>
      </c>
      <c r="AU18" s="15">
        <v>5009.33</v>
      </c>
      <c r="AV18" s="15">
        <v>8125.13</v>
      </c>
      <c r="AW18" s="15">
        <v>10130.32</v>
      </c>
      <c r="AX18" s="15">
        <v>11965</v>
      </c>
      <c r="AY18" s="15">
        <v>7044.71</v>
      </c>
      <c r="AZ18" s="15">
        <v>6098.74</v>
      </c>
      <c r="BA18" s="15">
        <v>9976.2800000000007</v>
      </c>
      <c r="BB18" s="15">
        <v>15541.8</v>
      </c>
      <c r="BC18" s="15">
        <v>7538.53</v>
      </c>
      <c r="BD18" s="15">
        <v>9546.73</v>
      </c>
      <c r="BE18" s="15">
        <v>8334.99</v>
      </c>
      <c r="BF18" s="15">
        <v>11165.51</v>
      </c>
      <c r="BG18" s="15">
        <v>9241.5499999999993</v>
      </c>
      <c r="BH18" s="15">
        <v>7966.19</v>
      </c>
      <c r="BI18" s="15">
        <v>7157.34</v>
      </c>
      <c r="BJ18" s="15">
        <v>8350.49</v>
      </c>
      <c r="BK18" s="15">
        <v>6416.28</v>
      </c>
      <c r="BL18" s="15">
        <v>7319.2</v>
      </c>
      <c r="BM18" s="15">
        <v>7312.42</v>
      </c>
      <c r="BN18" s="15">
        <v>12907.94</v>
      </c>
      <c r="BO18" s="15">
        <v>0</v>
      </c>
      <c r="BP18" s="15">
        <v>0</v>
      </c>
      <c r="BQ18" s="15">
        <v>0</v>
      </c>
      <c r="BR18" s="15">
        <v>0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0</v>
      </c>
      <c r="BY18" s="15">
        <v>0</v>
      </c>
    </row>
    <row r="19" spans="1:77" s="23" customFormat="1" x14ac:dyDescent="0.35">
      <c r="A19" s="11"/>
      <c r="B19" s="14" t="str">
        <f>IF(Control!$D$5=1,"Pasta","Massas")</f>
        <v>Massas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7340.8</v>
      </c>
      <c r="BJ19" s="15">
        <v>18600</v>
      </c>
      <c r="BK19" s="15">
        <v>25338.21</v>
      </c>
      <c r="BL19" s="15">
        <v>22963.51</v>
      </c>
      <c r="BM19" s="15">
        <v>18402.580000000002</v>
      </c>
      <c r="BN19" s="15">
        <v>16359.64</v>
      </c>
      <c r="BO19" s="15">
        <v>0</v>
      </c>
      <c r="BP19" s="15">
        <v>0</v>
      </c>
      <c r="BQ19" s="15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0</v>
      </c>
      <c r="BX19" s="15">
        <v>0</v>
      </c>
      <c r="BY19" s="15">
        <v>0</v>
      </c>
    </row>
    <row r="20" spans="1:77" s="23" customFormat="1" x14ac:dyDescent="0.35">
      <c r="A20" s="11"/>
      <c r="B20" s="14" t="str">
        <f>IF(Control!$D$5=1,"Coffee","Café")</f>
        <v>Café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1917.74</v>
      </c>
      <c r="BL20" s="15">
        <v>3432.65</v>
      </c>
      <c r="BM20" s="15">
        <v>4227.66</v>
      </c>
      <c r="BN20" s="15">
        <v>3689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0</v>
      </c>
      <c r="BX20" s="15">
        <v>0</v>
      </c>
      <c r="BY20" s="15">
        <v>0</v>
      </c>
    </row>
    <row r="21" spans="1:77" s="23" customFormat="1" x14ac:dyDescent="0.35">
      <c r="A21" s="11"/>
      <c r="B21" s="14" t="str">
        <f>IF(Control!$D$5=1,"Biscuits &amp; Cookies","Biscoitos")</f>
        <v>Biscoitos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2833.93</v>
      </c>
      <c r="BN21" s="15">
        <v>6710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</row>
    <row r="22" spans="1:77" s="23" customFormat="1" x14ac:dyDescent="0.35">
      <c r="A22" s="11"/>
      <c r="B22" s="1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</row>
    <row r="23" spans="1:77" s="20" customFormat="1" x14ac:dyDescent="0.35">
      <c r="A23" s="25"/>
      <c r="B23" s="46" t="str">
        <f>IF(Control!$D$5=1,"Gross Price (R$/kg)","Preço Bruto (R$/kg)")</f>
        <v>Preço Bruto (R$/kg)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</row>
    <row r="24" spans="1:77" s="23" customFormat="1" x14ac:dyDescent="0.35">
      <c r="A24" s="11"/>
      <c r="B24" s="12" t="str">
        <f>IF(Control!$D$5=1,"High Turnover","Alto Giro")</f>
        <v>Alto Giro</v>
      </c>
      <c r="C24" s="26">
        <v>1.39</v>
      </c>
      <c r="D24" s="26">
        <v>1.44</v>
      </c>
      <c r="E24" s="26">
        <v>1.6</v>
      </c>
      <c r="F24" s="26">
        <v>1.72</v>
      </c>
      <c r="G24" s="26">
        <v>1.85</v>
      </c>
      <c r="H24" s="26">
        <v>2.12</v>
      </c>
      <c r="I24" s="26">
        <v>2.06</v>
      </c>
      <c r="J24" s="26">
        <v>1.91</v>
      </c>
      <c r="K24" s="26">
        <v>1.73</v>
      </c>
      <c r="L24" s="26">
        <v>1.71</v>
      </c>
      <c r="M24" s="26">
        <v>1.68</v>
      </c>
      <c r="N24" s="26">
        <v>1.75</v>
      </c>
      <c r="O24" s="26">
        <v>1.84</v>
      </c>
      <c r="P24" s="26">
        <v>1.83</v>
      </c>
      <c r="Q24" s="26">
        <v>1.8</v>
      </c>
      <c r="R24" s="26">
        <v>1.64</v>
      </c>
      <c r="S24" s="26">
        <v>1.6</v>
      </c>
      <c r="T24" s="26">
        <v>1.57</v>
      </c>
      <c r="U24" s="26">
        <v>1.66</v>
      </c>
      <c r="V24" s="26">
        <v>1.75</v>
      </c>
      <c r="W24" s="26">
        <v>1.84</v>
      </c>
      <c r="X24" s="26">
        <v>1.91</v>
      </c>
      <c r="Y24" s="26">
        <v>2.0699999999999998</v>
      </c>
      <c r="Z24" s="26">
        <v>2.0099999999999998</v>
      </c>
      <c r="AA24" s="26">
        <v>1.87</v>
      </c>
      <c r="AB24" s="26">
        <v>1.88</v>
      </c>
      <c r="AC24" s="26">
        <v>1.81</v>
      </c>
      <c r="AD24" s="26">
        <v>1.87</v>
      </c>
      <c r="AE24" s="26">
        <v>1.91</v>
      </c>
      <c r="AF24" s="26">
        <v>1.88</v>
      </c>
      <c r="AG24" s="26">
        <v>1.89</v>
      </c>
      <c r="AH24" s="26">
        <v>2.02</v>
      </c>
      <c r="AI24" s="26">
        <v>2.0499999999999998</v>
      </c>
      <c r="AJ24" s="26">
        <v>2.0099999999999998</v>
      </c>
      <c r="AK24" s="26">
        <v>2.2000000000000002</v>
      </c>
      <c r="AL24" s="26">
        <v>2.57</v>
      </c>
      <c r="AM24" s="26">
        <v>2.56</v>
      </c>
      <c r="AN24" s="26">
        <v>2.84</v>
      </c>
      <c r="AO24" s="26">
        <v>2.87</v>
      </c>
      <c r="AP24" s="26">
        <v>2.73</v>
      </c>
      <c r="AQ24" s="26">
        <v>2.4900000000000002</v>
      </c>
      <c r="AR24" s="26">
        <v>2.4700000000000002</v>
      </c>
      <c r="AS24" s="26">
        <v>2.2799999999999998</v>
      </c>
      <c r="AT24" s="26">
        <v>2.29</v>
      </c>
      <c r="AU24" s="26">
        <v>2.19</v>
      </c>
      <c r="AV24" s="26">
        <v>2.38</v>
      </c>
      <c r="AW24" s="26">
        <v>2.41</v>
      </c>
      <c r="AX24" s="26">
        <v>2.44</v>
      </c>
      <c r="AY24" s="26">
        <v>2.42</v>
      </c>
      <c r="AZ24" s="26">
        <v>2.4700000000000002</v>
      </c>
      <c r="BA24" s="26">
        <v>2.56</v>
      </c>
      <c r="BB24" s="26">
        <v>2.67</v>
      </c>
      <c r="BC24" s="26">
        <v>2.86</v>
      </c>
      <c r="BD24" s="26">
        <v>3.09</v>
      </c>
      <c r="BE24" s="26">
        <v>3.76</v>
      </c>
      <c r="BF24" s="26">
        <v>3.88</v>
      </c>
      <c r="BG24" s="26">
        <v>3.79</v>
      </c>
      <c r="BH24" s="26">
        <v>3.85</v>
      </c>
      <c r="BI24" s="26">
        <v>3.99</v>
      </c>
      <c r="BJ24" s="26">
        <v>3.88</v>
      </c>
      <c r="BK24" s="26">
        <v>4.22</v>
      </c>
      <c r="BL24" s="26">
        <v>4.1900000000000004</v>
      </c>
      <c r="BM24" s="26">
        <v>4.21</v>
      </c>
      <c r="BN24" s="26">
        <v>4.6399999999999997</v>
      </c>
      <c r="BO24" s="26">
        <v>4.54</v>
      </c>
      <c r="BP24" s="26">
        <v>4.4400000000000004</v>
      </c>
      <c r="BQ24" s="26">
        <v>4.8499999999999996</v>
      </c>
      <c r="BR24" s="26">
        <v>5.78</v>
      </c>
      <c r="BS24" s="26">
        <v>5.18</v>
      </c>
      <c r="BT24" s="26">
        <v>5.2</v>
      </c>
      <c r="BU24" s="26">
        <v>4.96</v>
      </c>
      <c r="BV24" s="26">
        <v>5.23</v>
      </c>
      <c r="BW24" s="26">
        <v>4.62</v>
      </c>
      <c r="BX24" s="26">
        <v>4.0853568090322971</v>
      </c>
      <c r="BY24" s="26">
        <v>4.0551840852846972</v>
      </c>
    </row>
    <row r="25" spans="1:77" s="23" customFormat="1" x14ac:dyDescent="0.35">
      <c r="A25" s="11"/>
      <c r="B25" s="14" t="str">
        <f>IF(Control!$D$5=1,"Grains","Grãos")</f>
        <v>Grãos</v>
      </c>
      <c r="C25" s="26">
        <v>1.39</v>
      </c>
      <c r="D25" s="26">
        <v>1.44</v>
      </c>
      <c r="E25" s="26">
        <v>1.6</v>
      </c>
      <c r="F25" s="26">
        <v>1.72</v>
      </c>
      <c r="G25" s="26">
        <v>1.85</v>
      </c>
      <c r="H25" s="26">
        <v>2.12</v>
      </c>
      <c r="I25" s="26">
        <v>2.06</v>
      </c>
      <c r="J25" s="26">
        <v>1.91</v>
      </c>
      <c r="K25" s="26">
        <v>1.73</v>
      </c>
      <c r="L25" s="26">
        <v>1.71</v>
      </c>
      <c r="M25" s="26">
        <v>1.68</v>
      </c>
      <c r="N25" s="26">
        <v>1.75</v>
      </c>
      <c r="O25" s="26">
        <v>1.84</v>
      </c>
      <c r="P25" s="26">
        <v>1.83</v>
      </c>
      <c r="Q25" s="26">
        <v>1.8</v>
      </c>
      <c r="R25" s="26">
        <v>1.64</v>
      </c>
      <c r="S25" s="26">
        <v>1.6</v>
      </c>
      <c r="T25" s="26">
        <v>1.57</v>
      </c>
      <c r="U25" s="26">
        <v>1.66</v>
      </c>
      <c r="V25" s="26">
        <v>1.75</v>
      </c>
      <c r="W25" s="26">
        <v>1.84</v>
      </c>
      <c r="X25" s="26">
        <v>1.91</v>
      </c>
      <c r="Y25" s="26">
        <v>2.2200000000000002</v>
      </c>
      <c r="Z25" s="26">
        <v>2.21</v>
      </c>
      <c r="AA25" s="26">
        <v>2.14</v>
      </c>
      <c r="AB25" s="26">
        <v>2.19</v>
      </c>
      <c r="AC25" s="26">
        <v>2.06</v>
      </c>
      <c r="AD25" s="26">
        <v>2.1</v>
      </c>
      <c r="AE25" s="26">
        <v>2.1800000000000002</v>
      </c>
      <c r="AF25" s="26">
        <v>2.19</v>
      </c>
      <c r="AG25" s="26">
        <v>2.1800000000000002</v>
      </c>
      <c r="AH25" s="26">
        <v>2.35</v>
      </c>
      <c r="AI25" s="26">
        <v>2.36</v>
      </c>
      <c r="AJ25" s="26">
        <v>2.27</v>
      </c>
      <c r="AK25" s="26">
        <v>2.44</v>
      </c>
      <c r="AL25" s="26">
        <v>2.64</v>
      </c>
      <c r="AM25" s="26">
        <v>2.67</v>
      </c>
      <c r="AN25" s="26">
        <v>3.13</v>
      </c>
      <c r="AO25" s="26">
        <v>3.08</v>
      </c>
      <c r="AP25" s="26">
        <v>2.81</v>
      </c>
      <c r="AQ25" s="26">
        <v>2.59</v>
      </c>
      <c r="AR25" s="26">
        <v>2.63</v>
      </c>
      <c r="AS25" s="26">
        <v>2.4500000000000002</v>
      </c>
      <c r="AT25" s="26">
        <v>2.4300000000000002</v>
      </c>
      <c r="AU25" s="26">
        <v>2.38</v>
      </c>
      <c r="AV25" s="26">
        <v>2.58</v>
      </c>
      <c r="AW25" s="26">
        <v>2.69</v>
      </c>
      <c r="AX25" s="26">
        <v>2.69</v>
      </c>
      <c r="AY25" s="26">
        <v>2.7</v>
      </c>
      <c r="AZ25" s="26">
        <v>2.65</v>
      </c>
      <c r="BA25" s="26">
        <v>2.7</v>
      </c>
      <c r="BB25" s="26">
        <v>2.86</v>
      </c>
      <c r="BC25" s="26">
        <v>3.19</v>
      </c>
      <c r="BD25" s="26">
        <v>3.56</v>
      </c>
      <c r="BE25" s="26">
        <v>4.7699999999999996</v>
      </c>
      <c r="BF25" s="26">
        <v>4.55</v>
      </c>
      <c r="BG25" s="26">
        <v>4.37</v>
      </c>
      <c r="BH25" s="26">
        <v>4.12</v>
      </c>
      <c r="BI25" s="26">
        <v>4.0199999999999996</v>
      </c>
      <c r="BJ25" s="26">
        <v>3.8</v>
      </c>
      <c r="BK25" s="26">
        <v>4.34</v>
      </c>
      <c r="BL25" s="26">
        <v>4.33</v>
      </c>
      <c r="BM25" s="26">
        <v>4.3899999999999997</v>
      </c>
      <c r="BN25" s="26">
        <v>4.97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0</v>
      </c>
    </row>
    <row r="26" spans="1:77" s="23" customFormat="1" x14ac:dyDescent="0.35">
      <c r="A26" s="11"/>
      <c r="B26" s="67" t="str">
        <f>IF(Control!$D$5=1,"Rice","Arroz")</f>
        <v>Arroz</v>
      </c>
      <c r="C26" s="26">
        <v>1.32</v>
      </c>
      <c r="D26" s="26">
        <v>1.34</v>
      </c>
      <c r="E26" s="26">
        <v>1.39</v>
      </c>
      <c r="F26" s="26">
        <v>1.39</v>
      </c>
      <c r="G26" s="26">
        <v>1.62</v>
      </c>
      <c r="H26" s="26">
        <v>1.86</v>
      </c>
      <c r="I26" s="26">
        <v>1.86</v>
      </c>
      <c r="J26" s="26">
        <v>1.79</v>
      </c>
      <c r="K26" s="26">
        <v>1.65</v>
      </c>
      <c r="L26" s="26">
        <v>1.63</v>
      </c>
      <c r="M26" s="26">
        <v>1.63</v>
      </c>
      <c r="N26" s="26">
        <v>1.72</v>
      </c>
      <c r="O26" s="26">
        <v>1.68</v>
      </c>
      <c r="P26" s="26">
        <v>1.65</v>
      </c>
      <c r="Q26" s="26">
        <v>1.61</v>
      </c>
      <c r="R26" s="26">
        <v>1.54</v>
      </c>
      <c r="S26" s="26">
        <v>1.45</v>
      </c>
      <c r="T26" s="26">
        <v>1.42</v>
      </c>
      <c r="U26" s="26">
        <v>1.51</v>
      </c>
      <c r="V26" s="26">
        <v>1.53</v>
      </c>
      <c r="W26" s="26">
        <v>1.57</v>
      </c>
      <c r="X26" s="26">
        <v>1.68</v>
      </c>
      <c r="Y26" s="26">
        <v>2.04</v>
      </c>
      <c r="Z26" s="26">
        <v>1.98</v>
      </c>
      <c r="AA26" s="26">
        <v>1.84</v>
      </c>
      <c r="AB26" s="26">
        <v>1.91</v>
      </c>
      <c r="AC26" s="26">
        <v>1.89</v>
      </c>
      <c r="AD26" s="26">
        <v>1.98</v>
      </c>
      <c r="AE26" s="26">
        <v>2.0099999999999998</v>
      </c>
      <c r="AF26" s="26">
        <v>2.08</v>
      </c>
      <c r="AG26" s="26">
        <v>2.09</v>
      </c>
      <c r="AH26" s="26">
        <v>2.15</v>
      </c>
      <c r="AI26" s="26">
        <v>2.16</v>
      </c>
      <c r="AJ26" s="26">
        <v>2.11</v>
      </c>
      <c r="AK26" s="26">
        <v>2.2799999999999998</v>
      </c>
      <c r="AL26" s="26">
        <v>2.4</v>
      </c>
      <c r="AM26" s="26">
        <v>2.38</v>
      </c>
      <c r="AN26" s="26">
        <v>2.63</v>
      </c>
      <c r="AO26" s="26">
        <v>2.68</v>
      </c>
      <c r="AP26" s="26">
        <v>2.63</v>
      </c>
      <c r="AQ26" s="26">
        <v>2.41</v>
      </c>
      <c r="AR26" s="26">
        <v>2.39</v>
      </c>
      <c r="AS26" s="26">
        <v>2.33</v>
      </c>
      <c r="AT26" s="26">
        <v>2.33</v>
      </c>
      <c r="AU26" s="26">
        <v>2.27</v>
      </c>
      <c r="AV26" s="26">
        <v>2.4900000000000002</v>
      </c>
      <c r="AW26" s="26">
        <v>2.6</v>
      </c>
      <c r="AX26" s="26">
        <v>2.46</v>
      </c>
      <c r="AY26" s="26">
        <v>2.41</v>
      </c>
      <c r="AZ26" s="26">
        <v>2.48</v>
      </c>
      <c r="BA26" s="26">
        <v>2.5299999999999998</v>
      </c>
      <c r="BB26" s="26">
        <v>2.63</v>
      </c>
      <c r="BC26" s="26">
        <v>2.86</v>
      </c>
      <c r="BD26" s="26">
        <v>3.3</v>
      </c>
      <c r="BE26" s="26">
        <v>4.57</v>
      </c>
      <c r="BF26" s="26">
        <v>4.3</v>
      </c>
      <c r="BG26" s="26">
        <v>4.12</v>
      </c>
      <c r="BH26" s="26">
        <v>3.81</v>
      </c>
      <c r="BI26" s="26">
        <v>3.71</v>
      </c>
      <c r="BJ26" s="26">
        <v>3.46</v>
      </c>
      <c r="BK26" s="26">
        <v>3.89</v>
      </c>
      <c r="BL26" s="26">
        <v>3.89</v>
      </c>
      <c r="BM26" s="26">
        <v>4.01</v>
      </c>
      <c r="BN26" s="26">
        <v>4.54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5">
        <v>0</v>
      </c>
    </row>
    <row r="27" spans="1:77" s="23" customFormat="1" x14ac:dyDescent="0.35">
      <c r="A27" s="11"/>
      <c r="B27" s="67" t="str">
        <f>IF(Control!$D$5=1,"Beans","Feijão")</f>
        <v>Feijão</v>
      </c>
      <c r="C27" s="26">
        <v>1.82</v>
      </c>
      <c r="D27" s="26">
        <v>2.12</v>
      </c>
      <c r="E27" s="26">
        <v>3.05</v>
      </c>
      <c r="F27" s="26">
        <v>4.42</v>
      </c>
      <c r="G27" s="26">
        <v>3.65</v>
      </c>
      <c r="H27" s="26">
        <v>4.13</v>
      </c>
      <c r="I27" s="26">
        <v>3.66</v>
      </c>
      <c r="J27" s="26">
        <v>2.78</v>
      </c>
      <c r="K27" s="26">
        <v>2.3199999999999998</v>
      </c>
      <c r="L27" s="26">
        <v>2.2999999999999998</v>
      </c>
      <c r="M27" s="26">
        <v>2.0699999999999998</v>
      </c>
      <c r="N27" s="26">
        <v>1.97</v>
      </c>
      <c r="O27" s="26">
        <v>3</v>
      </c>
      <c r="P27" s="26">
        <v>3.01</v>
      </c>
      <c r="Q27" s="26">
        <v>3.43</v>
      </c>
      <c r="R27" s="26">
        <v>2.37</v>
      </c>
      <c r="S27" s="26">
        <v>2.62</v>
      </c>
      <c r="T27" s="26">
        <v>2.7</v>
      </c>
      <c r="U27" s="26">
        <v>2.8</v>
      </c>
      <c r="V27" s="26">
        <v>3.58</v>
      </c>
      <c r="W27" s="26">
        <v>4.18</v>
      </c>
      <c r="X27" s="26">
        <v>3.87</v>
      </c>
      <c r="Y27" s="26">
        <v>3.6</v>
      </c>
      <c r="Z27" s="26">
        <v>4.21</v>
      </c>
      <c r="AA27" s="26">
        <v>4.83</v>
      </c>
      <c r="AB27" s="26">
        <v>4.34</v>
      </c>
      <c r="AC27" s="26">
        <v>3.45</v>
      </c>
      <c r="AD27" s="26">
        <v>2.95</v>
      </c>
      <c r="AE27" s="26">
        <v>3.51</v>
      </c>
      <c r="AF27" s="26">
        <v>3.01</v>
      </c>
      <c r="AG27" s="26">
        <v>2.93</v>
      </c>
      <c r="AH27" s="26">
        <v>4</v>
      </c>
      <c r="AI27" s="26">
        <v>3.93</v>
      </c>
      <c r="AJ27" s="26">
        <v>3.54</v>
      </c>
      <c r="AK27" s="26">
        <v>3.75</v>
      </c>
      <c r="AL27" s="26">
        <v>4.6399999999999997</v>
      </c>
      <c r="AM27" s="26">
        <v>5.28</v>
      </c>
      <c r="AN27" s="26">
        <v>7.14</v>
      </c>
      <c r="AO27" s="26">
        <v>5.92</v>
      </c>
      <c r="AP27" s="26">
        <v>4.2</v>
      </c>
      <c r="AQ27" s="26">
        <v>4.0199999999999996</v>
      </c>
      <c r="AR27" s="26">
        <v>4.51</v>
      </c>
      <c r="AS27" s="26">
        <v>3.49</v>
      </c>
      <c r="AT27" s="26">
        <v>3.23</v>
      </c>
      <c r="AU27" s="26">
        <v>3.28</v>
      </c>
      <c r="AV27" s="26">
        <v>3.35</v>
      </c>
      <c r="AW27" s="26">
        <v>3.28</v>
      </c>
      <c r="AX27" s="26">
        <v>4.62</v>
      </c>
      <c r="AY27" s="26">
        <v>5.0599999999999996</v>
      </c>
      <c r="AZ27" s="26">
        <v>3.87</v>
      </c>
      <c r="BA27" s="26">
        <v>4.18</v>
      </c>
      <c r="BB27" s="26">
        <v>4.87</v>
      </c>
      <c r="BC27" s="26">
        <v>6.09</v>
      </c>
      <c r="BD27" s="26">
        <v>6</v>
      </c>
      <c r="BE27" s="26">
        <v>6.1</v>
      </c>
      <c r="BF27" s="26">
        <v>6.35</v>
      </c>
      <c r="BG27" s="26">
        <v>6.41</v>
      </c>
      <c r="BH27" s="26">
        <v>6.21</v>
      </c>
      <c r="BI27" s="26">
        <v>6.09</v>
      </c>
      <c r="BJ27" s="26">
        <v>6.11</v>
      </c>
      <c r="BK27" s="26">
        <v>7.46</v>
      </c>
      <c r="BL27" s="26">
        <v>7.08</v>
      </c>
      <c r="BM27" s="26">
        <v>6.68</v>
      </c>
      <c r="BN27" s="26">
        <v>8.0399999999999991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</row>
    <row r="28" spans="1:77" s="23" customFormat="1" ht="15.75" customHeight="1" x14ac:dyDescent="0.35">
      <c r="A28" s="11"/>
      <c r="B28" s="14" t="str">
        <f>IF(Control!$D$5=1,"Sugar","Açúcar")</f>
        <v>Açúcar</v>
      </c>
      <c r="C28" s="26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1.85</v>
      </c>
      <c r="Z28" s="26">
        <v>1.8</v>
      </c>
      <c r="AA28" s="26">
        <v>1.57</v>
      </c>
      <c r="AB28" s="26">
        <v>1.55</v>
      </c>
      <c r="AC28" s="26">
        <v>1.55</v>
      </c>
      <c r="AD28" s="26">
        <v>1.61</v>
      </c>
      <c r="AE28" s="26">
        <v>1.62</v>
      </c>
      <c r="AF28" s="26">
        <v>1.58</v>
      </c>
      <c r="AG28" s="26">
        <v>1.6</v>
      </c>
      <c r="AH28" s="26">
        <v>1.67</v>
      </c>
      <c r="AI28" s="26">
        <v>1.7</v>
      </c>
      <c r="AJ28" s="26">
        <v>1.73</v>
      </c>
      <c r="AK28" s="26">
        <v>1.95</v>
      </c>
      <c r="AL28" s="26">
        <v>2.4700000000000002</v>
      </c>
      <c r="AM28" s="26">
        <v>2.4300000000000002</v>
      </c>
      <c r="AN28" s="26">
        <v>2.48</v>
      </c>
      <c r="AO28" s="26">
        <v>2.63</v>
      </c>
      <c r="AP28" s="26">
        <v>2.61</v>
      </c>
      <c r="AQ28" s="26">
        <v>2.37</v>
      </c>
      <c r="AR28" s="26">
        <v>2.2799999999999998</v>
      </c>
      <c r="AS28" s="26">
        <v>2.08</v>
      </c>
      <c r="AT28" s="26">
        <v>2.11</v>
      </c>
      <c r="AU28" s="26">
        <v>1.95</v>
      </c>
      <c r="AV28" s="26">
        <v>2.1</v>
      </c>
      <c r="AW28" s="26">
        <v>2.09</v>
      </c>
      <c r="AX28" s="26">
        <v>2.02</v>
      </c>
      <c r="AY28" s="26">
        <v>1.98</v>
      </c>
      <c r="AZ28" s="26">
        <v>2.14</v>
      </c>
      <c r="BA28" s="26">
        <v>2.33</v>
      </c>
      <c r="BB28" s="26">
        <v>2.39</v>
      </c>
      <c r="BC28" s="26">
        <v>2.34</v>
      </c>
      <c r="BD28" s="26">
        <v>2.33</v>
      </c>
      <c r="BE28" s="26">
        <v>2.48</v>
      </c>
      <c r="BF28" s="26">
        <v>2.79</v>
      </c>
      <c r="BG28" s="26">
        <v>2.89</v>
      </c>
      <c r="BH28" s="26">
        <v>3.4</v>
      </c>
      <c r="BI28" s="26">
        <v>3.93</v>
      </c>
      <c r="BJ28" s="26">
        <v>4.03</v>
      </c>
      <c r="BK28" s="26">
        <v>4</v>
      </c>
      <c r="BL28" s="26">
        <v>3.93</v>
      </c>
      <c r="BM28" s="26">
        <v>3.91</v>
      </c>
      <c r="BN28" s="26">
        <v>4.01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</row>
    <row r="29" spans="1:77" s="23" customFormat="1" x14ac:dyDescent="0.35">
      <c r="A29" s="11"/>
      <c r="B29" s="12" t="str">
        <f>IF(Control!$D$5=1,"High Growth","Alto Valor")</f>
        <v>Alto Valor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12.94</v>
      </c>
      <c r="V29" s="26">
        <v>13.54</v>
      </c>
      <c r="W29" s="26">
        <v>14.15</v>
      </c>
      <c r="X29" s="26">
        <v>12.87</v>
      </c>
      <c r="Y29" s="26">
        <v>13.23</v>
      </c>
      <c r="Z29" s="26">
        <v>14.39</v>
      </c>
      <c r="AA29" s="26">
        <v>15.44</v>
      </c>
      <c r="AB29" s="26">
        <v>15.61</v>
      </c>
      <c r="AC29" s="26">
        <v>14.7</v>
      </c>
      <c r="AD29" s="26">
        <v>15.14</v>
      </c>
      <c r="AE29" s="26">
        <v>16.72</v>
      </c>
      <c r="AF29" s="26">
        <v>16.16</v>
      </c>
      <c r="AG29" s="26">
        <v>15.39</v>
      </c>
      <c r="AH29" s="26">
        <v>15.52</v>
      </c>
      <c r="AI29" s="26">
        <v>15.91</v>
      </c>
      <c r="AJ29" s="26">
        <v>15.33</v>
      </c>
      <c r="AK29" s="26">
        <v>15.45</v>
      </c>
      <c r="AL29" s="26">
        <v>15.88</v>
      </c>
      <c r="AM29" s="26">
        <v>16.93</v>
      </c>
      <c r="AN29" s="26">
        <v>17.32</v>
      </c>
      <c r="AO29" s="26">
        <v>17.25</v>
      </c>
      <c r="AP29" s="26">
        <v>17.010000000000002</v>
      </c>
      <c r="AQ29" s="26">
        <v>18.14</v>
      </c>
      <c r="AR29" s="26">
        <v>19.010000000000002</v>
      </c>
      <c r="AS29" s="26">
        <v>18.98</v>
      </c>
      <c r="AT29" s="26">
        <v>20.92</v>
      </c>
      <c r="AU29" s="26">
        <v>21.58</v>
      </c>
      <c r="AV29" s="26">
        <v>20.190000000000001</v>
      </c>
      <c r="AW29" s="26">
        <v>20.04</v>
      </c>
      <c r="AX29" s="26">
        <v>20.309999999999999</v>
      </c>
      <c r="AY29" s="26">
        <v>20.52</v>
      </c>
      <c r="AZ29" s="26">
        <v>20.260000000000002</v>
      </c>
      <c r="BA29" s="26">
        <v>20.37</v>
      </c>
      <c r="BB29" s="26">
        <v>20.94</v>
      </c>
      <c r="BC29" s="26">
        <v>20.72</v>
      </c>
      <c r="BD29" s="26">
        <v>21.17</v>
      </c>
      <c r="BE29" s="26">
        <v>24.44</v>
      </c>
      <c r="BF29" s="26">
        <v>25.19</v>
      </c>
      <c r="BG29" s="26">
        <v>25.94</v>
      </c>
      <c r="BH29" s="26">
        <v>26.7</v>
      </c>
      <c r="BI29" s="26">
        <v>16.72</v>
      </c>
      <c r="BJ29" s="26">
        <v>13.65</v>
      </c>
      <c r="BK29" s="26">
        <v>12.35</v>
      </c>
      <c r="BL29" s="26">
        <v>14.49</v>
      </c>
      <c r="BM29" s="26">
        <v>16.32</v>
      </c>
      <c r="BN29" s="26">
        <v>18.36</v>
      </c>
      <c r="BO29" s="26">
        <v>14.7</v>
      </c>
      <c r="BP29" s="26">
        <v>15.02</v>
      </c>
      <c r="BQ29" s="26">
        <v>15.77</v>
      </c>
      <c r="BR29" s="26">
        <v>18.940000000000001</v>
      </c>
      <c r="BS29" s="26">
        <v>14.75</v>
      </c>
      <c r="BT29" s="26">
        <v>15.89</v>
      </c>
      <c r="BU29" s="26">
        <v>15.09</v>
      </c>
      <c r="BV29" s="26">
        <v>22.09</v>
      </c>
      <c r="BW29" s="26">
        <v>17.21</v>
      </c>
      <c r="BX29" s="26">
        <v>19.088967521811718</v>
      </c>
      <c r="BY29" s="26">
        <v>20.146704980108154</v>
      </c>
    </row>
    <row r="30" spans="1:77" s="23" customFormat="1" x14ac:dyDescent="0.35">
      <c r="A30" s="11"/>
      <c r="B30" s="14" t="str">
        <f>IF(Control!$D$5=1,"Fish","Pescados")</f>
        <v>Pescados</v>
      </c>
      <c r="C30" s="26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12.94</v>
      </c>
      <c r="V30" s="26">
        <v>13.54</v>
      </c>
      <c r="W30" s="26">
        <v>14.15</v>
      </c>
      <c r="X30" s="26">
        <v>12.87</v>
      </c>
      <c r="Y30" s="26">
        <v>13.23</v>
      </c>
      <c r="Z30" s="26">
        <v>14.39</v>
      </c>
      <c r="AA30" s="26">
        <v>15.44</v>
      </c>
      <c r="AB30" s="26">
        <v>15.61</v>
      </c>
      <c r="AC30" s="26">
        <v>14.7</v>
      </c>
      <c r="AD30" s="26">
        <v>15.14</v>
      </c>
      <c r="AE30" s="26">
        <v>16.72</v>
      </c>
      <c r="AF30" s="26">
        <v>16.16</v>
      </c>
      <c r="AG30" s="26">
        <v>15.39</v>
      </c>
      <c r="AH30" s="26">
        <v>15.52</v>
      </c>
      <c r="AI30" s="26">
        <v>15.91</v>
      </c>
      <c r="AJ30" s="26">
        <v>15.33</v>
      </c>
      <c r="AK30" s="26">
        <v>15.45</v>
      </c>
      <c r="AL30" s="26">
        <v>15.88</v>
      </c>
      <c r="AM30" s="26">
        <v>16.93</v>
      </c>
      <c r="AN30" s="26">
        <v>17.32</v>
      </c>
      <c r="AO30" s="26">
        <v>17.25</v>
      </c>
      <c r="AP30" s="26">
        <v>17.010000000000002</v>
      </c>
      <c r="AQ30" s="26">
        <v>18.14</v>
      </c>
      <c r="AR30" s="26">
        <v>19.010000000000002</v>
      </c>
      <c r="AS30" s="26">
        <v>18.98</v>
      </c>
      <c r="AT30" s="26">
        <v>20.92</v>
      </c>
      <c r="AU30" s="26">
        <v>21.58</v>
      </c>
      <c r="AV30" s="26">
        <v>20.190000000000001</v>
      </c>
      <c r="AW30" s="26">
        <v>20.04</v>
      </c>
      <c r="AX30" s="26">
        <v>20.309999999999999</v>
      </c>
      <c r="AY30" s="26">
        <v>20.52</v>
      </c>
      <c r="AZ30" s="26">
        <v>20.260000000000002</v>
      </c>
      <c r="BA30" s="26">
        <v>20.37</v>
      </c>
      <c r="BB30" s="26">
        <v>20.94</v>
      </c>
      <c r="BC30" s="26">
        <v>20.72</v>
      </c>
      <c r="BD30" s="26">
        <v>21.17</v>
      </c>
      <c r="BE30" s="26">
        <v>24.44</v>
      </c>
      <c r="BF30" s="26">
        <v>25.19</v>
      </c>
      <c r="BG30" s="26">
        <v>25.94</v>
      </c>
      <c r="BH30" s="26">
        <v>26.7</v>
      </c>
      <c r="BI30" s="26">
        <v>27.59</v>
      </c>
      <c r="BJ30" s="26">
        <v>29.5</v>
      </c>
      <c r="BK30" s="26">
        <v>31.15</v>
      </c>
      <c r="BL30" s="26">
        <v>33.06</v>
      </c>
      <c r="BM30" s="26">
        <v>33.44</v>
      </c>
      <c r="BN30" s="26">
        <v>32.9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</row>
    <row r="31" spans="1:77" s="23" customFormat="1" x14ac:dyDescent="0.35">
      <c r="A31" s="11"/>
      <c r="B31" s="14" t="str">
        <f>IF(Control!$D$5=1,"Pasta","Massas")</f>
        <v>Massas</v>
      </c>
      <c r="C31" s="26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6.12</v>
      </c>
      <c r="BJ31" s="26">
        <v>6.53</v>
      </c>
      <c r="BK31" s="26">
        <v>6.32</v>
      </c>
      <c r="BL31" s="26">
        <v>6.94</v>
      </c>
      <c r="BM31" s="26">
        <v>7.87</v>
      </c>
      <c r="BN31" s="26">
        <v>7.7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5">
        <v>0</v>
      </c>
    </row>
    <row r="32" spans="1:77" s="23" customFormat="1" x14ac:dyDescent="0.35">
      <c r="A32" s="11"/>
      <c r="B32" s="14" t="str">
        <f>IF(Control!$D$5=1,"Coffee","Café")</f>
        <v>Café</v>
      </c>
      <c r="C32" s="26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0</v>
      </c>
      <c r="BJ32" s="26">
        <v>0</v>
      </c>
      <c r="BK32" s="26">
        <v>29.16</v>
      </c>
      <c r="BL32" s="26">
        <v>25.41</v>
      </c>
      <c r="BM32" s="26">
        <v>27.38</v>
      </c>
      <c r="BN32" s="26">
        <v>26.82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0</v>
      </c>
    </row>
    <row r="33" spans="1:77" s="23" customFormat="1" x14ac:dyDescent="0.35">
      <c r="A33" s="11"/>
      <c r="B33" s="14" t="str">
        <f>IF(Control!$D$5=1,"Biscuits &amp; Cookies","Biscoitos")</f>
        <v>Biscoitos</v>
      </c>
      <c r="C33" s="26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10.54</v>
      </c>
      <c r="BN33" s="26">
        <v>11.74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</row>
    <row r="35" spans="1:77" s="20" customFormat="1" x14ac:dyDescent="0.35">
      <c r="A35" s="25"/>
      <c r="B35" s="46" t="str">
        <f>IF(Control!$D$5=1,"Net Price (R$/kg)","Preço Líquido (R$/kg)")</f>
        <v>Preço Líquido (R$/kg)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</row>
    <row r="36" spans="1:77" s="23" customFormat="1" x14ac:dyDescent="0.35">
      <c r="A36" s="11"/>
      <c r="B36" s="12" t="str">
        <f>IF(Control!$D$5=1,"High Turnover","Alto Giro")</f>
        <v>Alto Giro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1.69</v>
      </c>
      <c r="AF36" s="26">
        <v>1.65</v>
      </c>
      <c r="AG36" s="26">
        <v>1.66</v>
      </c>
      <c r="AH36" s="26">
        <v>1.8</v>
      </c>
      <c r="AI36" s="26">
        <v>1.8</v>
      </c>
      <c r="AJ36" s="26">
        <v>1.76</v>
      </c>
      <c r="AK36" s="26">
        <v>1.96</v>
      </c>
      <c r="AL36" s="26">
        <v>2.29</v>
      </c>
      <c r="AM36" s="26">
        <v>2.29</v>
      </c>
      <c r="AN36" s="26">
        <v>2.5499999999999998</v>
      </c>
      <c r="AO36" s="26">
        <v>2.54</v>
      </c>
      <c r="AP36" s="26">
        <v>2.4</v>
      </c>
      <c r="AQ36" s="26">
        <v>2.19</v>
      </c>
      <c r="AR36" s="26">
        <v>2.16</v>
      </c>
      <c r="AS36" s="26">
        <v>2.02</v>
      </c>
      <c r="AT36" s="26">
        <v>1.99</v>
      </c>
      <c r="AU36" s="26">
        <v>1.9</v>
      </c>
      <c r="AV36" s="26">
        <v>2.08</v>
      </c>
      <c r="AW36" s="26">
        <v>2.1</v>
      </c>
      <c r="AX36" s="26">
        <v>2.12</v>
      </c>
      <c r="AY36" s="26">
        <v>2.1</v>
      </c>
      <c r="AZ36" s="26">
        <v>2.2000000000000002</v>
      </c>
      <c r="BA36" s="26">
        <v>2.2799999999999998</v>
      </c>
      <c r="BB36" s="26">
        <v>2.35</v>
      </c>
      <c r="BC36" s="26">
        <v>2.56</v>
      </c>
      <c r="BD36" s="26">
        <v>2.76</v>
      </c>
      <c r="BE36" s="26">
        <v>3.33</v>
      </c>
      <c r="BF36" s="26">
        <v>3.41</v>
      </c>
      <c r="BG36" s="26">
        <v>3.4</v>
      </c>
      <c r="BH36" s="26">
        <v>3.45</v>
      </c>
      <c r="BI36" s="26">
        <v>3.53</v>
      </c>
      <c r="BJ36" s="26">
        <v>3.4</v>
      </c>
      <c r="BK36" s="26">
        <v>3.68</v>
      </c>
      <c r="BL36" s="26">
        <v>3.63</v>
      </c>
      <c r="BM36" s="26">
        <v>3.64</v>
      </c>
      <c r="BN36" s="26">
        <v>4.01</v>
      </c>
      <c r="BO36" s="26">
        <v>3.89</v>
      </c>
      <c r="BP36" s="26">
        <v>3.88</v>
      </c>
      <c r="BQ36" s="26">
        <v>4.26</v>
      </c>
      <c r="BR36" s="26">
        <v>5.04</v>
      </c>
      <c r="BS36" s="26">
        <v>4.53</v>
      </c>
      <c r="BT36" s="26">
        <v>4.9000000000000004</v>
      </c>
      <c r="BU36" s="26">
        <v>4.26</v>
      </c>
      <c r="BV36" s="26">
        <v>4.483301829873823</v>
      </c>
      <c r="BW36" s="26">
        <v>3.96</v>
      </c>
      <c r="BX36" s="26">
        <v>3.5378337969073925</v>
      </c>
      <c r="BY36" s="26">
        <v>3.4548896072101365</v>
      </c>
    </row>
    <row r="37" spans="1:77" s="23" customFormat="1" x14ac:dyDescent="0.35">
      <c r="A37" s="11"/>
      <c r="B37" s="14" t="str">
        <f>IF(Control!$D$5=1,"Grains","Grãos")</f>
        <v>Grãos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1.95</v>
      </c>
      <c r="AF37" s="26">
        <v>1.95</v>
      </c>
      <c r="AG37" s="26">
        <v>1.93</v>
      </c>
      <c r="AH37" s="26">
        <v>2.09</v>
      </c>
      <c r="AI37" s="26">
        <v>2.09</v>
      </c>
      <c r="AJ37" s="26">
        <v>2</v>
      </c>
      <c r="AK37" s="26">
        <v>2.16</v>
      </c>
      <c r="AL37" s="26">
        <v>2.33</v>
      </c>
      <c r="AM37" s="26">
        <v>2.38</v>
      </c>
      <c r="AN37" s="26">
        <v>2.82</v>
      </c>
      <c r="AO37" s="26">
        <v>2.76</v>
      </c>
      <c r="AP37" s="26">
        <v>2.4900000000000002</v>
      </c>
      <c r="AQ37" s="26">
        <v>2.31</v>
      </c>
      <c r="AR37" s="26">
        <v>2.31</v>
      </c>
      <c r="AS37" s="26">
        <v>2.16</v>
      </c>
      <c r="AT37" s="26">
        <v>2.14</v>
      </c>
      <c r="AU37" s="26">
        <v>2.09</v>
      </c>
      <c r="AV37" s="26">
        <v>2.2599999999999998</v>
      </c>
      <c r="AW37" s="26">
        <v>2.36</v>
      </c>
      <c r="AX37" s="26">
        <v>2.37</v>
      </c>
      <c r="AY37" s="26">
        <v>2.37</v>
      </c>
      <c r="AZ37" s="26">
        <v>2.36</v>
      </c>
      <c r="BA37" s="26">
        <v>2.42</v>
      </c>
      <c r="BB37" s="26">
        <v>2.5499999999999998</v>
      </c>
      <c r="BC37" s="26">
        <v>2.88</v>
      </c>
      <c r="BD37" s="26">
        <v>3.21</v>
      </c>
      <c r="BE37" s="26">
        <v>4.25</v>
      </c>
      <c r="BF37" s="26">
        <v>3.98</v>
      </c>
      <c r="BG37" s="26">
        <v>3.88</v>
      </c>
      <c r="BH37" s="26">
        <v>3.69</v>
      </c>
      <c r="BI37" s="26">
        <v>3.53</v>
      </c>
      <c r="BJ37" s="26">
        <v>3.35</v>
      </c>
      <c r="BK37" s="26">
        <v>3.89</v>
      </c>
      <c r="BL37" s="26">
        <v>3.77</v>
      </c>
      <c r="BM37" s="26">
        <v>3.86</v>
      </c>
      <c r="BN37" s="26">
        <v>4.3899999999999997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</row>
    <row r="38" spans="1:77" s="23" customFormat="1" x14ac:dyDescent="0.35">
      <c r="A38" s="11"/>
      <c r="B38" s="67" t="str">
        <f>IF(Control!$D$5=1,"Rice","Arroz")</f>
        <v>Arroz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1.79</v>
      </c>
      <c r="AF38" s="26">
        <v>1.85</v>
      </c>
      <c r="AG38" s="26">
        <v>1.85</v>
      </c>
      <c r="AH38" s="26">
        <v>1.91</v>
      </c>
      <c r="AI38" s="26">
        <v>1.91</v>
      </c>
      <c r="AJ38" s="26">
        <v>1.85</v>
      </c>
      <c r="AK38" s="26">
        <v>2.02</v>
      </c>
      <c r="AL38" s="26">
        <v>2.1</v>
      </c>
      <c r="AM38" s="26">
        <v>2.09</v>
      </c>
      <c r="AN38" s="26">
        <v>2.34</v>
      </c>
      <c r="AO38" s="26">
        <v>2.38</v>
      </c>
      <c r="AP38" s="26">
        <v>2.3199999999999998</v>
      </c>
      <c r="AQ38" s="26">
        <v>2.13</v>
      </c>
      <c r="AR38" s="26">
        <v>2.11</v>
      </c>
      <c r="AS38" s="26">
        <v>2.04</v>
      </c>
      <c r="AT38" s="26">
        <v>2.04</v>
      </c>
      <c r="AU38" s="26">
        <v>1.97</v>
      </c>
      <c r="AV38" s="26">
        <v>2.2000000000000002</v>
      </c>
      <c r="AW38" s="26">
        <v>2.27</v>
      </c>
      <c r="AX38" s="26">
        <v>2.14</v>
      </c>
      <c r="AY38" s="26">
        <v>2.09</v>
      </c>
      <c r="AZ38" s="26">
        <v>2.19</v>
      </c>
      <c r="BA38" s="26">
        <v>2.2599999999999998</v>
      </c>
      <c r="BB38" s="26">
        <v>2.3199999999999998</v>
      </c>
      <c r="BC38" s="26">
        <v>2.56</v>
      </c>
      <c r="BD38" s="26">
        <v>2.95</v>
      </c>
      <c r="BE38" s="26">
        <v>4.03</v>
      </c>
      <c r="BF38" s="26">
        <v>3.73</v>
      </c>
      <c r="BG38" s="26">
        <v>3.64</v>
      </c>
      <c r="BH38" s="26">
        <v>3.38</v>
      </c>
      <c r="BI38" s="26">
        <v>3.21</v>
      </c>
      <c r="BJ38" s="26">
        <v>3</v>
      </c>
      <c r="BK38" s="26">
        <v>3.45</v>
      </c>
      <c r="BL38" s="26">
        <v>3.38</v>
      </c>
      <c r="BM38" s="26">
        <v>3.48</v>
      </c>
      <c r="BN38" s="26">
        <v>3.96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  <c r="BY38" s="15">
        <v>0</v>
      </c>
    </row>
    <row r="39" spans="1:77" s="23" customFormat="1" x14ac:dyDescent="0.35">
      <c r="A39" s="11"/>
      <c r="B39" s="67" t="str">
        <f>IF(Control!$D$5=1,"Beans","Feijão")</f>
        <v>Feijão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3.13</v>
      </c>
      <c r="AF39" s="26">
        <v>2.68</v>
      </c>
      <c r="AG39" s="26">
        <v>2.61</v>
      </c>
      <c r="AH39" s="26">
        <v>3.61</v>
      </c>
      <c r="AI39" s="26">
        <v>3.49</v>
      </c>
      <c r="AJ39" s="26">
        <v>3.14</v>
      </c>
      <c r="AK39" s="26">
        <v>3.34</v>
      </c>
      <c r="AL39" s="26">
        <v>4.33</v>
      </c>
      <c r="AM39" s="26">
        <v>4.95</v>
      </c>
      <c r="AN39" s="26">
        <v>6.72</v>
      </c>
      <c r="AO39" s="26">
        <v>5.49</v>
      </c>
      <c r="AP39" s="26">
        <v>3.79</v>
      </c>
      <c r="AQ39" s="26">
        <v>3.76</v>
      </c>
      <c r="AR39" s="26">
        <v>3.9</v>
      </c>
      <c r="AS39" s="26">
        <v>3.24</v>
      </c>
      <c r="AT39" s="26">
        <v>2.92</v>
      </c>
      <c r="AU39" s="26">
        <v>3.05</v>
      </c>
      <c r="AV39" s="26">
        <v>2.78</v>
      </c>
      <c r="AW39" s="26">
        <v>2.99</v>
      </c>
      <c r="AX39" s="26">
        <v>4.32</v>
      </c>
      <c r="AY39" s="26">
        <v>4.5999999999999996</v>
      </c>
      <c r="AZ39" s="26">
        <v>3.62</v>
      </c>
      <c r="BA39" s="26">
        <v>3.81</v>
      </c>
      <c r="BB39" s="26">
        <v>4.58</v>
      </c>
      <c r="BC39" s="26">
        <v>5.73</v>
      </c>
      <c r="BD39" s="26">
        <v>5.62</v>
      </c>
      <c r="BE39" s="26">
        <v>5.66</v>
      </c>
      <c r="BF39" s="26">
        <v>5.82</v>
      </c>
      <c r="BG39" s="26">
        <v>5.83</v>
      </c>
      <c r="BH39" s="26">
        <v>5.79</v>
      </c>
      <c r="BI39" s="26">
        <v>5.6</v>
      </c>
      <c r="BJ39" s="26">
        <v>5.76</v>
      </c>
      <c r="BK39" s="26">
        <v>6.85</v>
      </c>
      <c r="BL39" s="26">
        <v>6.23</v>
      </c>
      <c r="BM39" s="26">
        <v>6.14</v>
      </c>
      <c r="BN39" s="26">
        <v>7.42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5">
        <v>0</v>
      </c>
    </row>
    <row r="40" spans="1:77" s="23" customFormat="1" x14ac:dyDescent="0.35">
      <c r="A40" s="11"/>
      <c r="B40" s="14" t="str">
        <f>IF(Control!$D$5=1,"Sugar","Açúcar")</f>
        <v>Açúcar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1.41</v>
      </c>
      <c r="AF40" s="26">
        <v>1.36</v>
      </c>
      <c r="AG40" s="26">
        <v>1.39</v>
      </c>
      <c r="AH40" s="26">
        <v>1.49</v>
      </c>
      <c r="AI40" s="26">
        <v>1.48</v>
      </c>
      <c r="AJ40" s="26">
        <v>1.51</v>
      </c>
      <c r="AK40" s="26">
        <v>1.74</v>
      </c>
      <c r="AL40" s="26">
        <v>2.2200000000000002</v>
      </c>
      <c r="AM40" s="26">
        <v>2.1800000000000002</v>
      </c>
      <c r="AN40" s="26">
        <v>2.2000000000000002</v>
      </c>
      <c r="AO40" s="26">
        <v>2.29</v>
      </c>
      <c r="AP40" s="26">
        <v>2.2799999999999998</v>
      </c>
      <c r="AQ40" s="26">
        <v>2.0499999999999998</v>
      </c>
      <c r="AR40" s="26">
        <v>1.97</v>
      </c>
      <c r="AS40" s="26">
        <v>1.84</v>
      </c>
      <c r="AT40" s="26">
        <v>1.81</v>
      </c>
      <c r="AU40" s="26">
        <v>1.66</v>
      </c>
      <c r="AV40" s="26">
        <v>1.83</v>
      </c>
      <c r="AW40" s="26">
        <v>1.8</v>
      </c>
      <c r="AX40" s="26">
        <v>1.72</v>
      </c>
      <c r="AY40" s="26">
        <v>1.68</v>
      </c>
      <c r="AZ40" s="26">
        <v>1.89</v>
      </c>
      <c r="BA40" s="26">
        <v>2.04</v>
      </c>
      <c r="BB40" s="26">
        <v>2.04</v>
      </c>
      <c r="BC40" s="26">
        <v>2.0499999999999998</v>
      </c>
      <c r="BD40" s="26">
        <v>2.0299999999999998</v>
      </c>
      <c r="BE40" s="26">
        <v>2.16</v>
      </c>
      <c r="BF40" s="26">
        <v>2.48</v>
      </c>
      <c r="BG40" s="26">
        <v>2.65</v>
      </c>
      <c r="BH40" s="26">
        <v>3.06</v>
      </c>
      <c r="BI40" s="26">
        <v>3.54</v>
      </c>
      <c r="BJ40" s="26">
        <v>3.49</v>
      </c>
      <c r="BK40" s="26">
        <v>3.32</v>
      </c>
      <c r="BL40" s="26">
        <v>3.37</v>
      </c>
      <c r="BM40" s="26">
        <v>3.27</v>
      </c>
      <c r="BN40" s="26">
        <v>3.29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  <c r="BY40" s="15">
        <v>0</v>
      </c>
    </row>
    <row r="41" spans="1:77" s="23" customFormat="1" x14ac:dyDescent="0.35">
      <c r="A41" s="11"/>
      <c r="B41" s="12" t="str">
        <f>IF(Control!$D$5=1,"High Growth","Alto Valor")</f>
        <v>Alto Valor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13.39</v>
      </c>
      <c r="AF41" s="26">
        <v>13.34</v>
      </c>
      <c r="AG41" s="26">
        <v>12.79</v>
      </c>
      <c r="AH41" s="26">
        <v>12.82</v>
      </c>
      <c r="AI41" s="26">
        <v>13.16</v>
      </c>
      <c r="AJ41" s="26">
        <v>12.93</v>
      </c>
      <c r="AK41" s="26">
        <v>12.82</v>
      </c>
      <c r="AL41" s="26">
        <v>13.04</v>
      </c>
      <c r="AM41" s="26">
        <v>14.34</v>
      </c>
      <c r="AN41" s="26">
        <v>14.53</v>
      </c>
      <c r="AO41" s="26">
        <v>13.48</v>
      </c>
      <c r="AP41" s="26">
        <v>13.07</v>
      </c>
      <c r="AQ41" s="26">
        <v>13.85</v>
      </c>
      <c r="AR41" s="26">
        <v>14.76</v>
      </c>
      <c r="AS41" s="26">
        <v>14.43</v>
      </c>
      <c r="AT41" s="26">
        <v>15.01</v>
      </c>
      <c r="AU41" s="26">
        <v>15.73</v>
      </c>
      <c r="AV41" s="26">
        <v>15.59</v>
      </c>
      <c r="AW41" s="26">
        <v>15.36</v>
      </c>
      <c r="AX41" s="26">
        <v>15.33</v>
      </c>
      <c r="AY41" s="26">
        <v>14.55</v>
      </c>
      <c r="AZ41" s="26">
        <v>15.75</v>
      </c>
      <c r="BA41" s="26">
        <v>15.95</v>
      </c>
      <c r="BB41" s="26">
        <v>15.8</v>
      </c>
      <c r="BC41" s="26">
        <v>16.059999999999999</v>
      </c>
      <c r="BD41" s="26">
        <v>17.07</v>
      </c>
      <c r="BE41" s="26">
        <v>19.45</v>
      </c>
      <c r="BF41" s="26">
        <v>20.09</v>
      </c>
      <c r="BG41" s="26">
        <v>20.399999999999999</v>
      </c>
      <c r="BH41" s="26">
        <v>21.43</v>
      </c>
      <c r="BI41" s="26">
        <v>13.29</v>
      </c>
      <c r="BJ41" s="26">
        <v>10.65</v>
      </c>
      <c r="BK41" s="26">
        <v>10.31</v>
      </c>
      <c r="BL41" s="26">
        <v>12.95</v>
      </c>
      <c r="BM41" s="26">
        <v>13.25</v>
      </c>
      <c r="BN41" s="26">
        <v>14.91</v>
      </c>
      <c r="BO41" s="26">
        <v>11.8</v>
      </c>
      <c r="BP41" s="26">
        <v>12.19</v>
      </c>
      <c r="BQ41" s="26">
        <v>12.66</v>
      </c>
      <c r="BR41" s="26">
        <v>15.09</v>
      </c>
      <c r="BS41" s="26">
        <v>11.81</v>
      </c>
      <c r="BT41" s="26">
        <v>13.06</v>
      </c>
      <c r="BU41" s="26">
        <v>12.64</v>
      </c>
      <c r="BV41" s="26">
        <v>18.396602068460915</v>
      </c>
      <c r="BW41" s="26">
        <v>13.96</v>
      </c>
      <c r="BX41" s="26">
        <v>15.624085128702996</v>
      </c>
      <c r="BY41" s="26">
        <v>16.51763975765116</v>
      </c>
    </row>
    <row r="42" spans="1:77" s="23" customFormat="1" x14ac:dyDescent="0.35">
      <c r="A42" s="11"/>
      <c r="B42" s="14" t="str">
        <f>IF(Control!$D$5=1,"Fish","Pescados")</f>
        <v>Pescados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13.39</v>
      </c>
      <c r="AF42" s="26">
        <v>13.34</v>
      </c>
      <c r="AG42" s="26">
        <v>12.79</v>
      </c>
      <c r="AH42" s="26">
        <v>12.82</v>
      </c>
      <c r="AI42" s="26">
        <v>13.16</v>
      </c>
      <c r="AJ42" s="26">
        <v>12.93</v>
      </c>
      <c r="AK42" s="26">
        <v>12.82</v>
      </c>
      <c r="AL42" s="26">
        <v>13.04</v>
      </c>
      <c r="AM42" s="26">
        <v>14.34</v>
      </c>
      <c r="AN42" s="26">
        <v>14.53</v>
      </c>
      <c r="AO42" s="26">
        <v>13.48</v>
      </c>
      <c r="AP42" s="26">
        <v>13.07</v>
      </c>
      <c r="AQ42" s="26">
        <v>13.85</v>
      </c>
      <c r="AR42" s="26">
        <v>14.76</v>
      </c>
      <c r="AS42" s="26">
        <v>14.43</v>
      </c>
      <c r="AT42" s="26">
        <v>15.01</v>
      </c>
      <c r="AU42" s="26">
        <v>15.73</v>
      </c>
      <c r="AV42" s="26">
        <v>15.59</v>
      </c>
      <c r="AW42" s="26">
        <v>15.36</v>
      </c>
      <c r="AX42" s="26">
        <v>15.33</v>
      </c>
      <c r="AY42" s="26">
        <v>14.55</v>
      </c>
      <c r="AZ42" s="26">
        <v>15.75</v>
      </c>
      <c r="BA42" s="26">
        <v>15.95</v>
      </c>
      <c r="BB42" s="26">
        <v>15.8</v>
      </c>
      <c r="BC42" s="26">
        <v>16.059999999999999</v>
      </c>
      <c r="BD42" s="26">
        <v>17.07</v>
      </c>
      <c r="BE42" s="26">
        <v>19.45</v>
      </c>
      <c r="BF42" s="26">
        <v>20.09</v>
      </c>
      <c r="BG42" s="26">
        <v>20.399999999999999</v>
      </c>
      <c r="BH42" s="26">
        <v>21.43</v>
      </c>
      <c r="BI42" s="26">
        <v>21.35</v>
      </c>
      <c r="BJ42" s="26">
        <v>22.93</v>
      </c>
      <c r="BK42" s="26">
        <v>24.25</v>
      </c>
      <c r="BL42" s="26">
        <v>29.5</v>
      </c>
      <c r="BM42" s="26">
        <v>24.98</v>
      </c>
      <c r="BN42" s="26">
        <v>25.86</v>
      </c>
      <c r="BO42" s="15">
        <v>0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0</v>
      </c>
      <c r="BV42" s="15">
        <v>0</v>
      </c>
      <c r="BW42" s="15">
        <v>0</v>
      </c>
      <c r="BX42" s="15">
        <v>0</v>
      </c>
      <c r="BY42" s="15">
        <v>0</v>
      </c>
    </row>
    <row r="43" spans="1:77" s="23" customFormat="1" x14ac:dyDescent="0.35">
      <c r="A43" s="11"/>
      <c r="B43" s="14" t="str">
        <f>IF(Control!$D$5=1,"Pasta","Massas")</f>
        <v>Massas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5.43</v>
      </c>
      <c r="BJ43" s="26">
        <v>5.13</v>
      </c>
      <c r="BK43" s="26">
        <v>5.67</v>
      </c>
      <c r="BL43" s="26">
        <v>6.28</v>
      </c>
      <c r="BM43" s="26">
        <v>6.96</v>
      </c>
      <c r="BN43" s="26">
        <v>6.89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</row>
    <row r="44" spans="1:77" s="23" customFormat="1" x14ac:dyDescent="0.35">
      <c r="A44" s="11"/>
      <c r="B44" s="14" t="str">
        <f>IF(Control!$D$5=1,"Coffee","Café")</f>
        <v>Café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25.04</v>
      </c>
      <c r="BL44" s="26">
        <v>22.26</v>
      </c>
      <c r="BM44" s="26">
        <v>23.29</v>
      </c>
      <c r="BN44" s="26">
        <v>22.95</v>
      </c>
      <c r="BO44" s="15">
        <v>0</v>
      </c>
      <c r="BP44" s="15">
        <v>0</v>
      </c>
      <c r="BQ44" s="15">
        <v>0</v>
      </c>
      <c r="BR44" s="15">
        <v>0</v>
      </c>
      <c r="BS44" s="15">
        <v>0</v>
      </c>
      <c r="BT44" s="15">
        <v>0</v>
      </c>
      <c r="BU44" s="15">
        <v>0</v>
      </c>
      <c r="BV44" s="15">
        <v>0</v>
      </c>
      <c r="BW44" s="15">
        <v>0</v>
      </c>
      <c r="BX44" s="15">
        <v>0</v>
      </c>
      <c r="BY44" s="15">
        <v>0</v>
      </c>
    </row>
    <row r="45" spans="1:77" s="23" customFormat="1" x14ac:dyDescent="0.35">
      <c r="A45" s="11"/>
      <c r="B45" s="14" t="str">
        <f>IF(Control!$D$5=1,"Biscuits &amp; Cookies","Biscoitos")</f>
        <v>Biscoitos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8.9</v>
      </c>
      <c r="BN45" s="26">
        <v>8.98</v>
      </c>
      <c r="BO45" s="15">
        <v>0</v>
      </c>
      <c r="BP45" s="15">
        <v>0</v>
      </c>
      <c r="BQ45" s="15">
        <v>0</v>
      </c>
      <c r="BR45" s="15">
        <v>0</v>
      </c>
      <c r="BS45" s="15">
        <v>0</v>
      </c>
      <c r="BT45" s="15">
        <v>0</v>
      </c>
      <c r="BU45" s="15">
        <v>0</v>
      </c>
      <c r="BV45" s="15">
        <v>0</v>
      </c>
      <c r="BW45" s="15">
        <v>0</v>
      </c>
      <c r="BX45" s="15">
        <v>0</v>
      </c>
      <c r="BY45" s="15">
        <v>0</v>
      </c>
    </row>
    <row r="47" spans="1:77" s="20" customFormat="1" x14ac:dyDescent="0.35">
      <c r="A47" s="25"/>
      <c r="B47" s="50" t="str">
        <f>IF(Control!$D$5=1,"International","Internacional")</f>
        <v>Internacional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</row>
    <row r="48" spans="1:77" s="23" customFormat="1" x14ac:dyDescent="0.35">
      <c r="A48" s="11"/>
      <c r="B48" s="46" t="s">
        <v>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</row>
    <row r="49" spans="1:77" s="23" customFormat="1" x14ac:dyDescent="0.35">
      <c r="A49" s="11"/>
      <c r="B49" s="12" t="str">
        <f>IF(Control!$D$5=1,"International","Internacional")</f>
        <v>Internacional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148231</v>
      </c>
      <c r="AF49" s="15">
        <v>181681</v>
      </c>
      <c r="AG49" s="15">
        <v>169268</v>
      </c>
      <c r="AH49" s="15">
        <v>156234</v>
      </c>
      <c r="AI49" s="15">
        <v>141124</v>
      </c>
      <c r="AJ49" s="15">
        <v>165440</v>
      </c>
      <c r="AK49" s="15">
        <v>159205</v>
      </c>
      <c r="AL49" s="15">
        <v>119746</v>
      </c>
      <c r="AM49" s="15">
        <v>153191</v>
      </c>
      <c r="AN49" s="15">
        <v>188902</v>
      </c>
      <c r="AO49" s="15">
        <v>168217</v>
      </c>
      <c r="AP49" s="15">
        <v>195313</v>
      </c>
      <c r="AQ49" s="15">
        <v>159142</v>
      </c>
      <c r="AR49" s="15">
        <v>203672</v>
      </c>
      <c r="AS49" s="15">
        <v>181544</v>
      </c>
      <c r="AT49" s="15">
        <v>187294</v>
      </c>
      <c r="AU49" s="15">
        <v>128824.29</v>
      </c>
      <c r="AV49" s="15">
        <v>151611.01999999999</v>
      </c>
      <c r="AW49" s="15">
        <v>179119.66</v>
      </c>
      <c r="AX49" s="15">
        <v>170632.86</v>
      </c>
      <c r="AY49" s="15">
        <v>110623</v>
      </c>
      <c r="AZ49" s="15">
        <v>145154.97</v>
      </c>
      <c r="BA49" s="15">
        <v>176192</v>
      </c>
      <c r="BB49" s="15">
        <v>202460.05</v>
      </c>
      <c r="BC49" s="15">
        <v>176616.11</v>
      </c>
      <c r="BD49" s="15">
        <v>189056.13</v>
      </c>
      <c r="BE49" s="15">
        <v>178006.02</v>
      </c>
      <c r="BF49" s="15">
        <v>133890.25</v>
      </c>
      <c r="BG49" s="15">
        <v>119854.57</v>
      </c>
      <c r="BH49" s="15">
        <v>161622.94</v>
      </c>
      <c r="BI49" s="15">
        <v>152040.75</v>
      </c>
      <c r="BJ49" s="15">
        <v>193287.45</v>
      </c>
      <c r="BK49" s="15">
        <v>172229.33</v>
      </c>
      <c r="BL49" s="15">
        <v>240772.68</v>
      </c>
      <c r="BM49" s="15">
        <v>137193.71</v>
      </c>
      <c r="BN49" s="15">
        <v>153005.32999999999</v>
      </c>
      <c r="BO49" s="15">
        <v>163767</v>
      </c>
      <c r="BP49" s="15">
        <v>204560</v>
      </c>
      <c r="BQ49" s="15">
        <v>179103</v>
      </c>
      <c r="BR49" s="15">
        <v>127790</v>
      </c>
      <c r="BS49" s="15">
        <v>135057</v>
      </c>
      <c r="BT49" s="15">
        <v>187923</v>
      </c>
      <c r="BU49" s="15">
        <v>156391</v>
      </c>
      <c r="BV49" s="15">
        <v>140682</v>
      </c>
      <c r="BW49" s="15">
        <v>168032</v>
      </c>
      <c r="BX49" s="15">
        <v>236798</v>
      </c>
      <c r="BY49" s="15">
        <v>249361</v>
      </c>
    </row>
    <row r="50" spans="1:77" s="23" customFormat="1" x14ac:dyDescent="0.35">
      <c r="A50" s="11"/>
      <c r="B50" s="14" t="str">
        <f>IF(Control!$D$5=1,"Uruguay","Uruguai")</f>
        <v>Uruguai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111687</v>
      </c>
      <c r="AF50" s="15">
        <v>142915</v>
      </c>
      <c r="AG50" s="15">
        <v>127453</v>
      </c>
      <c r="AH50" s="15">
        <v>114681</v>
      </c>
      <c r="AI50" s="15">
        <v>92437</v>
      </c>
      <c r="AJ50" s="15">
        <v>116582</v>
      </c>
      <c r="AK50" s="15">
        <v>112447</v>
      </c>
      <c r="AL50" s="15">
        <v>79119</v>
      </c>
      <c r="AM50" s="15">
        <v>108114</v>
      </c>
      <c r="AN50" s="15">
        <v>142611</v>
      </c>
      <c r="AO50" s="15">
        <v>123988</v>
      </c>
      <c r="AP50" s="15">
        <v>154946</v>
      </c>
      <c r="AQ50" s="15">
        <v>114458</v>
      </c>
      <c r="AR50" s="15">
        <v>158105</v>
      </c>
      <c r="AS50" s="15">
        <v>132045</v>
      </c>
      <c r="AT50" s="15">
        <v>143160</v>
      </c>
      <c r="AU50" s="15">
        <v>86011</v>
      </c>
      <c r="AV50" s="15">
        <v>104049.26</v>
      </c>
      <c r="AW50" s="15">
        <v>136465.89000000001</v>
      </c>
      <c r="AX50" s="15">
        <v>131033.46</v>
      </c>
      <c r="AY50" s="15">
        <v>69423</v>
      </c>
      <c r="AZ50" s="15">
        <v>101609</v>
      </c>
      <c r="BA50" s="15">
        <v>129130</v>
      </c>
      <c r="BB50" s="15">
        <v>161320.26</v>
      </c>
      <c r="BC50" s="15">
        <v>126318.66</v>
      </c>
      <c r="BD50" s="15">
        <v>139827.54</v>
      </c>
      <c r="BE50" s="15">
        <v>140044.79999999999</v>
      </c>
      <c r="BF50" s="15">
        <v>98557.88</v>
      </c>
      <c r="BG50" s="15">
        <v>80574.05</v>
      </c>
      <c r="BH50" s="15">
        <v>121086.36</v>
      </c>
      <c r="BI50" s="15">
        <v>98279.23</v>
      </c>
      <c r="BJ50" s="15">
        <v>143124.01999999999</v>
      </c>
      <c r="BK50" s="15">
        <v>122806.75</v>
      </c>
      <c r="BL50" s="15">
        <v>184754.46</v>
      </c>
      <c r="BM50" s="15">
        <v>84270</v>
      </c>
      <c r="BN50" s="15">
        <v>106059.47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>
        <v>0</v>
      </c>
      <c r="BU50" s="15">
        <v>0</v>
      </c>
      <c r="BV50" s="15">
        <v>0</v>
      </c>
      <c r="BW50" s="15">
        <v>0</v>
      </c>
      <c r="BX50" s="15">
        <v>0</v>
      </c>
      <c r="BY50" s="15">
        <v>0</v>
      </c>
    </row>
    <row r="51" spans="1:77" s="23" customFormat="1" x14ac:dyDescent="0.35">
      <c r="A51" s="11"/>
      <c r="B51" s="14" t="s">
        <v>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16667</v>
      </c>
      <c r="AF51" s="15">
        <v>16761</v>
      </c>
      <c r="AG51" s="15">
        <v>17572</v>
      </c>
      <c r="AH51" s="15">
        <v>16176</v>
      </c>
      <c r="AI51" s="15">
        <v>19577</v>
      </c>
      <c r="AJ51" s="15">
        <v>20933</v>
      </c>
      <c r="AK51" s="15">
        <v>19445</v>
      </c>
      <c r="AL51" s="15">
        <v>17656</v>
      </c>
      <c r="AM51" s="15">
        <v>18422</v>
      </c>
      <c r="AN51" s="15">
        <v>18282</v>
      </c>
      <c r="AO51" s="15">
        <v>17996</v>
      </c>
      <c r="AP51" s="15">
        <v>17608</v>
      </c>
      <c r="AQ51" s="15">
        <v>18780</v>
      </c>
      <c r="AR51" s="15">
        <v>19382</v>
      </c>
      <c r="AS51" s="15">
        <v>19359</v>
      </c>
      <c r="AT51" s="15">
        <v>18259</v>
      </c>
      <c r="AU51" s="15">
        <v>20424.66</v>
      </c>
      <c r="AV51" s="15">
        <v>19933.14</v>
      </c>
      <c r="AW51" s="15">
        <v>20444.73</v>
      </c>
      <c r="AX51" s="15">
        <v>18608</v>
      </c>
      <c r="AY51" s="15">
        <v>20500</v>
      </c>
      <c r="AZ51" s="15">
        <v>21614.27</v>
      </c>
      <c r="BA51" s="15">
        <v>22650</v>
      </c>
      <c r="BB51" s="15">
        <v>19375.37</v>
      </c>
      <c r="BC51" s="15">
        <v>23867.75</v>
      </c>
      <c r="BD51" s="15">
        <v>23399.38</v>
      </c>
      <c r="BE51" s="15">
        <v>18166.77</v>
      </c>
      <c r="BF51" s="15">
        <v>17134.849999999999</v>
      </c>
      <c r="BG51" s="15">
        <v>22773.78</v>
      </c>
      <c r="BH51" s="15">
        <v>23350.87</v>
      </c>
      <c r="BI51" s="15">
        <v>21760.38</v>
      </c>
      <c r="BJ51" s="15">
        <v>21228.13</v>
      </c>
      <c r="BK51" s="15">
        <v>21460.46</v>
      </c>
      <c r="BL51" s="15">
        <v>22396.19</v>
      </c>
      <c r="BM51" s="15">
        <v>22325.67</v>
      </c>
      <c r="BN51" s="15">
        <v>19375.689999999999</v>
      </c>
      <c r="BO51" s="15">
        <v>0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0</v>
      </c>
      <c r="BV51" s="15">
        <v>0</v>
      </c>
      <c r="BW51" s="15">
        <v>0</v>
      </c>
      <c r="BX51" s="15">
        <v>0</v>
      </c>
      <c r="BY51" s="15">
        <v>0</v>
      </c>
    </row>
    <row r="52" spans="1:77" s="23" customFormat="1" x14ac:dyDescent="0.35">
      <c r="A52" s="11"/>
      <c r="B52" s="14" t="s">
        <v>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19877</v>
      </c>
      <c r="AF52" s="15">
        <v>22005</v>
      </c>
      <c r="AG52" s="15">
        <v>24243</v>
      </c>
      <c r="AH52" s="15">
        <v>25377</v>
      </c>
      <c r="AI52" s="15">
        <v>25246</v>
      </c>
      <c r="AJ52" s="15">
        <v>24230</v>
      </c>
      <c r="AK52" s="15">
        <v>24039</v>
      </c>
      <c r="AL52" s="15">
        <v>20084</v>
      </c>
      <c r="AM52" s="15">
        <v>21267</v>
      </c>
      <c r="AN52" s="15">
        <v>23500</v>
      </c>
      <c r="AO52" s="15">
        <v>22061</v>
      </c>
      <c r="AP52" s="15">
        <v>19133</v>
      </c>
      <c r="AQ52" s="15">
        <v>22704</v>
      </c>
      <c r="AR52" s="15">
        <v>23120</v>
      </c>
      <c r="AS52" s="15">
        <v>25783</v>
      </c>
      <c r="AT52" s="15">
        <v>22537</v>
      </c>
      <c r="AU52" s="15">
        <v>19525.650000000001</v>
      </c>
      <c r="AV52" s="15">
        <v>20863.84</v>
      </c>
      <c r="AW52" s="15">
        <v>22209.040000000001</v>
      </c>
      <c r="AX52" s="15">
        <v>20991.4</v>
      </c>
      <c r="AY52" s="15">
        <v>20700</v>
      </c>
      <c r="AZ52" s="15">
        <v>21931.7</v>
      </c>
      <c r="BA52" s="15">
        <v>24412</v>
      </c>
      <c r="BB52" s="15">
        <v>21764.42</v>
      </c>
      <c r="BC52" s="15">
        <v>26429.71</v>
      </c>
      <c r="BD52" s="15">
        <v>25829.21</v>
      </c>
      <c r="BE52" s="15">
        <v>19794.45</v>
      </c>
      <c r="BF52" s="15">
        <v>18197.52</v>
      </c>
      <c r="BG52" s="15">
        <v>16506.740000000002</v>
      </c>
      <c r="BH52" s="15">
        <v>17185.7</v>
      </c>
      <c r="BI52" s="15">
        <v>16074.01</v>
      </c>
      <c r="BJ52" s="15">
        <v>15935.15</v>
      </c>
      <c r="BK52" s="15">
        <v>16402.12</v>
      </c>
      <c r="BL52" s="15">
        <v>16363.24</v>
      </c>
      <c r="BM52" s="15">
        <v>15979.18</v>
      </c>
      <c r="BN52" s="15">
        <v>15136.17</v>
      </c>
      <c r="BO52" s="15">
        <v>0</v>
      </c>
      <c r="BP52" s="15">
        <v>0</v>
      </c>
      <c r="BQ52" s="15">
        <v>0</v>
      </c>
      <c r="BR52" s="15">
        <v>0</v>
      </c>
      <c r="BS52" s="15">
        <v>0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0</v>
      </c>
    </row>
    <row r="53" spans="1:77" s="23" customFormat="1" x14ac:dyDescent="0.35">
      <c r="A53" s="11"/>
      <c r="B53" s="14" t="s">
        <v>8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3864</v>
      </c>
      <c r="AJ53" s="15">
        <v>3695</v>
      </c>
      <c r="AK53" s="15">
        <v>3274</v>
      </c>
      <c r="AL53" s="15">
        <v>2887</v>
      </c>
      <c r="AM53" s="15">
        <v>5388</v>
      </c>
      <c r="AN53" s="15">
        <v>4509</v>
      </c>
      <c r="AO53" s="15">
        <v>4172</v>
      </c>
      <c r="AP53" s="15">
        <v>3626</v>
      </c>
      <c r="AQ53" s="15">
        <v>3200</v>
      </c>
      <c r="AR53" s="15">
        <v>3065</v>
      </c>
      <c r="AS53" s="15">
        <v>4357</v>
      </c>
      <c r="AT53" s="15">
        <v>3338</v>
      </c>
      <c r="AU53" s="15">
        <v>2862.98</v>
      </c>
      <c r="AV53" s="15">
        <v>6764.78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</row>
    <row r="54" spans="1:77" s="23" customFormat="1" x14ac:dyDescent="0.35">
      <c r="A54" s="11"/>
      <c r="B54" s="14" t="str">
        <f>IF(Control!$D$5=1,"Ecuador","Equador")</f>
        <v>Equador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5">
        <v>0</v>
      </c>
      <c r="BI54" s="15">
        <v>15927.13</v>
      </c>
      <c r="BJ54" s="15">
        <v>13000.15</v>
      </c>
      <c r="BK54" s="15">
        <v>11560</v>
      </c>
      <c r="BL54" s="15">
        <v>17258.8</v>
      </c>
      <c r="BM54" s="15">
        <v>14618.86</v>
      </c>
      <c r="BN54" s="15">
        <v>12434</v>
      </c>
      <c r="BO54" s="15">
        <v>0</v>
      </c>
      <c r="BP54" s="15">
        <v>0</v>
      </c>
      <c r="BQ54" s="15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  <c r="BY54" s="15">
        <v>0</v>
      </c>
    </row>
    <row r="55" spans="1:77" s="23" customFormat="1" x14ac:dyDescent="0.35">
      <c r="A55" s="11"/>
      <c r="B55" s="14" t="s">
        <v>14</v>
      </c>
      <c r="C55" s="15" t="s">
        <v>15</v>
      </c>
      <c r="D55" s="15" t="s">
        <v>15</v>
      </c>
      <c r="E55" s="15" t="s">
        <v>15</v>
      </c>
      <c r="F55" s="15" t="s">
        <v>15</v>
      </c>
      <c r="G55" s="15" t="s">
        <v>15</v>
      </c>
      <c r="H55" s="15" t="s">
        <v>15</v>
      </c>
      <c r="I55" s="15" t="s">
        <v>15</v>
      </c>
      <c r="J55" s="15" t="s">
        <v>15</v>
      </c>
      <c r="K55" s="15" t="s">
        <v>15</v>
      </c>
      <c r="L55" s="15" t="s">
        <v>15</v>
      </c>
      <c r="M55" s="15" t="s">
        <v>15</v>
      </c>
      <c r="N55" s="15" t="s">
        <v>15</v>
      </c>
      <c r="O55" s="15" t="s">
        <v>15</v>
      </c>
      <c r="P55" s="15" t="s">
        <v>15</v>
      </c>
      <c r="Q55" s="15" t="s">
        <v>15</v>
      </c>
      <c r="R55" s="15" t="s">
        <v>15</v>
      </c>
      <c r="S55" s="15" t="s">
        <v>15</v>
      </c>
      <c r="T55" s="15" t="s">
        <v>15</v>
      </c>
      <c r="U55" s="15" t="s">
        <v>15</v>
      </c>
      <c r="V55" s="15" t="s">
        <v>15</v>
      </c>
      <c r="W55" s="15" t="s">
        <v>15</v>
      </c>
      <c r="X55" s="15" t="s">
        <v>15</v>
      </c>
      <c r="Y55" s="15" t="s">
        <v>15</v>
      </c>
      <c r="Z55" s="15" t="s">
        <v>15</v>
      </c>
      <c r="AA55" s="15" t="s">
        <v>15</v>
      </c>
      <c r="AB55" s="15" t="s">
        <v>15</v>
      </c>
      <c r="AC55" s="15" t="s">
        <v>15</v>
      </c>
      <c r="AD55" s="15" t="s">
        <v>15</v>
      </c>
      <c r="AE55" s="15" t="s">
        <v>15</v>
      </c>
      <c r="AF55" s="15" t="s">
        <v>15</v>
      </c>
      <c r="AG55" s="15" t="s">
        <v>15</v>
      </c>
      <c r="AH55" s="15" t="s">
        <v>15</v>
      </c>
      <c r="AI55" s="15" t="s">
        <v>15</v>
      </c>
      <c r="AJ55" s="15" t="s">
        <v>15</v>
      </c>
      <c r="AK55" s="15" t="s">
        <v>15</v>
      </c>
      <c r="AL55" s="15" t="s">
        <v>15</v>
      </c>
      <c r="AM55" s="15" t="s">
        <v>15</v>
      </c>
      <c r="AN55" s="15" t="s">
        <v>15</v>
      </c>
      <c r="AO55" s="15" t="s">
        <v>15</v>
      </c>
      <c r="AP55" s="15" t="s">
        <v>15</v>
      </c>
      <c r="AQ55" s="15" t="s">
        <v>15</v>
      </c>
      <c r="AR55" s="15" t="s">
        <v>15</v>
      </c>
      <c r="AS55" s="15" t="s">
        <v>15</v>
      </c>
      <c r="AT55" s="15" t="s">
        <v>15</v>
      </c>
      <c r="AU55" s="15" t="s">
        <v>15</v>
      </c>
      <c r="AV55" s="15" t="s">
        <v>15</v>
      </c>
      <c r="AW55" s="15" t="s">
        <v>15</v>
      </c>
      <c r="AX55" s="15" t="s">
        <v>15</v>
      </c>
      <c r="AY55" s="15" t="s">
        <v>15</v>
      </c>
      <c r="AZ55" s="15" t="s">
        <v>15</v>
      </c>
      <c r="BA55" s="15" t="s">
        <v>15</v>
      </c>
      <c r="BB55" s="15" t="s">
        <v>15</v>
      </c>
      <c r="BC55" s="15" t="s">
        <v>15</v>
      </c>
      <c r="BD55" s="15" t="s">
        <v>15</v>
      </c>
      <c r="BE55" s="15" t="s">
        <v>15</v>
      </c>
      <c r="BF55" s="15" t="s">
        <v>15</v>
      </c>
      <c r="BG55" s="15" t="s">
        <v>15</v>
      </c>
      <c r="BH55" s="15" t="s">
        <v>15</v>
      </c>
      <c r="BI55" s="15" t="s">
        <v>15</v>
      </c>
      <c r="BJ55" s="15" t="s">
        <v>15</v>
      </c>
      <c r="BK55" s="15" t="s">
        <v>15</v>
      </c>
      <c r="BL55" s="15" t="s">
        <v>15</v>
      </c>
      <c r="BM55" s="15" t="s">
        <v>15</v>
      </c>
      <c r="BN55" s="15" t="s">
        <v>15</v>
      </c>
      <c r="BO55" s="15">
        <v>0</v>
      </c>
      <c r="BP55" s="15">
        <v>0</v>
      </c>
      <c r="BQ55" s="15">
        <v>0</v>
      </c>
      <c r="BR55" s="15">
        <v>0</v>
      </c>
      <c r="BS55" s="15">
        <v>0</v>
      </c>
      <c r="BT55" s="15">
        <v>0</v>
      </c>
      <c r="BU55" s="15">
        <v>0</v>
      </c>
      <c r="BV55" s="15">
        <v>0</v>
      </c>
      <c r="BW55" s="15">
        <v>0</v>
      </c>
      <c r="BX55" s="15">
        <v>0</v>
      </c>
      <c r="BY55" s="15">
        <v>0</v>
      </c>
    </row>
    <row r="56" spans="1:77" s="23" customFormat="1" x14ac:dyDescent="0.35">
      <c r="A56" s="11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26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</row>
    <row r="57" spans="1:77" s="20" customFormat="1" x14ac:dyDescent="0.35">
      <c r="A57" s="25"/>
      <c r="B57" s="46" t="str">
        <f>IF(Control!$D$5=1,"Gross Price (R$/kg)","Preço Bruto (R$/kg)")</f>
        <v>Preço Bruto (R$/kg)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</row>
    <row r="58" spans="1:77" s="23" customFormat="1" x14ac:dyDescent="0.35">
      <c r="A58" s="11"/>
      <c r="B58" s="12" t="str">
        <f>IF(Control!$D$5=1,"International","Internacional")</f>
        <v>Internacional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26">
        <v>1.82</v>
      </c>
      <c r="AF58" s="26">
        <v>1.73</v>
      </c>
      <c r="AG58" s="26">
        <v>1.99</v>
      </c>
      <c r="AH58" s="26">
        <v>2.04</v>
      </c>
      <c r="AI58" s="26">
        <v>2.48</v>
      </c>
      <c r="AJ58" s="26">
        <v>2.4300000000000002</v>
      </c>
      <c r="AK58" s="26">
        <v>2.92</v>
      </c>
      <c r="AL58" s="26">
        <v>3.18</v>
      </c>
      <c r="AM58" s="26">
        <v>2.46</v>
      </c>
      <c r="AN58" s="26">
        <v>2.2200000000000002</v>
      </c>
      <c r="AO58" s="26">
        <v>2.41</v>
      </c>
      <c r="AP58" s="26">
        <v>2.1</v>
      </c>
      <c r="AQ58" s="26">
        <v>2.2400000000000002</v>
      </c>
      <c r="AR58" s="26">
        <v>2.15</v>
      </c>
      <c r="AS58" s="26">
        <v>2.4</v>
      </c>
      <c r="AT58" s="26">
        <v>2.3199999999999998</v>
      </c>
      <c r="AU58" s="26">
        <v>2.85</v>
      </c>
      <c r="AV58" s="26">
        <v>2.9</v>
      </c>
      <c r="AW58" s="26">
        <v>2.85</v>
      </c>
      <c r="AX58" s="26">
        <v>2.5499999999999998</v>
      </c>
      <c r="AY58" s="26">
        <v>3.21</v>
      </c>
      <c r="AZ58" s="26">
        <v>2.88</v>
      </c>
      <c r="BA58" s="26">
        <v>2.97</v>
      </c>
      <c r="BB58" s="26">
        <v>2.5499999999999998</v>
      </c>
      <c r="BC58" s="26">
        <v>3.61</v>
      </c>
      <c r="BD58" s="26">
        <v>3.77</v>
      </c>
      <c r="BE58" s="26">
        <v>4.0999999999999996</v>
      </c>
      <c r="BF58" s="26">
        <v>4.26</v>
      </c>
      <c r="BG58" s="26">
        <v>4.84</v>
      </c>
      <c r="BH58" s="26">
        <v>4.08</v>
      </c>
      <c r="BI58" s="26">
        <v>4.71</v>
      </c>
      <c r="BJ58" s="26">
        <v>3.94</v>
      </c>
      <c r="BK58" s="26">
        <v>3.64</v>
      </c>
      <c r="BL58" s="26">
        <v>3.87</v>
      </c>
      <c r="BM58" s="26">
        <v>5.74</v>
      </c>
      <c r="BN58" s="26">
        <v>4.79</v>
      </c>
      <c r="BO58" s="26">
        <v>4.63</v>
      </c>
      <c r="BP58" s="26">
        <v>4.2249999999999996</v>
      </c>
      <c r="BQ58" s="26">
        <v>5.7</v>
      </c>
      <c r="BR58" s="26">
        <v>5.96</v>
      </c>
      <c r="BS58" s="26">
        <v>5.95</v>
      </c>
      <c r="BT58" s="26">
        <v>5.23</v>
      </c>
      <c r="BU58" s="26">
        <v>6.24</v>
      </c>
      <c r="BV58" s="26">
        <v>6.9</v>
      </c>
      <c r="BW58" s="26">
        <v>5.09</v>
      </c>
      <c r="BX58" s="26">
        <v>4.33</v>
      </c>
      <c r="BY58" s="26">
        <v>4.0679978023828909</v>
      </c>
    </row>
    <row r="59" spans="1:77" s="23" customFormat="1" x14ac:dyDescent="0.35">
      <c r="A59" s="11"/>
      <c r="B59" s="14" t="str">
        <f>IF(Control!$D$5=1,"Uruguay","Uruguai")</f>
        <v>Uruguai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26">
        <v>1.32</v>
      </c>
      <c r="AF59" s="26">
        <v>1.32</v>
      </c>
      <c r="AG59" s="26">
        <v>1.51</v>
      </c>
      <c r="AH59" s="26">
        <v>1.54</v>
      </c>
      <c r="AI59" s="26">
        <v>1.71</v>
      </c>
      <c r="AJ59" s="26">
        <v>1.77</v>
      </c>
      <c r="AK59" s="26">
        <v>2.16</v>
      </c>
      <c r="AL59" s="26">
        <v>2.0499999999999998</v>
      </c>
      <c r="AM59" s="26">
        <v>1.6</v>
      </c>
      <c r="AN59" s="26">
        <v>1.58</v>
      </c>
      <c r="AO59" s="26">
        <v>1.77</v>
      </c>
      <c r="AP59" s="26">
        <v>1.56</v>
      </c>
      <c r="AQ59" s="26">
        <v>1.45</v>
      </c>
      <c r="AR59" s="26">
        <v>1.57</v>
      </c>
      <c r="AS59" s="26">
        <v>1.71</v>
      </c>
      <c r="AT59" s="26">
        <v>1.68</v>
      </c>
      <c r="AU59" s="26">
        <v>1.83</v>
      </c>
      <c r="AV59" s="26">
        <v>2.0099999999999998</v>
      </c>
      <c r="AW59" s="26">
        <v>2.12</v>
      </c>
      <c r="AX59" s="26">
        <v>1.81</v>
      </c>
      <c r="AY59" s="26">
        <v>1.95</v>
      </c>
      <c r="AZ59" s="26">
        <v>1.89</v>
      </c>
      <c r="BA59" s="26">
        <v>2.12</v>
      </c>
      <c r="BB59" s="26">
        <v>1.85</v>
      </c>
      <c r="BC59" s="26">
        <v>2.36</v>
      </c>
      <c r="BD59" s="26">
        <v>2.58</v>
      </c>
      <c r="BE59" s="26">
        <v>3.05</v>
      </c>
      <c r="BF59" s="26">
        <v>2.99</v>
      </c>
      <c r="BG59" s="26">
        <v>3.24</v>
      </c>
      <c r="BH59" s="26">
        <v>3</v>
      </c>
      <c r="BI59" s="26">
        <v>3.71</v>
      </c>
      <c r="BJ59" s="26">
        <v>3.01</v>
      </c>
      <c r="BK59" s="26">
        <v>2.4700000000000002</v>
      </c>
      <c r="BL59" s="26">
        <v>3.21</v>
      </c>
      <c r="BM59" s="26">
        <v>5.22</v>
      </c>
      <c r="BN59" s="26">
        <v>3.77</v>
      </c>
      <c r="BO59" s="15">
        <v>0</v>
      </c>
      <c r="BP59" s="15">
        <v>0</v>
      </c>
      <c r="BQ59" s="15">
        <v>0</v>
      </c>
      <c r="BR59" s="15">
        <v>0</v>
      </c>
      <c r="BS59" s="15">
        <v>0</v>
      </c>
      <c r="BT59" s="15">
        <v>0</v>
      </c>
      <c r="BU59" s="15">
        <v>0</v>
      </c>
      <c r="BV59" s="15">
        <v>0</v>
      </c>
      <c r="BW59" s="15">
        <v>0</v>
      </c>
      <c r="BX59" s="15">
        <v>0</v>
      </c>
      <c r="BY59" s="15">
        <v>0</v>
      </c>
    </row>
    <row r="60" spans="1:77" s="23" customFormat="1" x14ac:dyDescent="0.35">
      <c r="A60" s="11"/>
      <c r="B60" s="14" t="s">
        <v>6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26">
        <v>3.85</v>
      </c>
      <c r="AF60" s="26">
        <v>3.79</v>
      </c>
      <c r="AG60" s="26">
        <v>3.95</v>
      </c>
      <c r="AH60" s="26">
        <v>4.03</v>
      </c>
      <c r="AI60" s="26">
        <v>4.5</v>
      </c>
      <c r="AJ60" s="26">
        <v>4.41</v>
      </c>
      <c r="AK60" s="26">
        <v>5.07</v>
      </c>
      <c r="AL60" s="26">
        <v>4.97</v>
      </c>
      <c r="AM60" s="26">
        <v>5.12</v>
      </c>
      <c r="AN60" s="26">
        <v>4.92</v>
      </c>
      <c r="AO60" s="26">
        <v>4.82</v>
      </c>
      <c r="AP60" s="26">
        <v>4.59</v>
      </c>
      <c r="AQ60" s="26">
        <v>4.87</v>
      </c>
      <c r="AR60" s="26">
        <v>4.84</v>
      </c>
      <c r="AS60" s="26">
        <v>5.07</v>
      </c>
      <c r="AT60" s="26">
        <v>5.21</v>
      </c>
      <c r="AU60" s="26">
        <v>5.8</v>
      </c>
      <c r="AV60" s="26">
        <v>5.92</v>
      </c>
      <c r="AW60" s="26">
        <v>5.62</v>
      </c>
      <c r="AX60" s="26">
        <v>5.32</v>
      </c>
      <c r="AY60" s="26">
        <v>5.76</v>
      </c>
      <c r="AZ60" s="26">
        <v>5.46</v>
      </c>
      <c r="BA60" s="26">
        <v>5.64</v>
      </c>
      <c r="BB60" s="26">
        <v>5.33</v>
      </c>
      <c r="BC60" s="26">
        <v>6.98</v>
      </c>
      <c r="BD60" s="26">
        <v>7.78</v>
      </c>
      <c r="BE60" s="26">
        <v>8.75</v>
      </c>
      <c r="BF60" s="26">
        <v>8.7200000000000006</v>
      </c>
      <c r="BG60" s="26">
        <v>8.85</v>
      </c>
      <c r="BH60" s="26">
        <v>7.77</v>
      </c>
      <c r="BI60" s="26">
        <v>8.14</v>
      </c>
      <c r="BJ60" s="26">
        <v>7.57</v>
      </c>
      <c r="BK60" s="26">
        <v>7.63</v>
      </c>
      <c r="BL60" s="26">
        <v>7.05</v>
      </c>
      <c r="BM60" s="26">
        <v>7.49</v>
      </c>
      <c r="BN60" s="26">
        <v>8.43</v>
      </c>
      <c r="BO60" s="15">
        <v>0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0</v>
      </c>
      <c r="BX60" s="15">
        <v>0</v>
      </c>
      <c r="BY60" s="15">
        <v>0</v>
      </c>
    </row>
    <row r="61" spans="1:77" s="23" customFormat="1" x14ac:dyDescent="0.35">
      <c r="A61" s="11"/>
      <c r="B61" s="14" t="s">
        <v>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26">
        <v>2.92</v>
      </c>
      <c r="AF61" s="26">
        <v>2.86</v>
      </c>
      <c r="AG61" s="26">
        <v>3.08</v>
      </c>
      <c r="AH61" s="26">
        <v>3.03</v>
      </c>
      <c r="AI61" s="26">
        <v>3.75</v>
      </c>
      <c r="AJ61" s="26">
        <v>3.91</v>
      </c>
      <c r="AK61" s="26">
        <v>4.72</v>
      </c>
      <c r="AL61" s="26">
        <v>6.17</v>
      </c>
      <c r="AM61" s="26">
        <v>4.58</v>
      </c>
      <c r="AN61" s="26">
        <v>4.04</v>
      </c>
      <c r="AO61" s="26">
        <v>4.08</v>
      </c>
      <c r="AP61" s="26">
        <v>4.1900000000000004</v>
      </c>
      <c r="AQ61" s="26">
        <v>4.03</v>
      </c>
      <c r="AR61" s="26">
        <v>3.89</v>
      </c>
      <c r="AS61" s="26">
        <v>3.93</v>
      </c>
      <c r="AT61" s="26">
        <v>4.03</v>
      </c>
      <c r="AU61" s="26">
        <v>4.3099999999999996</v>
      </c>
      <c r="AV61" s="26">
        <v>4.67</v>
      </c>
      <c r="AW61" s="26">
        <v>4.8099999999999996</v>
      </c>
      <c r="AX61" s="26">
        <v>4.7</v>
      </c>
      <c r="AY61" s="26">
        <v>4.9000000000000004</v>
      </c>
      <c r="AZ61" s="26">
        <v>4.9000000000000004</v>
      </c>
      <c r="BA61" s="26">
        <v>4.99</v>
      </c>
      <c r="BB61" s="26">
        <v>5.21</v>
      </c>
      <c r="BC61" s="26">
        <v>6.54</v>
      </c>
      <c r="BD61" s="26">
        <v>6.6</v>
      </c>
      <c r="BE61" s="26">
        <v>7.21</v>
      </c>
      <c r="BF61" s="26">
        <v>6.88</v>
      </c>
      <c r="BG61" s="26">
        <v>7.13</v>
      </c>
      <c r="BH61" s="26">
        <v>6.73</v>
      </c>
      <c r="BI61" s="26">
        <v>7.44</v>
      </c>
      <c r="BJ61" s="26">
        <v>7.43</v>
      </c>
      <c r="BK61" s="26">
        <v>6.97</v>
      </c>
      <c r="BL61" s="26">
        <v>7.04</v>
      </c>
      <c r="BM61" s="26">
        <v>7.4</v>
      </c>
      <c r="BN61" s="26">
        <v>7.67</v>
      </c>
      <c r="BO61" s="15">
        <v>0</v>
      </c>
      <c r="BP61" s="15">
        <v>0</v>
      </c>
      <c r="BQ61" s="15">
        <v>0</v>
      </c>
      <c r="BR61" s="15">
        <v>0</v>
      </c>
      <c r="BS61" s="15">
        <v>0</v>
      </c>
      <c r="BT61" s="15">
        <v>0</v>
      </c>
      <c r="BU61" s="15">
        <v>0</v>
      </c>
      <c r="BV61" s="15">
        <v>0</v>
      </c>
      <c r="BW61" s="15">
        <v>0</v>
      </c>
      <c r="BX61" s="15">
        <v>0</v>
      </c>
      <c r="BY61" s="15">
        <v>0</v>
      </c>
    </row>
    <row r="62" spans="1:77" s="23" customFormat="1" x14ac:dyDescent="0.35">
      <c r="A62" s="11"/>
      <c r="B62" s="14" t="s">
        <v>8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2.42</v>
      </c>
      <c r="AJ62" s="26">
        <v>2.15</v>
      </c>
      <c r="AK62" s="26">
        <v>3.18</v>
      </c>
      <c r="AL62" s="26">
        <v>2.25</v>
      </c>
      <c r="AM62" s="26">
        <v>2.2799999999999998</v>
      </c>
      <c r="AN62" s="26">
        <v>2.12</v>
      </c>
      <c r="AO62" s="26">
        <v>2.34</v>
      </c>
      <c r="AP62" s="26">
        <v>2.1800000000000002</v>
      </c>
      <c r="AQ62" s="26">
        <v>2.23</v>
      </c>
      <c r="AR62" s="26">
        <v>2.06</v>
      </c>
      <c r="AS62" s="26">
        <v>2.25</v>
      </c>
      <c r="AT62" s="26">
        <v>2.1800000000000002</v>
      </c>
      <c r="AU62" s="26">
        <v>2.44</v>
      </c>
      <c r="AV62" s="26">
        <v>2.21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15">
        <v>0</v>
      </c>
      <c r="BP62" s="15">
        <v>0</v>
      </c>
      <c r="BQ62" s="15">
        <v>0</v>
      </c>
      <c r="BR62" s="15">
        <v>0</v>
      </c>
      <c r="BS62" s="15">
        <v>0</v>
      </c>
      <c r="BT62" s="15">
        <v>0</v>
      </c>
      <c r="BU62" s="15">
        <v>0</v>
      </c>
      <c r="BV62" s="15">
        <v>0</v>
      </c>
      <c r="BW62" s="15">
        <v>0</v>
      </c>
      <c r="BX62" s="15">
        <v>0</v>
      </c>
      <c r="BY62" s="15">
        <v>0</v>
      </c>
    </row>
    <row r="63" spans="1:77" s="23" customFormat="1" x14ac:dyDescent="0.35">
      <c r="A63" s="11"/>
      <c r="B63" s="14" t="str">
        <f>IF(Control!$D$5=1,"Ecuador","Equador")</f>
        <v>Equador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3.46</v>
      </c>
      <c r="BJ63" s="26">
        <v>3.96</v>
      </c>
      <c r="BK63" s="26">
        <v>3.83</v>
      </c>
      <c r="BL63" s="26">
        <v>3.87</v>
      </c>
      <c r="BM63" s="26">
        <v>4.2699999999999996</v>
      </c>
      <c r="BN63" s="26">
        <v>4.26</v>
      </c>
      <c r="BO63" s="15">
        <v>0</v>
      </c>
      <c r="BP63" s="15">
        <v>0</v>
      </c>
      <c r="BQ63" s="15">
        <v>0</v>
      </c>
      <c r="BR63" s="15">
        <v>0</v>
      </c>
      <c r="BS63" s="15">
        <v>0</v>
      </c>
      <c r="BT63" s="15">
        <v>0</v>
      </c>
      <c r="BU63" s="15">
        <v>0</v>
      </c>
      <c r="BV63" s="15">
        <v>0</v>
      </c>
      <c r="BW63" s="15">
        <v>0</v>
      </c>
      <c r="BX63" s="15">
        <v>0</v>
      </c>
      <c r="BY63" s="15">
        <v>0</v>
      </c>
    </row>
    <row r="64" spans="1:77" s="23" customFormat="1" x14ac:dyDescent="0.35">
      <c r="A64" s="11"/>
      <c r="B64" s="14" t="s">
        <v>14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</row>
    <row r="66" spans="1:77" s="20" customFormat="1" x14ac:dyDescent="0.35">
      <c r="A66" s="25"/>
      <c r="B66" s="46" t="str">
        <f>IF(Control!$D$5=1,"Net Price (R$/kg)","Preço Líquido (R$/kg)")</f>
        <v>Preço Líquido (R$/kg)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</row>
    <row r="67" spans="1:77" s="23" customFormat="1" x14ac:dyDescent="0.35">
      <c r="A67" s="11"/>
      <c r="B67" s="12" t="str">
        <f>IF(Control!$D$5=1,"International","Internacional")</f>
        <v>Internacional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26">
        <v>1.72</v>
      </c>
      <c r="AF67" s="26">
        <v>1.63</v>
      </c>
      <c r="AG67" s="26">
        <v>1.87</v>
      </c>
      <c r="AH67" s="26">
        <v>1.92</v>
      </c>
      <c r="AI67" s="26">
        <v>2.3199999999999998</v>
      </c>
      <c r="AJ67" s="26">
        <v>2.2799999999999998</v>
      </c>
      <c r="AK67" s="26">
        <v>2.75</v>
      </c>
      <c r="AL67" s="26">
        <v>2.74</v>
      </c>
      <c r="AM67" s="26">
        <v>2.25</v>
      </c>
      <c r="AN67" s="26">
        <v>2.06</v>
      </c>
      <c r="AO67" s="26">
        <v>2.2599999999999998</v>
      </c>
      <c r="AP67" s="26">
        <v>1.99</v>
      </c>
      <c r="AQ67" s="26">
        <v>2.08</v>
      </c>
      <c r="AR67" s="26">
        <v>2</v>
      </c>
      <c r="AS67" s="26">
        <v>2.23</v>
      </c>
      <c r="AT67" s="26">
        <v>1.89</v>
      </c>
      <c r="AU67" s="26">
        <v>2.6</v>
      </c>
      <c r="AV67" s="26">
        <v>2.67</v>
      </c>
      <c r="AW67" s="26">
        <v>2.67</v>
      </c>
      <c r="AX67" s="26">
        <v>2.37</v>
      </c>
      <c r="AY67" s="26">
        <v>2.91</v>
      </c>
      <c r="AZ67" s="26">
        <v>2.62</v>
      </c>
      <c r="BA67" s="26">
        <v>2.75</v>
      </c>
      <c r="BB67" s="26">
        <v>2.38</v>
      </c>
      <c r="BC67" s="26">
        <v>3.35</v>
      </c>
      <c r="BD67" s="26">
        <v>3.5</v>
      </c>
      <c r="BE67" s="26">
        <v>3.85</v>
      </c>
      <c r="BF67" s="26">
        <v>3.96</v>
      </c>
      <c r="BG67" s="26">
        <v>4.4400000000000004</v>
      </c>
      <c r="BH67" s="26">
        <v>3.78</v>
      </c>
      <c r="BI67" s="26">
        <v>4.41</v>
      </c>
      <c r="BJ67" s="26">
        <v>3.7</v>
      </c>
      <c r="BK67" s="26">
        <v>3.36</v>
      </c>
      <c r="BL67" s="26">
        <v>3.67</v>
      </c>
      <c r="BM67" s="26">
        <v>5.42</v>
      </c>
      <c r="BN67" s="26">
        <v>4.47</v>
      </c>
      <c r="BO67" s="26">
        <v>4.24</v>
      </c>
      <c r="BP67" s="26">
        <v>3.95</v>
      </c>
      <c r="BQ67" s="26">
        <v>5.4</v>
      </c>
      <c r="BR67" s="26">
        <v>5.56</v>
      </c>
      <c r="BS67" s="26">
        <v>5.54</v>
      </c>
      <c r="BT67" s="26">
        <v>4.8099999999999996</v>
      </c>
      <c r="BU67" s="26">
        <v>5.82</v>
      </c>
      <c r="BV67" s="26">
        <v>6.5</v>
      </c>
      <c r="BW67" s="26">
        <v>4.49</v>
      </c>
      <c r="BX67" s="26">
        <v>3.8598383432292502</v>
      </c>
      <c r="BY67" s="26">
        <v>3.5120407762240284</v>
      </c>
    </row>
    <row r="68" spans="1:77" s="23" customFormat="1" x14ac:dyDescent="0.35">
      <c r="A68" s="11"/>
      <c r="B68" s="14" t="str">
        <f>IF(Control!$D$5=1,"Uruguay","Uruguai")</f>
        <v>Uruguai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26">
        <v>1.3</v>
      </c>
      <c r="AF68" s="26">
        <v>1.29</v>
      </c>
      <c r="AG68" s="26">
        <v>1.48</v>
      </c>
      <c r="AH68" s="26">
        <v>1.51</v>
      </c>
      <c r="AI68" s="26">
        <v>1.68</v>
      </c>
      <c r="AJ68" s="26">
        <v>1.73</v>
      </c>
      <c r="AK68" s="26">
        <v>2.12</v>
      </c>
      <c r="AL68" s="26">
        <v>2</v>
      </c>
      <c r="AM68" s="26">
        <v>1.57</v>
      </c>
      <c r="AN68" s="26">
        <v>1.55</v>
      </c>
      <c r="AO68" s="26">
        <v>1.74</v>
      </c>
      <c r="AP68" s="26">
        <v>1.54</v>
      </c>
      <c r="AQ68" s="26">
        <v>1.43</v>
      </c>
      <c r="AR68" s="26">
        <v>1.53</v>
      </c>
      <c r="AS68" s="26">
        <v>1.68</v>
      </c>
      <c r="AT68" s="26">
        <v>1.66</v>
      </c>
      <c r="AU68" s="26">
        <v>1.78</v>
      </c>
      <c r="AV68" s="26">
        <v>1.94</v>
      </c>
      <c r="AW68" s="26">
        <v>2.09</v>
      </c>
      <c r="AX68" s="26">
        <v>1.78</v>
      </c>
      <c r="AY68" s="26">
        <v>1.91</v>
      </c>
      <c r="AZ68" s="26">
        <v>1.85</v>
      </c>
      <c r="BA68" s="26">
        <v>2.09</v>
      </c>
      <c r="BB68" s="26">
        <v>1.83</v>
      </c>
      <c r="BC68" s="26">
        <v>2.33</v>
      </c>
      <c r="BD68" s="26">
        <v>2.5299999999999998</v>
      </c>
      <c r="BE68" s="26">
        <v>3.01</v>
      </c>
      <c r="BF68" s="26">
        <v>2.95</v>
      </c>
      <c r="BG68" s="26">
        <v>3.17</v>
      </c>
      <c r="BH68" s="26">
        <v>2.93</v>
      </c>
      <c r="BI68" s="26">
        <v>3.64</v>
      </c>
      <c r="BJ68" s="26">
        <v>2.97</v>
      </c>
      <c r="BK68" s="26">
        <v>2.44</v>
      </c>
      <c r="BL68" s="26">
        <v>3.16</v>
      </c>
      <c r="BM68" s="26">
        <v>5.17</v>
      </c>
      <c r="BN68" s="26">
        <v>3.72</v>
      </c>
      <c r="BO68" s="15">
        <v>0</v>
      </c>
      <c r="BP68" s="15">
        <v>0</v>
      </c>
      <c r="BQ68" s="15">
        <v>0</v>
      </c>
      <c r="BR68" s="15">
        <v>0</v>
      </c>
      <c r="BS68" s="15">
        <v>0</v>
      </c>
      <c r="BT68" s="15">
        <v>0</v>
      </c>
      <c r="BU68" s="15">
        <v>0</v>
      </c>
      <c r="BV68" s="15">
        <v>0</v>
      </c>
      <c r="BW68" s="15">
        <v>0</v>
      </c>
      <c r="BX68" s="15">
        <v>0</v>
      </c>
      <c r="BY68" s="15">
        <v>0</v>
      </c>
    </row>
    <row r="69" spans="1:77" s="23" customFormat="1" x14ac:dyDescent="0.35">
      <c r="A69" s="11"/>
      <c r="B69" s="14" t="s">
        <v>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26">
        <v>3.36</v>
      </c>
      <c r="AF69" s="26">
        <v>3.29</v>
      </c>
      <c r="AG69" s="26">
        <v>3.51</v>
      </c>
      <c r="AH69" s="26">
        <v>3.55</v>
      </c>
      <c r="AI69" s="26">
        <v>3.94</v>
      </c>
      <c r="AJ69" s="26">
        <v>3.85</v>
      </c>
      <c r="AK69" s="26">
        <v>4.43</v>
      </c>
      <c r="AL69" s="26">
        <v>4.4000000000000004</v>
      </c>
      <c r="AM69" s="26">
        <v>4.45</v>
      </c>
      <c r="AN69" s="26">
        <v>4.25</v>
      </c>
      <c r="AO69" s="26">
        <v>4.1900000000000004</v>
      </c>
      <c r="AP69" s="26">
        <v>4.03</v>
      </c>
      <c r="AQ69" s="26">
        <v>4.1500000000000004</v>
      </c>
      <c r="AR69" s="26">
        <v>4.16</v>
      </c>
      <c r="AS69" s="26">
        <v>4.3499999999999996</v>
      </c>
      <c r="AT69" s="26">
        <v>4.42</v>
      </c>
      <c r="AU69" s="26">
        <v>4.93</v>
      </c>
      <c r="AV69" s="26">
        <v>5.03</v>
      </c>
      <c r="AW69" s="26">
        <v>4.8099999999999996</v>
      </c>
      <c r="AX69" s="26">
        <v>4.53</v>
      </c>
      <c r="AY69" s="26">
        <v>4.9000000000000004</v>
      </c>
      <c r="AZ69" s="26">
        <v>4.66</v>
      </c>
      <c r="BA69" s="26">
        <v>4.6900000000000004</v>
      </c>
      <c r="BB69" s="26">
        <v>4.49</v>
      </c>
      <c r="BC69" s="26">
        <v>6.02</v>
      </c>
      <c r="BD69" s="26">
        <v>6.73</v>
      </c>
      <c r="BE69" s="26">
        <v>7.68</v>
      </c>
      <c r="BF69" s="26">
        <v>7.5</v>
      </c>
      <c r="BG69" s="26">
        <v>7.61</v>
      </c>
      <c r="BH69" s="26">
        <v>6.7</v>
      </c>
      <c r="BI69" s="26">
        <v>7.2</v>
      </c>
      <c r="BJ69" s="26">
        <v>6.51</v>
      </c>
      <c r="BK69" s="26">
        <v>6.5</v>
      </c>
      <c r="BL69" s="26">
        <v>6.06</v>
      </c>
      <c r="BM69" s="26">
        <v>6.48</v>
      </c>
      <c r="BN69" s="26">
        <v>7.26</v>
      </c>
      <c r="BO69" s="15">
        <v>0</v>
      </c>
      <c r="BP69" s="15">
        <v>0</v>
      </c>
      <c r="BQ69" s="15">
        <v>0</v>
      </c>
      <c r="BR69" s="15">
        <v>0</v>
      </c>
      <c r="BS69" s="15">
        <v>0</v>
      </c>
      <c r="BT69" s="15">
        <v>0</v>
      </c>
      <c r="BU69" s="15">
        <v>0</v>
      </c>
      <c r="BV69" s="15">
        <v>0</v>
      </c>
      <c r="BW69" s="15">
        <v>0</v>
      </c>
      <c r="BX69" s="15">
        <v>0</v>
      </c>
      <c r="BY69" s="15">
        <v>0</v>
      </c>
    </row>
    <row r="70" spans="1:77" s="23" customFormat="1" x14ac:dyDescent="0.35">
      <c r="A70" s="11"/>
      <c r="B70" s="14" t="s">
        <v>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26">
        <v>2.67</v>
      </c>
      <c r="AF70" s="26">
        <v>2.6</v>
      </c>
      <c r="AG70" s="26">
        <v>2.75</v>
      </c>
      <c r="AH70" s="26">
        <v>2.75</v>
      </c>
      <c r="AI70" s="26">
        <v>3.38</v>
      </c>
      <c r="AJ70" s="26">
        <v>3.57</v>
      </c>
      <c r="AK70" s="26">
        <v>4.26</v>
      </c>
      <c r="AL70" s="26">
        <v>4.25</v>
      </c>
      <c r="AM70" s="26">
        <v>3.8</v>
      </c>
      <c r="AN70" s="26">
        <v>3.46</v>
      </c>
      <c r="AO70" s="26">
        <v>3.59</v>
      </c>
      <c r="AP70" s="26">
        <v>3.75</v>
      </c>
      <c r="AQ70" s="26">
        <v>3.61</v>
      </c>
      <c r="AR70" s="26">
        <v>3.43</v>
      </c>
      <c r="AS70" s="26">
        <v>3.48</v>
      </c>
      <c r="AT70" s="26">
        <v>1.24</v>
      </c>
      <c r="AU70" s="26">
        <v>3.81</v>
      </c>
      <c r="AV70" s="26">
        <v>4.2</v>
      </c>
      <c r="AW70" s="26">
        <v>4.29</v>
      </c>
      <c r="AX70" s="26">
        <v>4.16</v>
      </c>
      <c r="AY70" s="26">
        <v>4.29</v>
      </c>
      <c r="AZ70" s="26">
        <v>4.2</v>
      </c>
      <c r="BA70" s="26">
        <v>4.4400000000000004</v>
      </c>
      <c r="BB70" s="26">
        <v>4.5599999999999996</v>
      </c>
      <c r="BC70" s="26">
        <v>5.8</v>
      </c>
      <c r="BD70" s="26">
        <v>5.83</v>
      </c>
      <c r="BE70" s="26">
        <v>6.32</v>
      </c>
      <c r="BF70" s="26">
        <v>6.08</v>
      </c>
      <c r="BG70" s="26">
        <v>6.25</v>
      </c>
      <c r="BH70" s="26">
        <v>5.84</v>
      </c>
      <c r="BI70" s="26">
        <v>6.44</v>
      </c>
      <c r="BJ70" s="26">
        <v>6.43</v>
      </c>
      <c r="BK70" s="26">
        <v>5.94</v>
      </c>
      <c r="BL70" s="26">
        <v>6.12</v>
      </c>
      <c r="BM70" s="26">
        <v>6.36</v>
      </c>
      <c r="BN70" s="26">
        <v>6.42</v>
      </c>
      <c r="BO70" s="15">
        <v>0</v>
      </c>
      <c r="BP70" s="15">
        <v>0</v>
      </c>
      <c r="BQ70" s="15">
        <v>0</v>
      </c>
      <c r="BR70" s="15">
        <v>0</v>
      </c>
      <c r="BS70" s="15">
        <v>0</v>
      </c>
      <c r="BT70" s="15">
        <v>0</v>
      </c>
      <c r="BU70" s="15">
        <v>0</v>
      </c>
      <c r="BV70" s="15">
        <v>0</v>
      </c>
      <c r="BW70" s="15">
        <v>0</v>
      </c>
      <c r="BX70" s="15">
        <v>0</v>
      </c>
      <c r="BY70" s="15">
        <v>0</v>
      </c>
    </row>
    <row r="71" spans="1:77" s="23" customFormat="1" x14ac:dyDescent="0.35">
      <c r="A71" s="11"/>
      <c r="B71" s="14" t="s">
        <v>8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26">
        <v>0</v>
      </c>
      <c r="AF71" s="26">
        <v>0</v>
      </c>
      <c r="AG71" s="26">
        <v>0</v>
      </c>
      <c r="AH71" s="26">
        <v>0</v>
      </c>
      <c r="AI71" s="26">
        <v>2.42</v>
      </c>
      <c r="AJ71" s="26">
        <v>2.15</v>
      </c>
      <c r="AK71" s="26">
        <v>3.18</v>
      </c>
      <c r="AL71" s="26">
        <v>2.25</v>
      </c>
      <c r="AM71" s="26">
        <v>2.2799999999999998</v>
      </c>
      <c r="AN71" s="26">
        <v>2.12</v>
      </c>
      <c r="AO71" s="26">
        <v>2.34</v>
      </c>
      <c r="AP71" s="26">
        <v>2.1800000000000002</v>
      </c>
      <c r="AQ71" s="26">
        <v>2.23</v>
      </c>
      <c r="AR71" s="26">
        <v>2.06</v>
      </c>
      <c r="AS71" s="26">
        <v>2.25</v>
      </c>
      <c r="AT71" s="26">
        <v>2.1800000000000002</v>
      </c>
      <c r="AU71" s="26">
        <v>2.44</v>
      </c>
      <c r="AV71" s="26">
        <v>2.21</v>
      </c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6">
        <v>0</v>
      </c>
      <c r="BC71" s="26">
        <v>0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15">
        <v>0</v>
      </c>
      <c r="BP71" s="15">
        <v>0</v>
      </c>
      <c r="BQ71" s="15">
        <v>0</v>
      </c>
      <c r="BR71" s="15">
        <v>0</v>
      </c>
      <c r="BS71" s="15">
        <v>0</v>
      </c>
      <c r="BT71" s="15">
        <v>0</v>
      </c>
      <c r="BU71" s="15">
        <v>0</v>
      </c>
      <c r="BV71" s="15">
        <v>0</v>
      </c>
      <c r="BW71" s="15">
        <v>0</v>
      </c>
      <c r="BX71" s="15">
        <v>0</v>
      </c>
      <c r="BY71" s="15">
        <v>0</v>
      </c>
    </row>
    <row r="72" spans="1:77" x14ac:dyDescent="0.35">
      <c r="B72" s="14" t="str">
        <f>IF(Control!$D$5=1,"Ecuador","Equador")</f>
        <v>Equador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3.3</v>
      </c>
      <c r="BJ72" s="26">
        <v>3.76</v>
      </c>
      <c r="BK72" s="26">
        <v>3.69</v>
      </c>
      <c r="BL72" s="26">
        <v>3.77</v>
      </c>
      <c r="BM72" s="26">
        <v>4.2</v>
      </c>
      <c r="BN72" s="26">
        <v>4.16</v>
      </c>
      <c r="BO72" s="15">
        <v>0</v>
      </c>
      <c r="BP72" s="15">
        <v>0</v>
      </c>
      <c r="BQ72" s="15">
        <v>0</v>
      </c>
      <c r="BR72" s="15">
        <v>0</v>
      </c>
      <c r="BS72" s="15">
        <v>0</v>
      </c>
      <c r="BT72" s="15">
        <v>0</v>
      </c>
      <c r="BU72" s="15">
        <v>0</v>
      </c>
      <c r="BV72" s="15">
        <v>0</v>
      </c>
      <c r="BW72" s="15">
        <v>0</v>
      </c>
      <c r="BX72" s="15">
        <v>0</v>
      </c>
      <c r="BY72" s="15">
        <v>0</v>
      </c>
    </row>
    <row r="73" spans="1:77" x14ac:dyDescent="0.35">
      <c r="B73" s="14" t="s">
        <v>14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15">
        <v>0</v>
      </c>
      <c r="BG73" s="15">
        <v>0</v>
      </c>
      <c r="BH73" s="15">
        <v>0</v>
      </c>
      <c r="BI73" s="15">
        <v>0</v>
      </c>
      <c r="BJ73" s="15">
        <v>0</v>
      </c>
      <c r="BK73" s="15">
        <v>0</v>
      </c>
      <c r="BL73" s="15">
        <v>0</v>
      </c>
      <c r="BM73" s="15">
        <v>0</v>
      </c>
      <c r="BN73" s="15">
        <v>0</v>
      </c>
      <c r="BO73" s="15">
        <v>0</v>
      </c>
      <c r="BP73" s="15">
        <v>0</v>
      </c>
      <c r="BQ73" s="15">
        <v>0</v>
      </c>
      <c r="BR73" s="15">
        <v>0</v>
      </c>
      <c r="BS73" s="15">
        <v>0</v>
      </c>
      <c r="BT73" s="15">
        <v>0</v>
      </c>
      <c r="BU73" s="15">
        <v>0</v>
      </c>
      <c r="BV73" s="15">
        <v>0</v>
      </c>
      <c r="BW73" s="15">
        <v>0</v>
      </c>
      <c r="BX73" s="15">
        <v>0</v>
      </c>
      <c r="BY73" s="15">
        <v>0</v>
      </c>
    </row>
    <row r="74" spans="1:77" x14ac:dyDescent="0.35"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</row>
    <row r="75" spans="1:77" x14ac:dyDescent="0.35"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</row>
    <row r="76" spans="1:77" x14ac:dyDescent="0.35"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</row>
    <row r="78" spans="1:77" x14ac:dyDescent="0.35"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</row>
    <row r="79" spans="1:77" x14ac:dyDescent="0.35"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</row>
    <row r="80" spans="1:77" x14ac:dyDescent="0.35"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</row>
    <row r="81" spans="31:77" x14ac:dyDescent="0.35"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</row>
    <row r="83" spans="31:77" x14ac:dyDescent="0.35"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</row>
    <row r="84" spans="31:77" x14ac:dyDescent="0.35"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</row>
    <row r="85" spans="31:77" x14ac:dyDescent="0.35"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</row>
    <row r="86" spans="31:77" x14ac:dyDescent="0.35"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</row>
    <row r="87" spans="31:77" x14ac:dyDescent="0.35">
      <c r="AE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</row>
    <row r="88" spans="31:77" x14ac:dyDescent="0.35"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</row>
    <row r="89" spans="31:77" x14ac:dyDescent="0.35"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</row>
    <row r="90" spans="31:77" x14ac:dyDescent="0.35"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</row>
    <row r="91" spans="31:77" x14ac:dyDescent="0.35"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</row>
    <row r="92" spans="31:77" x14ac:dyDescent="0.35"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</row>
    <row r="93" spans="31:77" x14ac:dyDescent="0.35"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</row>
    <row r="94" spans="31:77" x14ac:dyDescent="0.35"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</row>
  </sheetData>
  <printOptions horizontalCentered="1" verticalCentered="1"/>
  <pageMargins left="0.24" right="0.24" top="0.75" bottom="0.75" header="0.31" footer="0.31"/>
  <pageSetup paperSize="9" scale="1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F70"/>
  <sheetViews>
    <sheetView showGridLines="0" tabSelected="1" zoomScale="70" zoomScaleNormal="70" workbookViewId="0">
      <pane xSplit="2" ySplit="7" topLeftCell="I12" activePane="bottomRight" state="frozen"/>
      <selection pane="topRight" activeCell="G1" sqref="G1"/>
      <selection pane="bottomLeft" activeCell="A8" sqref="A8"/>
      <selection pane="bottomRight" activeCell="T2" sqref="T2"/>
    </sheetView>
  </sheetViews>
  <sheetFormatPr defaultColWidth="11.7265625" defaultRowHeight="14.5" x14ac:dyDescent="0.35"/>
  <cols>
    <col min="1" max="1" width="3.26953125" style="8" customWidth="1"/>
    <col min="2" max="2" width="42.453125" style="10" bestFit="1" customWidth="1"/>
    <col min="3" max="7" width="14.1796875" style="13" customWidth="1"/>
    <col min="8" max="20" width="15.54296875" style="13" customWidth="1"/>
    <col min="21" max="16384" width="11.7265625" style="13"/>
  </cols>
  <sheetData>
    <row r="1" spans="1:24" s="2" customFormat="1" ht="13" x14ac:dyDescent="0.3">
      <c r="A1" s="1"/>
      <c r="B1" s="1"/>
      <c r="H1" s="27"/>
      <c r="I1" s="27"/>
      <c r="J1" s="28"/>
      <c r="K1" s="27"/>
      <c r="L1" s="28"/>
      <c r="M1" s="28"/>
      <c r="N1" s="28"/>
      <c r="O1" s="28"/>
      <c r="P1" s="28"/>
      <c r="Q1" s="28"/>
      <c r="R1" s="28"/>
      <c r="S1" s="28"/>
      <c r="T1" s="28"/>
    </row>
    <row r="2" spans="1:24" s="2" customFormat="1" ht="18.5" x14ac:dyDescent="0.45">
      <c r="A2" s="1"/>
      <c r="B2" s="3" t="str">
        <f>IF(Control!$D$5=1,"Historical Operational Data","Resultados Operacionais Históricos")</f>
        <v>Resultados Operacionais Históricos</v>
      </c>
      <c r="C2" s="17"/>
      <c r="D2" s="17"/>
      <c r="E2" s="17"/>
      <c r="F2" s="1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s="2" customFormat="1" x14ac:dyDescent="0.35">
      <c r="A3" s="1"/>
      <c r="B3" s="5" t="str">
        <f>IF(Control!$D$5=1,"Consolidated Financials","Consolidado")</f>
        <v>Consolidado</v>
      </c>
      <c r="C3" s="18"/>
      <c r="D3" s="18"/>
      <c r="E3" s="18"/>
      <c r="F3" s="18"/>
    </row>
    <row r="4" spans="1:24" s="2" customFormat="1" ht="13" x14ac:dyDescent="0.3">
      <c r="A4" s="1"/>
      <c r="B4" s="1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4" s="20" customFormat="1" x14ac:dyDescent="0.35">
      <c r="A5" s="25"/>
      <c r="B5" s="7" t="str">
        <f>IF(Control!$D$5=1,"OPERATIONAL DATA","DADOS OPERACIONAIS")</f>
        <v>DADOS OPERACIONAIS</v>
      </c>
      <c r="C5" s="19"/>
      <c r="D5" s="19"/>
      <c r="E5" s="19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4" s="20" customFormat="1" x14ac:dyDescent="0.35">
      <c r="A6" s="25"/>
      <c r="B6" s="7" t="str">
        <f>IF(Control!$D$5=1,"Closing Date","Data Fechamento")</f>
        <v>Data Fechamento</v>
      </c>
      <c r="C6" s="19">
        <v>2007</v>
      </c>
      <c r="D6" s="19">
        <v>2008</v>
      </c>
      <c r="E6" s="19">
        <v>2009</v>
      </c>
      <c r="F6" s="19">
        <v>2010</v>
      </c>
      <c r="G6" s="19">
        <v>2011</v>
      </c>
      <c r="H6" s="19">
        <v>2012</v>
      </c>
      <c r="I6" s="19">
        <v>2013</v>
      </c>
      <c r="J6" s="19">
        <v>2014</v>
      </c>
      <c r="K6" s="19">
        <v>2015</v>
      </c>
      <c r="L6" s="19">
        <v>2016</v>
      </c>
      <c r="M6" s="19">
        <v>2017</v>
      </c>
      <c r="N6" s="19">
        <v>2018</v>
      </c>
      <c r="O6" s="19">
        <v>2019</v>
      </c>
      <c r="P6" s="19">
        <v>2020</v>
      </c>
      <c r="Q6" s="66">
        <v>2021</v>
      </c>
      <c r="R6" s="66" t="s">
        <v>10</v>
      </c>
      <c r="S6" s="66" t="s">
        <v>12</v>
      </c>
      <c r="T6" s="66" t="s">
        <v>13</v>
      </c>
    </row>
    <row r="7" spans="1:24" s="20" customFormat="1" x14ac:dyDescent="0.35">
      <c r="A7" s="25"/>
      <c r="B7" s="7"/>
      <c r="C7" s="24">
        <v>39479</v>
      </c>
      <c r="D7" s="24">
        <v>39849</v>
      </c>
      <c r="E7" s="24">
        <v>40214</v>
      </c>
      <c r="F7" s="24">
        <v>40579</v>
      </c>
      <c r="G7" s="24">
        <v>40944</v>
      </c>
      <c r="H7" s="24">
        <v>41309</v>
      </c>
      <c r="I7" s="24">
        <v>41674</v>
      </c>
      <c r="J7" s="24">
        <v>42039</v>
      </c>
      <c r="K7" s="24">
        <v>42404</v>
      </c>
      <c r="L7" s="24">
        <v>42769</v>
      </c>
      <c r="M7" s="24">
        <v>43134</v>
      </c>
      <c r="N7" s="24">
        <v>43499</v>
      </c>
      <c r="O7" s="24">
        <v>43864</v>
      </c>
      <c r="P7" s="24">
        <v>44230</v>
      </c>
      <c r="Q7" s="24">
        <v>44620</v>
      </c>
      <c r="R7" s="24">
        <v>44985</v>
      </c>
      <c r="S7" s="24">
        <v>45351</v>
      </c>
      <c r="T7" s="24">
        <v>45716</v>
      </c>
    </row>
    <row r="8" spans="1:24" ht="6.75" customHeight="1" x14ac:dyDescent="0.35">
      <c r="B8" s="8"/>
      <c r="C8" s="21"/>
      <c r="D8" s="21"/>
      <c r="E8" s="21"/>
      <c r="F8" s="21"/>
      <c r="G8" s="21"/>
      <c r="H8" s="21"/>
      <c r="I8" s="21"/>
      <c r="J8" s="21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6.75" customHeight="1" x14ac:dyDescent="0.35">
      <c r="B9" s="8"/>
      <c r="C9" s="21"/>
      <c r="D9" s="21"/>
      <c r="E9" s="21"/>
      <c r="F9" s="21"/>
      <c r="G9" s="21"/>
      <c r="H9" s="21"/>
      <c r="I9" s="21"/>
      <c r="J9" s="21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s="20" customFormat="1" x14ac:dyDescent="0.35">
      <c r="A10" s="25"/>
      <c r="B10" s="50" t="str">
        <f>IF(Control!$D$5=1,"Brazil","Brasil")</f>
        <v>Brasil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4" s="23" customFormat="1" x14ac:dyDescent="0.35">
      <c r="A11" s="11"/>
      <c r="B11" s="46" t="s">
        <v>0</v>
      </c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4" s="23" customFormat="1" x14ac:dyDescent="0.35">
      <c r="A12" s="11"/>
      <c r="B12" s="12" t="str">
        <f>IF(Control!$D$5=1,"High Turnover","Alto Giro")</f>
        <v>Alto Giro</v>
      </c>
      <c r="C12" s="15">
        <v>456787.46</v>
      </c>
      <c r="D12" s="15">
        <v>454070.98</v>
      </c>
      <c r="E12" s="15">
        <v>473330.32</v>
      </c>
      <c r="F12" s="15">
        <v>504634.63</v>
      </c>
      <c r="G12" s="15">
        <v>560099.91</v>
      </c>
      <c r="H12" s="15">
        <v>817433.28</v>
      </c>
      <c r="I12" s="15">
        <v>1266972.76</v>
      </c>
      <c r="J12" s="15">
        <v>1196373.3500000001</v>
      </c>
      <c r="K12" s="15">
        <v>1169452.79</v>
      </c>
      <c r="L12" s="15">
        <v>1228753.79</v>
      </c>
      <c r="M12" s="15">
        <v>1209802.1499999999</v>
      </c>
      <c r="N12" s="15">
        <v>1236007.83</v>
      </c>
      <c r="O12" s="15">
        <v>1351221.95</v>
      </c>
      <c r="P12" s="15">
        <v>1400634.22</v>
      </c>
      <c r="Q12" s="15">
        <v>1477629.36</v>
      </c>
      <c r="R12" s="15">
        <v>1335103.46</v>
      </c>
      <c r="S12" s="15">
        <v>1342327.87</v>
      </c>
      <c r="T12" s="15">
        <v>1301522</v>
      </c>
      <c r="U12" s="65"/>
      <c r="V12" s="65"/>
      <c r="W12" s="65"/>
      <c r="X12" s="65"/>
    </row>
    <row r="13" spans="1:24" s="23" customFormat="1" x14ac:dyDescent="0.35">
      <c r="A13" s="11"/>
      <c r="B13" s="14" t="str">
        <f>IF(Control!$D$5=1,"Grains","Grãos")</f>
        <v>Grãos</v>
      </c>
      <c r="C13" s="15">
        <v>456787.46</v>
      </c>
      <c r="D13" s="15">
        <v>454070.98</v>
      </c>
      <c r="E13" s="15">
        <v>473330.32</v>
      </c>
      <c r="F13" s="15">
        <v>504634.63</v>
      </c>
      <c r="G13" s="15">
        <v>560099.91</v>
      </c>
      <c r="H13" s="15">
        <v>587606.52</v>
      </c>
      <c r="I13" s="15">
        <v>656514.25</v>
      </c>
      <c r="J13" s="15">
        <v>605796.78</v>
      </c>
      <c r="K13" s="15">
        <v>624211.04</v>
      </c>
      <c r="L13" s="15">
        <v>675500.58</v>
      </c>
      <c r="M13" s="15">
        <v>668537.97</v>
      </c>
      <c r="N13" s="15">
        <v>710297.37</v>
      </c>
      <c r="O13" s="15">
        <v>835191.75</v>
      </c>
      <c r="P13" s="15">
        <v>844588.59</v>
      </c>
      <c r="Q13" s="15">
        <v>923014.53</v>
      </c>
      <c r="R13" s="15">
        <v>853757.46</v>
      </c>
      <c r="S13" s="15">
        <v>0</v>
      </c>
      <c r="T13" s="15">
        <v>0</v>
      </c>
      <c r="U13" s="65"/>
      <c r="V13" s="65"/>
      <c r="W13" s="65"/>
      <c r="X13" s="65"/>
    </row>
    <row r="14" spans="1:24" s="23" customFormat="1" x14ac:dyDescent="0.35">
      <c r="A14" s="11"/>
      <c r="B14" s="67" t="str">
        <f>IF(Control!$D$5=1,"Rice","Arroz")</f>
        <v>Arroz</v>
      </c>
      <c r="C14" s="15">
        <v>400432.97</v>
      </c>
      <c r="D14" s="15">
        <v>401154.81</v>
      </c>
      <c r="E14" s="15">
        <v>413812.7</v>
      </c>
      <c r="F14" s="15">
        <v>442592.74</v>
      </c>
      <c r="G14" s="15">
        <v>493815.93</v>
      </c>
      <c r="H14" s="15">
        <v>525351.67000000004</v>
      </c>
      <c r="I14" s="15">
        <v>582547.24</v>
      </c>
      <c r="J14" s="15">
        <v>537877.01</v>
      </c>
      <c r="K14" s="15">
        <v>555514.6</v>
      </c>
      <c r="L14" s="15">
        <v>599523.94999999995</v>
      </c>
      <c r="M14" s="15">
        <v>596119</v>
      </c>
      <c r="N14" s="15">
        <v>630093.56000000006</v>
      </c>
      <c r="O14" s="15">
        <v>742867.08</v>
      </c>
      <c r="P14" s="15">
        <v>750358.77</v>
      </c>
      <c r="Q14" s="15">
        <v>807447.39</v>
      </c>
      <c r="R14" s="15">
        <v>740542</v>
      </c>
      <c r="S14" s="15">
        <v>0</v>
      </c>
      <c r="T14" s="15">
        <v>0</v>
      </c>
      <c r="U14" s="65"/>
      <c r="V14" s="65"/>
      <c r="W14" s="65"/>
      <c r="X14" s="65"/>
    </row>
    <row r="15" spans="1:24" s="23" customFormat="1" x14ac:dyDescent="0.35">
      <c r="A15" s="11"/>
      <c r="B15" s="67" t="str">
        <f>IF(Control!$D$5=1,"Beans","Feijão")</f>
        <v>Feijão</v>
      </c>
      <c r="C15" s="15">
        <v>56354.49</v>
      </c>
      <c r="D15" s="15">
        <v>52916.17</v>
      </c>
      <c r="E15" s="15">
        <v>59517.62</v>
      </c>
      <c r="F15" s="15">
        <v>62041.89</v>
      </c>
      <c r="G15" s="15">
        <v>66283.98</v>
      </c>
      <c r="H15" s="15">
        <v>62254.85</v>
      </c>
      <c r="I15" s="15">
        <v>73967.009999999995</v>
      </c>
      <c r="J15" s="15">
        <v>67919.77</v>
      </c>
      <c r="K15" s="15">
        <v>68696.44</v>
      </c>
      <c r="L15" s="15">
        <v>75976.63</v>
      </c>
      <c r="M15" s="15">
        <v>72418.97</v>
      </c>
      <c r="N15" s="15">
        <v>80203.81</v>
      </c>
      <c r="O15" s="15">
        <v>92324.68</v>
      </c>
      <c r="P15" s="15">
        <v>94229.82</v>
      </c>
      <c r="Q15" s="15">
        <v>115567.14</v>
      </c>
      <c r="R15" s="15">
        <v>113215.41</v>
      </c>
      <c r="S15" s="15">
        <v>0</v>
      </c>
      <c r="T15" s="15">
        <v>0</v>
      </c>
      <c r="U15" s="65"/>
      <c r="V15" s="65"/>
      <c r="W15" s="65"/>
      <c r="X15" s="65"/>
    </row>
    <row r="16" spans="1:24" s="23" customFormat="1" x14ac:dyDescent="0.35">
      <c r="A16" s="11"/>
      <c r="B16" s="14" t="str">
        <f>IF(Control!$D$5=1,"Sugar","Açúcar")</f>
        <v>Açúcar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229826.76</v>
      </c>
      <c r="I16" s="15">
        <v>610458.51</v>
      </c>
      <c r="J16" s="15">
        <v>590576.56999999995</v>
      </c>
      <c r="K16" s="15">
        <v>545241.75</v>
      </c>
      <c r="L16" s="15">
        <v>553253.21</v>
      </c>
      <c r="M16" s="15">
        <v>541264.18000000005</v>
      </c>
      <c r="N16" s="15">
        <v>525710.46</v>
      </c>
      <c r="O16" s="15">
        <v>516030.2</v>
      </c>
      <c r="P16" s="15">
        <v>556045.63</v>
      </c>
      <c r="Q16" s="15">
        <v>556843.32999999996</v>
      </c>
      <c r="R16" s="15">
        <v>481346</v>
      </c>
      <c r="S16" s="15">
        <v>0</v>
      </c>
      <c r="T16" s="15">
        <v>0</v>
      </c>
      <c r="U16" s="65"/>
      <c r="V16" s="65"/>
      <c r="W16" s="65"/>
      <c r="X16" s="65"/>
    </row>
    <row r="17" spans="1:32" s="23" customFormat="1" x14ac:dyDescent="0.35">
      <c r="A17" s="11"/>
      <c r="B17" s="12" t="str">
        <f>IF(Control!$D$5=1,"High Growth","Alto Valor")</f>
        <v>Alto Valor</v>
      </c>
      <c r="C17" s="15">
        <v>0</v>
      </c>
      <c r="D17" s="15">
        <v>0</v>
      </c>
      <c r="E17" s="15">
        <v>0</v>
      </c>
      <c r="F17" s="15">
        <v>0</v>
      </c>
      <c r="G17" s="15">
        <v>4233.8100000000004</v>
      </c>
      <c r="H17" s="15">
        <v>34267.14</v>
      </c>
      <c r="I17" s="15">
        <v>33379.21</v>
      </c>
      <c r="J17" s="15">
        <v>31581.200000000001</v>
      </c>
      <c r="K17" s="15">
        <v>36989.19</v>
      </c>
      <c r="L17" s="15">
        <v>39616.5</v>
      </c>
      <c r="M17" s="15">
        <v>36051.620000000003</v>
      </c>
      <c r="N17" s="15">
        <v>35229.78</v>
      </c>
      <c r="O17" s="15">
        <v>38661.53</v>
      </c>
      <c r="P17" s="15">
        <v>36585.760000000002</v>
      </c>
      <c r="Q17" s="15">
        <v>58656.37</v>
      </c>
      <c r="R17" s="15">
        <v>139867.9</v>
      </c>
      <c r="S17" s="15">
        <v>174473</v>
      </c>
      <c r="T17" s="15">
        <v>193126</v>
      </c>
      <c r="U17" s="65"/>
      <c r="V17" s="65"/>
      <c r="W17" s="65"/>
      <c r="X17" s="65"/>
    </row>
    <row r="18" spans="1:32" s="23" customFormat="1" x14ac:dyDescent="0.35">
      <c r="A18" s="11"/>
      <c r="B18" s="14" t="str">
        <f>IF(Control!$D$5=1,"Fish","Pescados")</f>
        <v>Pescados</v>
      </c>
      <c r="C18" s="15">
        <v>0</v>
      </c>
      <c r="D18" s="15">
        <v>0</v>
      </c>
      <c r="E18" s="15">
        <v>0</v>
      </c>
      <c r="F18" s="15">
        <v>0</v>
      </c>
      <c r="G18" s="15">
        <v>4233.8100000000004</v>
      </c>
      <c r="H18" s="15">
        <v>34267.14</v>
      </c>
      <c r="I18" s="15">
        <v>33379.21</v>
      </c>
      <c r="J18" s="15">
        <v>31581.200000000001</v>
      </c>
      <c r="K18" s="15">
        <v>36989.19</v>
      </c>
      <c r="L18" s="15">
        <v>39616.5</v>
      </c>
      <c r="M18" s="15">
        <v>36051.620000000003</v>
      </c>
      <c r="N18" s="15">
        <v>35229.78</v>
      </c>
      <c r="O18" s="15">
        <v>38661.53</v>
      </c>
      <c r="P18" s="15">
        <v>36585.760000000002</v>
      </c>
      <c r="Q18" s="15">
        <v>32715.57</v>
      </c>
      <c r="R18" s="15">
        <v>33954.800000000003</v>
      </c>
      <c r="S18" s="15">
        <v>0</v>
      </c>
      <c r="T18" s="15">
        <v>0</v>
      </c>
      <c r="U18" s="65"/>
      <c r="V18" s="65"/>
      <c r="W18" s="65"/>
      <c r="X18" s="65"/>
    </row>
    <row r="19" spans="1:32" s="23" customFormat="1" x14ac:dyDescent="0.35">
      <c r="A19" s="11"/>
      <c r="B19" s="14" t="str">
        <f>IF(Control!$D$5=1,"Pasta","Massas")</f>
        <v>Massas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25940.799999999999</v>
      </c>
      <c r="R19" s="15">
        <v>83062.899999999994</v>
      </c>
      <c r="S19" s="15">
        <v>0</v>
      </c>
      <c r="T19" s="15">
        <v>0</v>
      </c>
      <c r="U19" s="65"/>
      <c r="V19" s="65"/>
      <c r="W19" s="65"/>
      <c r="X19" s="65"/>
    </row>
    <row r="20" spans="1:32" s="23" customFormat="1" x14ac:dyDescent="0.35">
      <c r="A20" s="11"/>
      <c r="B20" s="14" t="str">
        <f>IF(Control!$D$5=1,"Coffee","Café")</f>
        <v>Café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13296.6</v>
      </c>
      <c r="S20" s="15">
        <v>0</v>
      </c>
      <c r="T20" s="15">
        <v>0</v>
      </c>
      <c r="U20" s="65"/>
      <c r="V20" s="65"/>
      <c r="W20" s="65"/>
      <c r="X20" s="65"/>
    </row>
    <row r="21" spans="1:32" s="23" customFormat="1" x14ac:dyDescent="0.35">
      <c r="A21" s="11"/>
      <c r="B21" s="14" t="str">
        <f>IF(Control!$D$5=1,"Biscuits &amp; Cookies","Biscoitos")</f>
        <v>Biscoitos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9553.6</v>
      </c>
      <c r="S21" s="15">
        <v>0</v>
      </c>
      <c r="T21" s="15">
        <v>0</v>
      </c>
      <c r="U21" s="65"/>
      <c r="V21" s="65"/>
      <c r="W21" s="65"/>
      <c r="X21" s="65"/>
    </row>
    <row r="22" spans="1:32" s="23" customFormat="1" x14ac:dyDescent="0.35">
      <c r="A22" s="11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32" s="20" customFormat="1" x14ac:dyDescent="0.35">
      <c r="A23" s="25"/>
      <c r="B23" s="46" t="str">
        <f>IF(Control!$D$5=1,"Gross Price (R$/kg)","Preço Bruto (R$/kg)")</f>
        <v>Preço Bruto (R$/kg)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32" s="23" customFormat="1" x14ac:dyDescent="0.35">
      <c r="A24" s="11"/>
      <c r="B24" s="12" t="str">
        <f>IF(Control!$D$5=1,"High Turnover","Alto Giro")</f>
        <v>Alto Giro</v>
      </c>
      <c r="C24" s="68">
        <v>1.53</v>
      </c>
      <c r="D24" s="68">
        <v>1.98</v>
      </c>
      <c r="E24" s="68">
        <v>1.72</v>
      </c>
      <c r="F24" s="68">
        <v>1.78</v>
      </c>
      <c r="G24" s="68">
        <v>1.65</v>
      </c>
      <c r="H24" s="68">
        <v>1.98</v>
      </c>
      <c r="I24" s="68">
        <v>1.85</v>
      </c>
      <c r="J24" s="68">
        <v>1.92</v>
      </c>
      <c r="K24" s="68">
        <v>2.19</v>
      </c>
      <c r="L24" s="68">
        <v>2.75</v>
      </c>
      <c r="M24" s="68">
        <v>2.39</v>
      </c>
      <c r="N24" s="68">
        <v>2.36</v>
      </c>
      <c r="O24" s="68">
        <v>2.5299999999999998</v>
      </c>
      <c r="P24" s="68">
        <v>3.36</v>
      </c>
      <c r="Q24" s="68">
        <v>3.87</v>
      </c>
      <c r="R24" s="68">
        <v>4.29</v>
      </c>
      <c r="S24" s="68">
        <v>4.7699999999999996</v>
      </c>
      <c r="T24" s="68">
        <v>5.13</v>
      </c>
      <c r="U24" s="65"/>
      <c r="V24" s="65"/>
      <c r="W24" s="65"/>
      <c r="X24" s="65"/>
    </row>
    <row r="25" spans="1:32" s="23" customFormat="1" x14ac:dyDescent="0.35">
      <c r="A25" s="11"/>
      <c r="B25" s="14" t="str">
        <f>IF(Control!$D$5=1,"Grains","Grãos")</f>
        <v>Grãos</v>
      </c>
      <c r="C25" s="26">
        <v>1.53</v>
      </c>
      <c r="D25" s="26">
        <v>1.98</v>
      </c>
      <c r="E25" s="26">
        <v>1.72</v>
      </c>
      <c r="F25" s="26">
        <v>1.78</v>
      </c>
      <c r="G25" s="26">
        <v>1.65</v>
      </c>
      <c r="H25" s="26">
        <v>2.04</v>
      </c>
      <c r="I25" s="26">
        <v>2.12</v>
      </c>
      <c r="J25" s="26">
        <v>2.2200000000000002</v>
      </c>
      <c r="K25" s="26">
        <v>2.42</v>
      </c>
      <c r="L25" s="26">
        <v>2.93</v>
      </c>
      <c r="M25" s="26">
        <v>2.5299999999999998</v>
      </c>
      <c r="N25" s="26">
        <v>2.59</v>
      </c>
      <c r="O25" s="26">
        <v>2.72</v>
      </c>
      <c r="P25" s="26">
        <v>3.95</v>
      </c>
      <c r="Q25" s="26">
        <v>4.09</v>
      </c>
      <c r="R25" s="26">
        <v>4.4800000000000004</v>
      </c>
      <c r="S25" s="15">
        <v>0</v>
      </c>
      <c r="T25" s="15">
        <v>0</v>
      </c>
      <c r="U25" s="65"/>
      <c r="V25" s="65"/>
      <c r="W25" s="65"/>
      <c r="X25" s="65"/>
    </row>
    <row r="26" spans="1:32" s="23" customFormat="1" x14ac:dyDescent="0.35">
      <c r="A26" s="11"/>
      <c r="B26" s="67" t="str">
        <f>IF(Control!$D$5=1,"Rice","Arroz")</f>
        <v>Arroz</v>
      </c>
      <c r="C26" s="26">
        <v>1.36</v>
      </c>
      <c r="D26" s="26">
        <v>1.78</v>
      </c>
      <c r="E26" s="26">
        <v>1.66</v>
      </c>
      <c r="F26" s="26">
        <v>1.62</v>
      </c>
      <c r="G26" s="26">
        <v>1.48</v>
      </c>
      <c r="H26" s="26">
        <v>1.81</v>
      </c>
      <c r="I26" s="26">
        <v>1.9</v>
      </c>
      <c r="J26" s="26">
        <v>2.08</v>
      </c>
      <c r="K26" s="26">
        <v>2.23</v>
      </c>
      <c r="L26" s="26">
        <v>2.58</v>
      </c>
      <c r="M26" s="26">
        <v>2.37</v>
      </c>
      <c r="N26" s="26">
        <v>2.46</v>
      </c>
      <c r="O26" s="26">
        <v>2.5099999999999998</v>
      </c>
      <c r="P26" s="26">
        <v>3.67</v>
      </c>
      <c r="Q26" s="26">
        <v>3.78</v>
      </c>
      <c r="R26" s="26">
        <v>4.0599999999999996</v>
      </c>
      <c r="S26" s="15">
        <v>0</v>
      </c>
      <c r="T26" s="15">
        <v>0</v>
      </c>
      <c r="U26" s="65"/>
      <c r="V26" s="65"/>
      <c r="W26" s="65"/>
      <c r="X26" s="65"/>
    </row>
    <row r="27" spans="1:32" s="23" customFormat="1" x14ac:dyDescent="0.35">
      <c r="A27" s="11"/>
      <c r="B27" s="67" t="str">
        <f>IF(Control!$D$5=1,"Beans","Feijão")</f>
        <v>Feijão</v>
      </c>
      <c r="C27" s="26">
        <v>2.75</v>
      </c>
      <c r="D27" s="26">
        <v>3.53</v>
      </c>
      <c r="E27" s="26">
        <v>2.17</v>
      </c>
      <c r="F27" s="26">
        <v>2.95</v>
      </c>
      <c r="G27" s="26">
        <v>2.9</v>
      </c>
      <c r="H27" s="26">
        <v>3.96</v>
      </c>
      <c r="I27" s="26">
        <v>3.85</v>
      </c>
      <c r="J27" s="26">
        <v>3.34</v>
      </c>
      <c r="K27" s="26">
        <v>3.94</v>
      </c>
      <c r="L27" s="26">
        <v>5.66</v>
      </c>
      <c r="M27" s="26">
        <v>3.86</v>
      </c>
      <c r="N27" s="26">
        <v>3.64</v>
      </c>
      <c r="O27" s="26">
        <v>4.46</v>
      </c>
      <c r="P27" s="26">
        <v>6.13</v>
      </c>
      <c r="Q27" s="26">
        <v>6.2</v>
      </c>
      <c r="R27" s="26">
        <v>7.25</v>
      </c>
      <c r="S27" s="15">
        <v>0</v>
      </c>
      <c r="T27" s="15">
        <v>0</v>
      </c>
      <c r="U27" s="65"/>
      <c r="V27" s="65"/>
      <c r="W27" s="65"/>
      <c r="X27" s="65"/>
    </row>
    <row r="28" spans="1:32" s="23" customFormat="1" x14ac:dyDescent="0.35">
      <c r="A28" s="11"/>
      <c r="B28" s="14" t="str">
        <f>IF(Control!$D$5=1,"Sugar","Açúcar")</f>
        <v>Açúcar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1.82</v>
      </c>
      <c r="I28" s="26">
        <v>1.57</v>
      </c>
      <c r="J28" s="26">
        <v>1.61</v>
      </c>
      <c r="K28" s="26">
        <v>1.93</v>
      </c>
      <c r="L28" s="26">
        <v>2.54</v>
      </c>
      <c r="M28" s="26">
        <v>2.2200000000000002</v>
      </c>
      <c r="N28" s="26">
        <v>2.04</v>
      </c>
      <c r="O28" s="26">
        <v>2.21</v>
      </c>
      <c r="P28" s="26">
        <v>2.4700000000000002</v>
      </c>
      <c r="Q28" s="26">
        <v>3.52</v>
      </c>
      <c r="R28" s="26">
        <v>3.96</v>
      </c>
      <c r="S28" s="15">
        <v>0</v>
      </c>
      <c r="T28" s="15">
        <v>0</v>
      </c>
      <c r="U28" s="65"/>
      <c r="V28" s="65"/>
      <c r="W28" s="65"/>
      <c r="X28" s="65"/>
    </row>
    <row r="29" spans="1:32" s="23" customFormat="1" x14ac:dyDescent="0.35">
      <c r="A29" s="11"/>
      <c r="B29" s="12" t="str">
        <f>IF(Control!$D$5=1,"High Growth","Alto Valor")</f>
        <v>Alto Valor</v>
      </c>
      <c r="C29" s="26">
        <v>0</v>
      </c>
      <c r="D29" s="26">
        <v>0</v>
      </c>
      <c r="E29" s="26">
        <v>0</v>
      </c>
      <c r="F29" s="26">
        <v>0</v>
      </c>
      <c r="G29" s="26">
        <v>13.51</v>
      </c>
      <c r="H29" s="26">
        <v>13.65</v>
      </c>
      <c r="I29" s="26">
        <v>15.2</v>
      </c>
      <c r="J29" s="26">
        <v>15.83</v>
      </c>
      <c r="K29" s="26">
        <v>15.66</v>
      </c>
      <c r="L29" s="26">
        <v>17.12</v>
      </c>
      <c r="M29" s="26">
        <v>19.420000000000002</v>
      </c>
      <c r="N29" s="26">
        <v>20.53</v>
      </c>
      <c r="O29" s="26">
        <v>20.61</v>
      </c>
      <c r="P29" s="26">
        <v>23.05</v>
      </c>
      <c r="Q29" s="26">
        <v>18.11</v>
      </c>
      <c r="R29" s="26">
        <v>15.51</v>
      </c>
      <c r="S29" s="26">
        <v>16.2</v>
      </c>
      <c r="T29" s="26">
        <v>17.03</v>
      </c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</row>
    <row r="30" spans="1:32" s="23" customFormat="1" x14ac:dyDescent="0.35">
      <c r="A30" s="11"/>
      <c r="B30" s="14" t="str">
        <f>IF(Control!$D$5=1,"Fish","Pescados")</f>
        <v>Pescados</v>
      </c>
      <c r="C30" s="26">
        <v>0</v>
      </c>
      <c r="D30" s="26">
        <v>0</v>
      </c>
      <c r="E30" s="26">
        <v>0</v>
      </c>
      <c r="F30" s="26">
        <v>0</v>
      </c>
      <c r="G30" s="26">
        <v>13.51</v>
      </c>
      <c r="H30" s="26">
        <v>13.65</v>
      </c>
      <c r="I30" s="26">
        <v>15.2</v>
      </c>
      <c r="J30" s="26">
        <v>15.83</v>
      </c>
      <c r="K30" s="26">
        <v>15.66</v>
      </c>
      <c r="L30" s="26">
        <v>17.12</v>
      </c>
      <c r="M30" s="26">
        <v>19.420000000000002</v>
      </c>
      <c r="N30" s="26">
        <v>20.53</v>
      </c>
      <c r="O30" s="26">
        <v>20.61</v>
      </c>
      <c r="P30" s="26">
        <v>23.05</v>
      </c>
      <c r="Q30" s="26">
        <v>27.39</v>
      </c>
      <c r="R30" s="26">
        <v>32.72</v>
      </c>
      <c r="S30" s="15">
        <v>0</v>
      </c>
      <c r="T30" s="15">
        <v>0</v>
      </c>
      <c r="U30" s="65"/>
      <c r="V30" s="65"/>
      <c r="W30" s="65"/>
      <c r="X30" s="65"/>
    </row>
    <row r="31" spans="1:32" s="23" customFormat="1" x14ac:dyDescent="0.35">
      <c r="A31" s="11"/>
      <c r="B31" s="14" t="str">
        <f>IF(Control!$D$5=1,"Pasta","Massas")</f>
        <v>Massas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26">
        <v>6.4</v>
      </c>
      <c r="R31" s="26">
        <v>7.11</v>
      </c>
      <c r="S31" s="15">
        <v>0</v>
      </c>
      <c r="T31" s="15">
        <v>0</v>
      </c>
      <c r="U31" s="65"/>
      <c r="V31" s="65"/>
      <c r="W31" s="65"/>
      <c r="X31" s="65"/>
    </row>
    <row r="32" spans="1:32" s="23" customFormat="1" x14ac:dyDescent="0.35">
      <c r="A32" s="11"/>
      <c r="B32" s="14" t="str">
        <f>IF(Control!$D$5=1,"Coffee","Café")</f>
        <v>Café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26">
        <v>26.97</v>
      </c>
      <c r="S32" s="15">
        <v>0</v>
      </c>
      <c r="T32" s="15">
        <v>0</v>
      </c>
      <c r="U32" s="65"/>
      <c r="V32" s="65"/>
      <c r="W32" s="65"/>
      <c r="X32" s="65"/>
    </row>
    <row r="33" spans="1:24" s="23" customFormat="1" x14ac:dyDescent="0.35">
      <c r="A33" s="11"/>
      <c r="B33" s="14" t="str">
        <f>IF(Control!$D$5=1,"Biscuits &amp; Cookies","Biscoitos")</f>
        <v>Biscoitos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26">
        <v>11.39</v>
      </c>
      <c r="S33" s="15">
        <v>0</v>
      </c>
      <c r="T33" s="15">
        <v>0</v>
      </c>
      <c r="U33" s="65"/>
      <c r="V33" s="65"/>
      <c r="W33" s="65"/>
      <c r="X33" s="65"/>
    </row>
    <row r="35" spans="1:24" s="20" customFormat="1" x14ac:dyDescent="0.35">
      <c r="A35" s="25"/>
      <c r="B35" s="46" t="s">
        <v>5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1:24" s="23" customFormat="1" x14ac:dyDescent="0.35">
      <c r="A36" s="11"/>
      <c r="B36" s="12" t="str">
        <f>IF(Control!$D$5=1,"High Turnover","Alto Giro")</f>
        <v>Alto Giro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1.7</v>
      </c>
      <c r="K36" s="26">
        <v>1.94</v>
      </c>
      <c r="L36" s="26">
        <v>2.4500000000000002</v>
      </c>
      <c r="M36" s="26">
        <v>2.1</v>
      </c>
      <c r="N36" s="26">
        <v>2.0499999999999998</v>
      </c>
      <c r="O36" s="26">
        <v>2.23</v>
      </c>
      <c r="P36" s="26">
        <v>2.98</v>
      </c>
      <c r="Q36" s="26">
        <v>3.45</v>
      </c>
      <c r="R36" s="26">
        <v>3.7</v>
      </c>
      <c r="S36" s="26">
        <v>4.2</v>
      </c>
      <c r="T36" s="26">
        <v>4.55</v>
      </c>
      <c r="U36" s="65"/>
      <c r="V36" s="65"/>
      <c r="W36" s="65"/>
      <c r="X36" s="65"/>
    </row>
    <row r="37" spans="1:24" s="23" customFormat="1" x14ac:dyDescent="0.35">
      <c r="A37" s="11"/>
      <c r="B37" s="14" t="str">
        <f>IF(Control!$D$5=1,"Grains","Grãos")</f>
        <v>Grãos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1.98</v>
      </c>
      <c r="K37" s="26">
        <v>2.14</v>
      </c>
      <c r="L37" s="26">
        <v>2.62</v>
      </c>
      <c r="M37" s="26">
        <v>2.23</v>
      </c>
      <c r="N37" s="26">
        <v>2.2799999999999998</v>
      </c>
      <c r="O37" s="26">
        <v>2.42</v>
      </c>
      <c r="P37" s="26">
        <v>3.52</v>
      </c>
      <c r="Q37" s="26">
        <v>3.62</v>
      </c>
      <c r="R37" s="26">
        <v>3.95</v>
      </c>
      <c r="S37" s="15">
        <v>0</v>
      </c>
      <c r="T37" s="15">
        <v>0</v>
      </c>
      <c r="U37" s="65"/>
      <c r="V37" s="65"/>
      <c r="W37" s="65"/>
      <c r="X37" s="65"/>
    </row>
    <row r="38" spans="1:24" s="23" customFormat="1" x14ac:dyDescent="0.35">
      <c r="A38" s="11"/>
      <c r="B38" s="67" t="str">
        <f>IF(Control!$D$5=1,"Rice","Arroz")</f>
        <v>Arroz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1.85</v>
      </c>
      <c r="K38" s="26">
        <v>1.97</v>
      </c>
      <c r="L38" s="26">
        <v>2.2799999999999998</v>
      </c>
      <c r="M38" s="26">
        <v>2.08</v>
      </c>
      <c r="N38" s="26">
        <v>2.15</v>
      </c>
      <c r="O38" s="26">
        <v>2.21</v>
      </c>
      <c r="P38" s="26">
        <v>3.24</v>
      </c>
      <c r="Q38" s="26">
        <v>3.32</v>
      </c>
      <c r="R38" s="26">
        <v>3.55</v>
      </c>
      <c r="S38" s="15">
        <v>0</v>
      </c>
      <c r="T38" s="15">
        <v>0</v>
      </c>
      <c r="U38" s="65"/>
      <c r="V38" s="65"/>
      <c r="W38" s="65"/>
      <c r="X38" s="65"/>
    </row>
    <row r="39" spans="1:24" s="23" customFormat="1" x14ac:dyDescent="0.35">
      <c r="A39" s="11"/>
      <c r="B39" s="67" t="str">
        <f>IF(Control!$D$5=1,"Beans","Feijão")</f>
        <v>Feijão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2.98</v>
      </c>
      <c r="K39" s="26">
        <v>3.55</v>
      </c>
      <c r="L39" s="26">
        <v>5.26</v>
      </c>
      <c r="M39" s="26">
        <v>3.49</v>
      </c>
      <c r="N39" s="26">
        <v>3.28</v>
      </c>
      <c r="O39" s="26">
        <v>4.12</v>
      </c>
      <c r="P39" s="26">
        <v>5.71</v>
      </c>
      <c r="Q39" s="26">
        <v>5.77</v>
      </c>
      <c r="R39" s="26">
        <v>6.59</v>
      </c>
      <c r="S39" s="15">
        <v>0</v>
      </c>
      <c r="T39" s="15">
        <v>0</v>
      </c>
      <c r="U39" s="65"/>
      <c r="V39" s="65"/>
      <c r="W39" s="65"/>
      <c r="X39" s="65"/>
    </row>
    <row r="40" spans="1:24" s="23" customFormat="1" x14ac:dyDescent="0.35">
      <c r="A40" s="11"/>
      <c r="B40" s="14" t="str">
        <f>IF(Control!$D$5=1,"Sugar","Açúcar")</f>
        <v>Açúcar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1.41</v>
      </c>
      <c r="K40" s="26">
        <v>1.71</v>
      </c>
      <c r="L40" s="26">
        <v>2.2400000000000002</v>
      </c>
      <c r="M40" s="26">
        <v>1.93</v>
      </c>
      <c r="N40" s="26">
        <v>1.75</v>
      </c>
      <c r="O40" s="26">
        <v>1.91</v>
      </c>
      <c r="P40" s="26">
        <v>2.16</v>
      </c>
      <c r="Q40" s="26">
        <v>3.15</v>
      </c>
      <c r="R40" s="26">
        <v>3.25</v>
      </c>
      <c r="S40" s="15">
        <v>0</v>
      </c>
      <c r="T40" s="15">
        <v>0</v>
      </c>
      <c r="U40" s="65"/>
      <c r="V40" s="65"/>
      <c r="W40" s="65"/>
      <c r="X40" s="65"/>
    </row>
    <row r="41" spans="1:24" s="23" customFormat="1" x14ac:dyDescent="0.35">
      <c r="A41" s="11"/>
      <c r="B41" s="12" t="str">
        <f>IF(Control!$D$5=1,"High Growth","Alto Valor")</f>
        <v>Alto Valor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13.01</v>
      </c>
      <c r="K41" s="26">
        <v>12.97</v>
      </c>
      <c r="L41" s="26">
        <v>13.73</v>
      </c>
      <c r="M41" s="26">
        <v>14.550000000000002</v>
      </c>
      <c r="N41" s="26">
        <v>15.5</v>
      </c>
      <c r="O41" s="26">
        <v>15.600000000000001</v>
      </c>
      <c r="P41" s="26">
        <v>18.329999999999998</v>
      </c>
      <c r="Q41" s="26">
        <v>14.16</v>
      </c>
      <c r="R41" s="26">
        <v>12.94</v>
      </c>
      <c r="S41" s="26">
        <v>13.05</v>
      </c>
      <c r="T41" s="26">
        <v>14.04</v>
      </c>
      <c r="U41" s="65"/>
      <c r="V41" s="65"/>
      <c r="W41" s="65"/>
      <c r="X41" s="65"/>
    </row>
    <row r="42" spans="1:24" s="23" customFormat="1" x14ac:dyDescent="0.35">
      <c r="A42" s="11"/>
      <c r="B42" s="14" t="str">
        <f>IF(Control!$D$5=1,"Fish","Pescados")</f>
        <v>Pescados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13.01</v>
      </c>
      <c r="K42" s="26">
        <v>12.97</v>
      </c>
      <c r="L42" s="26">
        <v>13.73</v>
      </c>
      <c r="M42" s="26">
        <v>14.55</v>
      </c>
      <c r="N42" s="26">
        <v>15.5</v>
      </c>
      <c r="O42" s="26">
        <v>15.6</v>
      </c>
      <c r="P42" s="26">
        <v>18.329999999999998</v>
      </c>
      <c r="Q42" s="26">
        <v>21.49</v>
      </c>
      <c r="R42" s="26">
        <v>26.15</v>
      </c>
      <c r="S42" s="15">
        <v>0</v>
      </c>
      <c r="T42" s="15">
        <v>0</v>
      </c>
      <c r="U42" s="65"/>
      <c r="V42" s="65"/>
      <c r="W42" s="65"/>
      <c r="X42" s="65"/>
    </row>
    <row r="43" spans="1:24" s="23" customFormat="1" x14ac:dyDescent="0.35">
      <c r="A43" s="11"/>
      <c r="B43" s="14" t="str">
        <f>IF(Control!$D$5=1,"Pasta","Massas")</f>
        <v>Massas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26">
        <v>4.92</v>
      </c>
      <c r="R43" s="26">
        <v>6.36</v>
      </c>
      <c r="S43" s="15">
        <v>0</v>
      </c>
      <c r="T43" s="15">
        <v>0</v>
      </c>
      <c r="U43" s="65"/>
      <c r="V43" s="65"/>
      <c r="W43" s="65"/>
      <c r="X43" s="65"/>
    </row>
    <row r="44" spans="1:24" s="23" customFormat="1" x14ac:dyDescent="0.35">
      <c r="A44" s="11"/>
      <c r="B44" s="14" t="str">
        <f>IF(Control!$D$5=1,"Coffee","Café")</f>
        <v>Café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26">
        <v>23.18</v>
      </c>
      <c r="S44" s="15">
        <v>0</v>
      </c>
      <c r="T44" s="15">
        <v>0</v>
      </c>
      <c r="U44" s="65"/>
      <c r="V44" s="65"/>
      <c r="W44" s="65"/>
      <c r="X44" s="65"/>
    </row>
    <row r="45" spans="1:24" s="23" customFormat="1" x14ac:dyDescent="0.35">
      <c r="A45" s="11"/>
      <c r="B45" s="14" t="str">
        <f>IF(Control!$D$5=1,"Biscuits &amp; Cookies","Biscoitos")</f>
        <v>Biscoitos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26">
        <v>8.9499999999999993</v>
      </c>
      <c r="S45" s="15">
        <v>0</v>
      </c>
      <c r="T45" s="15">
        <v>0</v>
      </c>
      <c r="U45" s="65"/>
      <c r="V45" s="65"/>
      <c r="W45" s="65"/>
      <c r="X45" s="65"/>
    </row>
    <row r="47" spans="1:24" s="20" customFormat="1" x14ac:dyDescent="0.35">
      <c r="A47" s="25"/>
      <c r="B47" s="50" t="str">
        <f>IF(Control!$D$5=1,"International","Internacional")</f>
        <v>Internacional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9"/>
      <c r="V47" s="59"/>
      <c r="W47" s="59"/>
      <c r="X47" s="59"/>
    </row>
    <row r="48" spans="1:24" s="23" customFormat="1" x14ac:dyDescent="0.35">
      <c r="A48" s="11"/>
      <c r="B48" s="46" t="s">
        <v>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60"/>
      <c r="V48" s="60"/>
      <c r="W48" s="60"/>
      <c r="X48" s="60"/>
    </row>
    <row r="49" spans="1:30" s="23" customFormat="1" x14ac:dyDescent="0.35">
      <c r="A49" s="11"/>
      <c r="B49" s="12" t="str">
        <f>IF(Control!$D$5=1,"International","Internacional")</f>
        <v>Internacional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533562.81000000006</v>
      </c>
      <c r="K49" s="15">
        <v>585515</v>
      </c>
      <c r="L49" s="15">
        <v>705623</v>
      </c>
      <c r="M49" s="15">
        <v>731652</v>
      </c>
      <c r="N49" s="15">
        <v>630187.82999999996</v>
      </c>
      <c r="O49" s="15">
        <v>634474.77</v>
      </c>
      <c r="P49" s="15">
        <v>677568.51</v>
      </c>
      <c r="Q49" s="15">
        <v>626805.69999999995</v>
      </c>
      <c r="R49" s="15">
        <v>703201.06</v>
      </c>
      <c r="S49" s="15">
        <v>675220.28479437239</v>
      </c>
      <c r="T49" s="15">
        <v>620053</v>
      </c>
      <c r="U49" s="65"/>
      <c r="V49" s="65"/>
      <c r="W49" s="65"/>
      <c r="X49" s="65"/>
    </row>
    <row r="50" spans="1:30" s="23" customFormat="1" x14ac:dyDescent="0.35">
      <c r="A50" s="11"/>
      <c r="B50" s="14" t="str">
        <f>IF(Control!$D$5=1,"Uruguay","Uruguai")</f>
        <v>Uruguai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374884.87</v>
      </c>
      <c r="K50" s="15">
        <v>400585</v>
      </c>
      <c r="L50" s="15">
        <v>529659</v>
      </c>
      <c r="M50" s="15">
        <v>547768</v>
      </c>
      <c r="N50" s="15">
        <v>457559.61</v>
      </c>
      <c r="O50" s="15">
        <v>461482.26</v>
      </c>
      <c r="P50" s="15">
        <v>504748.88</v>
      </c>
      <c r="Q50" s="15">
        <v>443063.66</v>
      </c>
      <c r="R50" s="15">
        <v>497890.68</v>
      </c>
      <c r="S50" s="15">
        <v>0</v>
      </c>
      <c r="T50" s="15">
        <v>0</v>
      </c>
      <c r="U50" s="65"/>
      <c r="V50" s="65"/>
      <c r="W50" s="65"/>
      <c r="X50" s="65"/>
    </row>
    <row r="51" spans="1:30" s="23" customFormat="1" x14ac:dyDescent="0.35">
      <c r="A51" s="11"/>
      <c r="B51" s="14" t="s">
        <v>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67176</v>
      </c>
      <c r="K51" s="15">
        <v>77611</v>
      </c>
      <c r="L51" s="15">
        <v>72308</v>
      </c>
      <c r="M51" s="15">
        <v>75780</v>
      </c>
      <c r="N51" s="15">
        <v>79410.53</v>
      </c>
      <c r="O51" s="15">
        <v>84148.64</v>
      </c>
      <c r="P51" s="15">
        <v>82568.75</v>
      </c>
      <c r="Q51" s="15">
        <v>89113.17</v>
      </c>
      <c r="R51" s="15">
        <v>85558.01</v>
      </c>
      <c r="S51" s="15">
        <v>0</v>
      </c>
      <c r="T51" s="15">
        <v>0</v>
      </c>
      <c r="U51" s="65"/>
      <c r="V51" s="65"/>
      <c r="W51" s="65"/>
      <c r="X51" s="65"/>
    </row>
    <row r="52" spans="1:30" s="23" customFormat="1" x14ac:dyDescent="0.35">
      <c r="A52" s="11"/>
      <c r="B52" s="14" t="s">
        <v>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91501.94</v>
      </c>
      <c r="K52" s="15">
        <v>93599</v>
      </c>
      <c r="L52" s="15">
        <v>85961</v>
      </c>
      <c r="M52" s="15">
        <v>94144</v>
      </c>
      <c r="N52" s="15">
        <v>83589.929999999993</v>
      </c>
      <c r="O52" s="15">
        <v>88843.88</v>
      </c>
      <c r="P52" s="15">
        <v>90250.89</v>
      </c>
      <c r="Q52" s="15">
        <v>65701.59</v>
      </c>
      <c r="R52" s="15">
        <v>63880.7</v>
      </c>
      <c r="S52" s="15">
        <v>0</v>
      </c>
      <c r="T52" s="15">
        <v>0</v>
      </c>
      <c r="U52" s="65"/>
      <c r="V52" s="65"/>
      <c r="W52" s="65"/>
      <c r="X52" s="65"/>
    </row>
    <row r="53" spans="1:30" s="23" customFormat="1" x14ac:dyDescent="0.35">
      <c r="A53" s="11"/>
      <c r="B53" s="14" t="s">
        <v>8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13720</v>
      </c>
      <c r="L53" s="15">
        <v>17695</v>
      </c>
      <c r="M53" s="15">
        <v>13960</v>
      </c>
      <c r="N53" s="15">
        <v>9627.76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65"/>
      <c r="V53" s="65"/>
      <c r="W53" s="65"/>
      <c r="X53" s="65"/>
    </row>
    <row r="54" spans="1:30" s="23" customFormat="1" x14ac:dyDescent="0.35">
      <c r="A54" s="11"/>
      <c r="B54" s="14" t="s">
        <v>9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28927.279999999999</v>
      </c>
      <c r="R54" s="15">
        <v>55871.66</v>
      </c>
      <c r="S54" s="15">
        <v>0</v>
      </c>
      <c r="T54" s="15">
        <v>0</v>
      </c>
      <c r="U54" s="65"/>
      <c r="V54" s="65"/>
      <c r="W54" s="65"/>
      <c r="X54" s="65"/>
    </row>
    <row r="55" spans="1:30" s="23" customFormat="1" x14ac:dyDescent="0.35">
      <c r="A55" s="11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30" s="20" customFormat="1" x14ac:dyDescent="0.35">
      <c r="A56" s="25"/>
      <c r="B56" s="46" t="str">
        <f>IF(Control!$D$5=1,"Gross Price (R$/kg)","Preço Bruto (R$/kg)")</f>
        <v>Preço Bruto (R$/kg)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60"/>
      <c r="V56" s="60"/>
      <c r="W56" s="60"/>
      <c r="X56" s="60"/>
    </row>
    <row r="57" spans="1:30" s="23" customFormat="1" x14ac:dyDescent="0.35">
      <c r="A57" s="11"/>
      <c r="B57" s="12" t="str">
        <f>IF(Control!$D$5=1,"International","Internacional")</f>
        <v>Internacional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2.3199999999999998</v>
      </c>
      <c r="K57" s="26">
        <v>2.74</v>
      </c>
      <c r="L57" s="26">
        <v>2.29</v>
      </c>
      <c r="M57" s="26">
        <v>2.27</v>
      </c>
      <c r="N57" s="26">
        <v>2.62</v>
      </c>
      <c r="O57" s="26">
        <v>2.86</v>
      </c>
      <c r="P57" s="26">
        <v>3.91</v>
      </c>
      <c r="Q57" s="26">
        <v>4.34</v>
      </c>
      <c r="R57" s="26">
        <v>4.38</v>
      </c>
      <c r="S57" s="26">
        <v>5.0448841062182987</v>
      </c>
      <c r="T57" s="26">
        <v>6.02</v>
      </c>
      <c r="U57" s="65"/>
      <c r="V57" s="65"/>
      <c r="W57" s="65"/>
      <c r="X57" s="65"/>
    </row>
    <row r="58" spans="1:30" s="23" customFormat="1" x14ac:dyDescent="0.35">
      <c r="A58" s="11"/>
      <c r="B58" s="14" t="str">
        <f>IF(Control!$D$5=1,"Uruguay","Uruguai")</f>
        <v>Uruguai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1.88</v>
      </c>
      <c r="K58" s="26">
        <v>1.92</v>
      </c>
      <c r="L58" s="26">
        <v>1.62</v>
      </c>
      <c r="M58" s="26">
        <v>1.61</v>
      </c>
      <c r="N58" s="26">
        <v>1.91</v>
      </c>
      <c r="O58" s="26">
        <v>1.95</v>
      </c>
      <c r="P58" s="26">
        <v>2.74</v>
      </c>
      <c r="Q58" s="26">
        <v>3.2</v>
      </c>
      <c r="R58" s="26">
        <v>3.49</v>
      </c>
      <c r="S58" s="26">
        <v>0</v>
      </c>
      <c r="T58" s="26">
        <v>0</v>
      </c>
      <c r="U58" s="65"/>
      <c r="V58" s="65"/>
      <c r="W58" s="65"/>
      <c r="X58" s="65"/>
      <c r="Y58" s="61"/>
      <c r="Z58" s="61"/>
      <c r="AA58" s="61"/>
      <c r="AB58" s="61"/>
      <c r="AC58" s="61"/>
      <c r="AD58" s="61"/>
    </row>
    <row r="59" spans="1:30" s="23" customFormat="1" x14ac:dyDescent="0.35">
      <c r="A59" s="11"/>
      <c r="B59" s="14" t="s">
        <v>6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3.9</v>
      </c>
      <c r="K59" s="26">
        <v>4.74</v>
      </c>
      <c r="L59" s="26">
        <v>4.87</v>
      </c>
      <c r="M59" s="26">
        <v>4.99</v>
      </c>
      <c r="N59" s="26">
        <v>5.04</v>
      </c>
      <c r="O59" s="26">
        <v>5.55</v>
      </c>
      <c r="P59" s="26">
        <v>7.95</v>
      </c>
      <c r="Q59" s="26">
        <v>8.09</v>
      </c>
      <c r="R59" s="26">
        <v>7.62</v>
      </c>
      <c r="S59" s="26">
        <v>0</v>
      </c>
      <c r="T59" s="26">
        <v>0</v>
      </c>
      <c r="U59" s="65"/>
      <c r="V59" s="65"/>
      <c r="W59" s="65"/>
      <c r="X59" s="65"/>
      <c r="Y59" s="61"/>
      <c r="Z59" s="61"/>
      <c r="AA59" s="61"/>
      <c r="AB59" s="61"/>
      <c r="AC59" s="61"/>
      <c r="AD59" s="61"/>
    </row>
    <row r="60" spans="1:30" s="23" customFormat="1" x14ac:dyDescent="0.35">
      <c r="A60" s="11"/>
      <c r="B60" s="14" t="s">
        <v>7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2.98</v>
      </c>
      <c r="K60" s="26">
        <v>4.6399999999999997</v>
      </c>
      <c r="L60" s="26">
        <v>4.22</v>
      </c>
      <c r="M60" s="26">
        <v>3.97</v>
      </c>
      <c r="N60" s="26">
        <v>4.24</v>
      </c>
      <c r="O60" s="26">
        <v>5</v>
      </c>
      <c r="P60" s="26">
        <v>6.77</v>
      </c>
      <c r="Q60" s="26">
        <v>7.17</v>
      </c>
      <c r="R60" s="26">
        <v>7.26</v>
      </c>
      <c r="S60" s="26">
        <v>0</v>
      </c>
      <c r="T60" s="26">
        <v>0</v>
      </c>
      <c r="U60" s="65"/>
      <c r="V60" s="65"/>
      <c r="W60" s="65"/>
      <c r="X60" s="65"/>
      <c r="Y60" s="61"/>
      <c r="Z60" s="61"/>
      <c r="AA60" s="61"/>
      <c r="AB60" s="61"/>
      <c r="AC60" s="61"/>
      <c r="AD60" s="61"/>
    </row>
    <row r="61" spans="1:30" s="23" customFormat="1" x14ac:dyDescent="0.35">
      <c r="A61" s="11"/>
      <c r="B61" s="14" t="s">
        <v>8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2.5</v>
      </c>
      <c r="L61" s="26">
        <v>2.23</v>
      </c>
      <c r="M61" s="26">
        <v>2.19</v>
      </c>
      <c r="N61" s="26">
        <v>2.3199999999999998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65"/>
      <c r="V61" s="65"/>
      <c r="W61" s="65"/>
      <c r="X61" s="65"/>
      <c r="Y61" s="61"/>
      <c r="Z61" s="61"/>
      <c r="AA61" s="61"/>
      <c r="AB61" s="61"/>
      <c r="AC61" s="61"/>
      <c r="AD61" s="61"/>
    </row>
    <row r="62" spans="1:30" s="23" customFormat="1" x14ac:dyDescent="0.35">
      <c r="A62" s="11"/>
      <c r="B62" s="14" t="s">
        <v>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26">
        <v>3.77</v>
      </c>
      <c r="R62" s="26">
        <v>4.05</v>
      </c>
      <c r="S62" s="26">
        <v>0</v>
      </c>
      <c r="T62" s="26">
        <v>0</v>
      </c>
      <c r="U62" s="65"/>
      <c r="V62" s="65"/>
      <c r="W62" s="65"/>
      <c r="X62" s="65"/>
      <c r="Y62" s="61"/>
      <c r="Z62" s="61"/>
      <c r="AA62" s="61"/>
      <c r="AB62" s="61"/>
      <c r="AC62" s="61"/>
      <c r="AD62" s="61"/>
    </row>
    <row r="63" spans="1:30" x14ac:dyDescent="0.3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30" s="20" customFormat="1" x14ac:dyDescent="0.35">
      <c r="A64" s="25"/>
      <c r="B64" s="46" t="str">
        <f>IF(Control!$D$5=1,"Net Price (R$/kg)","Preço Líquido (R$/kg)")</f>
        <v>Preço Líquido (R$/kg)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60"/>
      <c r="V64" s="60"/>
      <c r="W64" s="60"/>
      <c r="X64" s="60"/>
    </row>
    <row r="65" spans="1:24" s="23" customFormat="1" x14ac:dyDescent="0.35">
      <c r="A65" s="11"/>
      <c r="B65" s="12" t="str">
        <f>IF(Control!$D$5=1,"International","Internacional")</f>
        <v>Internacional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2.19</v>
      </c>
      <c r="K65" s="26">
        <v>2.5099999999999998</v>
      </c>
      <c r="L65" s="26">
        <v>2.13</v>
      </c>
      <c r="M65" s="26">
        <v>2.12</v>
      </c>
      <c r="N65" s="26">
        <v>2.62</v>
      </c>
      <c r="O65" s="26">
        <v>2.63</v>
      </c>
      <c r="P65" s="26">
        <v>3.64</v>
      </c>
      <c r="Q65" s="26">
        <v>4.04</v>
      </c>
      <c r="R65" s="26">
        <v>4.1100000000000003</v>
      </c>
      <c r="S65" s="26">
        <v>4.7129322798569415</v>
      </c>
      <c r="T65" s="26">
        <v>5.61</v>
      </c>
      <c r="U65" s="65"/>
      <c r="V65" s="65"/>
      <c r="W65" s="65"/>
      <c r="X65" s="65"/>
    </row>
    <row r="66" spans="1:24" s="23" customFormat="1" x14ac:dyDescent="0.35">
      <c r="A66" s="11"/>
      <c r="B66" s="14" t="str">
        <f>IF(Control!$D$5=1,"Uruguay","Uruguai")</f>
        <v>Uruguai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1.85</v>
      </c>
      <c r="K66" s="26">
        <v>1.88</v>
      </c>
      <c r="L66" s="26">
        <v>1.6</v>
      </c>
      <c r="M66" s="26">
        <v>1.58</v>
      </c>
      <c r="N66" s="26">
        <v>1.91</v>
      </c>
      <c r="O66" s="26">
        <v>1.92</v>
      </c>
      <c r="P66" s="26">
        <v>2.69</v>
      </c>
      <c r="Q66" s="26">
        <v>3.15</v>
      </c>
      <c r="R66" s="26">
        <v>3.44</v>
      </c>
      <c r="S66" s="26">
        <v>0</v>
      </c>
      <c r="T66" s="26">
        <v>0</v>
      </c>
      <c r="U66" s="65"/>
      <c r="V66" s="65"/>
      <c r="W66" s="65"/>
      <c r="X66" s="65"/>
    </row>
    <row r="67" spans="1:24" s="23" customFormat="1" x14ac:dyDescent="0.35">
      <c r="A67" s="11"/>
      <c r="B67" s="14" t="s">
        <v>6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3.43</v>
      </c>
      <c r="K67" s="26">
        <v>4.16</v>
      </c>
      <c r="L67" s="26">
        <v>4.24</v>
      </c>
      <c r="M67" s="26">
        <v>4.2699999999999996</v>
      </c>
      <c r="N67" s="26">
        <v>5.04</v>
      </c>
      <c r="O67" s="26">
        <v>4.6900000000000004</v>
      </c>
      <c r="P67" s="26">
        <v>6.89</v>
      </c>
      <c r="Q67" s="26">
        <v>7.01</v>
      </c>
      <c r="R67" s="26">
        <v>6.55</v>
      </c>
      <c r="S67" s="26">
        <v>0</v>
      </c>
      <c r="T67" s="26">
        <v>0</v>
      </c>
      <c r="U67" s="65"/>
      <c r="V67" s="65"/>
      <c r="W67" s="65"/>
      <c r="X67" s="65"/>
    </row>
    <row r="68" spans="1:24" s="23" customFormat="1" x14ac:dyDescent="0.35">
      <c r="A68" s="11"/>
      <c r="B68" s="14" t="s">
        <v>7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2.7</v>
      </c>
      <c r="K68" s="26">
        <v>3.86</v>
      </c>
      <c r="L68" s="26">
        <v>3.64</v>
      </c>
      <c r="M68" s="26">
        <v>3.52</v>
      </c>
      <c r="N68" s="26">
        <v>4.24</v>
      </c>
      <c r="O68" s="26">
        <v>4.37</v>
      </c>
      <c r="P68" s="26">
        <v>5.98</v>
      </c>
      <c r="Q68" s="26">
        <v>6.23</v>
      </c>
      <c r="R68" s="26">
        <v>6.21</v>
      </c>
      <c r="S68" s="26">
        <v>0</v>
      </c>
      <c r="T68" s="26">
        <v>0</v>
      </c>
      <c r="U68" s="65"/>
      <c r="V68" s="65"/>
      <c r="W68" s="65"/>
      <c r="X68" s="65"/>
    </row>
    <row r="69" spans="1:24" s="23" customFormat="1" x14ac:dyDescent="0.35">
      <c r="A69" s="11"/>
      <c r="B69" s="14" t="s">
        <v>8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2.5</v>
      </c>
      <c r="L69" s="26">
        <v>2.23</v>
      </c>
      <c r="M69" s="26">
        <v>2.19</v>
      </c>
      <c r="N69" s="26">
        <v>2.3199999999999998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65"/>
      <c r="V69" s="65"/>
      <c r="W69" s="65"/>
      <c r="X69" s="65"/>
    </row>
    <row r="70" spans="1:24" s="23" customFormat="1" x14ac:dyDescent="0.35">
      <c r="A70" s="11"/>
      <c r="B70" s="14" t="s">
        <v>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26">
        <v>3.6</v>
      </c>
      <c r="R70" s="26">
        <v>3.95</v>
      </c>
      <c r="S70" s="26">
        <v>0</v>
      </c>
      <c r="T70" s="26">
        <v>0</v>
      </c>
      <c r="U70" s="65"/>
      <c r="V70" s="65"/>
      <c r="W70" s="65"/>
      <c r="X70" s="65"/>
    </row>
  </sheetData>
  <phoneticPr fontId="11" type="noConversion"/>
  <printOptions horizontalCentered="1" verticalCentered="1"/>
  <pageMargins left="0.24" right="0.24" top="0.75" bottom="0.75" header="0.31" footer="0.31"/>
  <pageSetup paperSize="9" scale="18" orientation="portrait" r:id="rId1"/>
  <ignoredErrors>
    <ignoredError sqref="R6:T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Control</vt:lpstr>
      <vt:lpstr>Quarter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Salem</dc:creator>
  <cp:lastModifiedBy>Flavio da Silveira Seabra Rios</cp:lastModifiedBy>
  <cp:lastPrinted>2017-11-01T19:41:20Z</cp:lastPrinted>
  <dcterms:created xsi:type="dcterms:W3CDTF">2017-10-06T17:23:06Z</dcterms:created>
  <dcterms:modified xsi:type="dcterms:W3CDTF">2026-01-14T14:46:22Z</dcterms:modified>
</cp:coreProperties>
</file>