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Relacoes_com_Investidores\1. Corporativo\Informacoes Financeiras\"/>
    </mc:Choice>
  </mc:AlternateContent>
  <xr:revisionPtr revIDLastSave="0" documentId="8_{869F616D-6782-4C33-B806-9898038BD251}" xr6:coauthVersionLast="47" xr6:coauthVersionMax="47" xr10:uidLastSave="{00000000-0000-0000-0000-000000000000}"/>
  <bookViews>
    <workbookView xWindow="-110" yWindow="-110" windowWidth="19420" windowHeight="10420" tabRatio="777" xr2:uid="{00000000-000D-0000-FFFF-FFFF00000000}"/>
  </bookViews>
  <sheets>
    <sheet name="Control" sheetId="2" r:id="rId1"/>
    <sheet name="P&amp;L" sheetId="1" r:id="rId2"/>
    <sheet name="BS" sheetId="3" r:id="rId3"/>
    <sheet name="P&amp;L Segments" sheetId="7" r:id="rId4"/>
    <sheet name="CF" sheetId="5" r:id="rId5"/>
    <sheet name="Support" sheetId="6" r:id="rId6"/>
  </sheets>
  <definedNames>
    <definedName name="_xlnm.Print_Area" localSheetId="2">BS!$B$2:$BT$106</definedName>
    <definedName name="_xlnm.Print_Area" localSheetId="4">CF!$B$2:$BI$73</definedName>
    <definedName name="_xlnm.Print_Area" localSheetId="1">'P&amp;L'!$B$2:$BS$61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69" i="6" l="1"/>
  <c r="BB69" i="6"/>
  <c r="BC69" i="6"/>
  <c r="BD69" i="6"/>
  <c r="BE69" i="6"/>
  <c r="BF69" i="6"/>
  <c r="BG69" i="6"/>
  <c r="BH69" i="6"/>
  <c r="BA38" i="6"/>
  <c r="BB38" i="6"/>
  <c r="BC38" i="6"/>
  <c r="BD38" i="6"/>
  <c r="BE38" i="6"/>
  <c r="BF38" i="6"/>
  <c r="BG38" i="6"/>
  <c r="BH38" i="6"/>
  <c r="BH101" i="3"/>
  <c r="BH23" i="3"/>
  <c r="BH9" i="3"/>
  <c r="B29" i="2"/>
  <c r="BH59" i="6"/>
  <c r="BH50" i="6"/>
  <c r="BH48" i="6" l="1"/>
  <c r="BG25" i="6"/>
  <c r="BH25" i="6"/>
  <c r="BH20" i="6"/>
  <c r="BH9" i="6"/>
  <c r="BH6" i="6"/>
  <c r="B50" i="5"/>
  <c r="BH72" i="5"/>
  <c r="BH67" i="5"/>
  <c r="BH55" i="5"/>
  <c r="BH38" i="5"/>
  <c r="BH45" i="5" s="1"/>
  <c r="BH71" i="5" s="1"/>
  <c r="BH73" i="5" s="1"/>
  <c r="BH31" i="5"/>
  <c r="BH28" i="5"/>
  <c r="BH6" i="5"/>
  <c r="BH81" i="7" l="1"/>
  <c r="BH82" i="7"/>
  <c r="BH83" i="7"/>
  <c r="BH84" i="7"/>
  <c r="BH85" i="7"/>
  <c r="BH86" i="7"/>
  <c r="BH87" i="7"/>
  <c r="BH78" i="7"/>
  <c r="BH48" i="7"/>
  <c r="BH28" i="7"/>
  <c r="BH34" i="7"/>
  <c r="BH33" i="7"/>
  <c r="BH36" i="7" s="1"/>
  <c r="BH32" i="7"/>
  <c r="BH45" i="7"/>
  <c r="BH44" i="7"/>
  <c r="BH42" i="7"/>
  <c r="BH41" i="7"/>
  <c r="BH39" i="7"/>
  <c r="BH6" i="7"/>
  <c r="BJ6" i="7"/>
  <c r="BH114" i="3"/>
  <c r="BH115" i="3"/>
  <c r="BH116" i="3"/>
  <c r="BH117" i="3"/>
  <c r="BH118" i="3"/>
  <c r="BH119" i="3"/>
  <c r="BH120" i="3"/>
  <c r="BH122" i="3" s="1"/>
  <c r="BH121" i="3"/>
  <c r="BH113" i="3"/>
  <c r="BH112" i="3"/>
  <c r="BH111" i="3"/>
  <c r="BH110" i="3"/>
  <c r="BH105" i="3"/>
  <c r="BH106" i="3"/>
  <c r="BH103" i="3"/>
  <c r="BH98" i="3"/>
  <c r="BH92" i="3"/>
  <c r="BG93" i="3"/>
  <c r="BG95" i="3"/>
  <c r="BH93" i="3"/>
  <c r="BH95" i="3" s="1"/>
  <c r="BH81" i="3"/>
  <c r="BH69" i="3"/>
  <c r="BH50" i="3"/>
  <c r="BH40" i="3"/>
  <c r="BH27" i="3"/>
  <c r="BH6" i="3"/>
  <c r="BI96" i="3"/>
  <c r="BG54" i="1"/>
  <c r="BG55" i="1"/>
  <c r="BG56" i="1"/>
  <c r="BG57" i="1"/>
  <c r="BG58" i="1"/>
  <c r="BG59" i="1"/>
  <c r="BG60" i="1"/>
  <c r="BG61" i="1"/>
  <c r="BG6" i="1"/>
  <c r="BF6" i="1"/>
  <c r="B58" i="5"/>
  <c r="BH108" i="3" l="1"/>
  <c r="BH109" i="3" s="1"/>
  <c r="BH25" i="3"/>
  <c r="BH48" i="3"/>
  <c r="BH40" i="7"/>
  <c r="BH43" i="7"/>
  <c r="BX67" i="5"/>
  <c r="BX55" i="5"/>
  <c r="BX38" i="5"/>
  <c r="BX31" i="5"/>
  <c r="BX28" i="5"/>
  <c r="BX6" i="5"/>
  <c r="BG67" i="5"/>
  <c r="BG55" i="5"/>
  <c r="BG38" i="5"/>
  <c r="BG31" i="5"/>
  <c r="B26" i="5"/>
  <c r="BG6" i="5"/>
  <c r="BF6" i="5"/>
  <c r="BG98" i="3"/>
  <c r="BX98" i="3" s="1"/>
  <c r="BF98" i="3"/>
  <c r="BF101" i="3" s="1"/>
  <c r="BE98" i="3"/>
  <c r="BE101" i="3" s="1"/>
  <c r="BD98" i="3"/>
  <c r="BD101" i="3" s="1"/>
  <c r="BC98" i="3"/>
  <c r="BB98" i="3"/>
  <c r="BX85" i="3"/>
  <c r="BG50" i="3"/>
  <c r="BG10" i="3"/>
  <c r="BX10" i="3" s="1"/>
  <c r="BG23" i="3"/>
  <c r="BX23" i="3" s="1"/>
  <c r="BX92" i="3"/>
  <c r="BX91" i="3"/>
  <c r="BX90" i="3"/>
  <c r="BX89" i="3"/>
  <c r="BX88" i="3"/>
  <c r="BX87" i="3"/>
  <c r="BX86" i="3"/>
  <c r="BX84" i="3"/>
  <c r="BX83" i="3"/>
  <c r="BX77" i="3"/>
  <c r="BX76" i="3"/>
  <c r="BX75" i="3"/>
  <c r="BX74" i="3"/>
  <c r="BX73" i="3"/>
  <c r="BX72" i="3"/>
  <c r="BX71" i="3"/>
  <c r="BX70" i="3"/>
  <c r="BX67" i="3"/>
  <c r="BX66" i="3"/>
  <c r="BX65" i="3"/>
  <c r="BX64" i="3"/>
  <c r="BX63" i="3"/>
  <c r="BX62" i="3"/>
  <c r="BX61" i="3"/>
  <c r="BX60" i="3"/>
  <c r="BX59" i="3"/>
  <c r="BX58" i="3"/>
  <c r="BX57" i="3"/>
  <c r="BX56" i="3"/>
  <c r="BX55" i="3"/>
  <c r="BX54" i="3"/>
  <c r="BX53" i="3"/>
  <c r="BX52" i="3"/>
  <c r="BX51" i="3"/>
  <c r="BX44" i="3"/>
  <c r="BX43" i="3"/>
  <c r="BX42" i="3"/>
  <c r="BX41" i="3"/>
  <c r="BX38" i="3"/>
  <c r="BX37" i="3"/>
  <c r="BX36" i="3"/>
  <c r="BX35" i="3"/>
  <c r="BX34" i="3"/>
  <c r="BX33" i="3"/>
  <c r="BX32" i="3"/>
  <c r="BX31" i="3"/>
  <c r="BX30" i="3"/>
  <c r="BX29" i="3"/>
  <c r="BX28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79" i="3"/>
  <c r="BX78" i="3"/>
  <c r="BG59" i="6"/>
  <c r="BG50" i="6"/>
  <c r="BX51" i="6"/>
  <c r="BX50" i="6"/>
  <c r="BX59" i="6"/>
  <c r="BX25" i="6"/>
  <c r="BX20" i="6"/>
  <c r="BX17" i="6"/>
  <c r="BX16" i="6"/>
  <c r="BX14" i="6"/>
  <c r="BX13" i="6"/>
  <c r="BX12" i="6"/>
  <c r="BX11" i="6"/>
  <c r="BX10" i="6"/>
  <c r="BX7" i="6"/>
  <c r="BX6" i="6"/>
  <c r="BG20" i="6"/>
  <c r="BF20" i="6"/>
  <c r="BG6" i="6"/>
  <c r="BF6" i="6"/>
  <c r="BC6" i="6"/>
  <c r="BG9" i="6"/>
  <c r="BX9" i="6" s="1"/>
  <c r="BF9" i="6"/>
  <c r="BR81" i="7"/>
  <c r="BR87" i="7"/>
  <c r="BR86" i="7"/>
  <c r="BR84" i="7"/>
  <c r="BR83" i="7"/>
  <c r="BR77" i="7"/>
  <c r="BR76" i="7"/>
  <c r="BR75" i="7"/>
  <c r="BR74" i="7"/>
  <c r="BR45" i="7"/>
  <c r="BR44" i="7"/>
  <c r="BR42" i="7"/>
  <c r="BR41" i="7"/>
  <c r="BR39" i="7"/>
  <c r="BR34" i="7"/>
  <c r="BR33" i="7"/>
  <c r="BR32" i="7"/>
  <c r="BG48" i="7"/>
  <c r="BG83" i="7"/>
  <c r="BG87" i="7"/>
  <c r="BG86" i="7"/>
  <c r="BG84" i="7"/>
  <c r="BG81" i="7"/>
  <c r="BG41" i="7"/>
  <c r="BG39" i="7"/>
  <c r="BF28" i="7"/>
  <c r="BG6" i="7"/>
  <c r="BG76" i="7"/>
  <c r="BG75" i="7"/>
  <c r="BG74" i="7"/>
  <c r="BG78" i="7" s="1"/>
  <c r="BG45" i="7"/>
  <c r="BG44" i="7"/>
  <c r="BG42" i="7"/>
  <c r="BG34" i="7"/>
  <c r="BG33" i="7"/>
  <c r="BG32" i="7"/>
  <c r="BG6" i="3"/>
  <c r="BG121" i="3"/>
  <c r="BX121" i="3" s="1"/>
  <c r="BG118" i="3"/>
  <c r="BG116" i="3"/>
  <c r="BX116" i="3" s="1"/>
  <c r="BG114" i="3"/>
  <c r="BX114" i="3" s="1"/>
  <c r="BG112" i="3"/>
  <c r="BG111" i="3"/>
  <c r="BX111" i="3" s="1"/>
  <c r="BG69" i="3"/>
  <c r="BX69" i="3" s="1"/>
  <c r="BG40" i="3"/>
  <c r="BX40" i="3" s="1"/>
  <c r="BG27" i="3"/>
  <c r="BW54" i="1"/>
  <c r="BW31" i="1"/>
  <c r="BW26" i="1"/>
  <c r="BW15" i="1"/>
  <c r="BW17" i="1" s="1"/>
  <c r="BW46" i="1"/>
  <c r="BW45" i="1"/>
  <c r="BW36" i="1"/>
  <c r="BF54" i="1"/>
  <c r="BF31" i="1"/>
  <c r="BF46" i="1" s="1"/>
  <c r="BE31" i="1"/>
  <c r="BF26" i="1"/>
  <c r="BF45" i="1" s="1"/>
  <c r="BE26" i="1"/>
  <c r="BF15" i="1"/>
  <c r="BE15" i="1"/>
  <c r="BE17" i="1" s="1"/>
  <c r="BF59" i="6"/>
  <c r="BF72" i="5"/>
  <c r="BF67" i="5"/>
  <c r="BF55" i="5"/>
  <c r="BF38" i="5"/>
  <c r="BF31" i="5"/>
  <c r="BF28" i="5"/>
  <c r="BF81" i="7"/>
  <c r="BF83" i="7"/>
  <c r="BF84" i="7"/>
  <c r="BF86" i="7"/>
  <c r="BF87" i="7"/>
  <c r="BF74" i="7"/>
  <c r="BF75" i="7"/>
  <c r="BF76" i="7"/>
  <c r="BF48" i="7"/>
  <c r="BF39" i="7"/>
  <c r="BF41" i="7"/>
  <c r="BF42" i="7"/>
  <c r="BF44" i="7"/>
  <c r="BF45" i="7"/>
  <c r="BF32" i="7"/>
  <c r="BF33" i="7"/>
  <c r="BF34" i="7"/>
  <c r="BR78" i="7" l="1"/>
  <c r="BR85" i="7" s="1"/>
  <c r="BG120" i="3"/>
  <c r="BX120" i="3" s="1"/>
  <c r="BG9" i="3"/>
  <c r="BX9" i="3" s="1"/>
  <c r="BG101" i="3"/>
  <c r="BX101" i="3" s="1"/>
  <c r="BW58" i="1"/>
  <c r="BW22" i="1"/>
  <c r="BW25" i="1" s="1"/>
  <c r="BG85" i="7"/>
  <c r="BF78" i="7"/>
  <c r="BF17" i="1"/>
  <c r="BG108" i="3"/>
  <c r="BG119" i="3"/>
  <c r="BX119" i="3" s="1"/>
  <c r="BX118" i="3"/>
  <c r="BX45" i="5"/>
  <c r="BX71" i="5" s="1"/>
  <c r="BX93" i="3"/>
  <c r="BG81" i="3"/>
  <c r="BX50" i="3"/>
  <c r="BG25" i="3"/>
  <c r="BX25" i="3" s="1"/>
  <c r="BX27" i="3"/>
  <c r="BG122" i="3"/>
  <c r="BX122" i="3" s="1"/>
  <c r="BX112" i="3"/>
  <c r="BG115" i="3"/>
  <c r="BX115" i="3" s="1"/>
  <c r="BG48" i="6"/>
  <c r="BX48" i="6"/>
  <c r="BW30" i="1"/>
  <c r="BW60" i="1"/>
  <c r="BF85" i="7"/>
  <c r="BF36" i="7"/>
  <c r="BF43" i="7" s="1"/>
  <c r="BF45" i="5"/>
  <c r="BF71" i="5" s="1"/>
  <c r="BF73" i="5" s="1"/>
  <c r="BF50" i="6"/>
  <c r="BF48" i="6" s="1"/>
  <c r="BF25" i="6"/>
  <c r="BG48" i="3" l="1"/>
  <c r="BX48" i="3" s="1"/>
  <c r="BX95" i="3"/>
  <c r="BF22" i="1"/>
  <c r="BF25" i="1" s="1"/>
  <c r="BF58" i="1"/>
  <c r="BX81" i="3"/>
  <c r="BX108" i="3"/>
  <c r="BW34" i="1"/>
  <c r="BW61" i="1" s="1"/>
  <c r="BF30" i="1" l="1"/>
  <c r="BF34" i="1" s="1"/>
  <c r="BF60" i="1"/>
  <c r="BW37" i="1"/>
  <c r="BW40" i="1" s="1"/>
  <c r="BW39" i="1"/>
  <c r="BW44" i="1"/>
  <c r="BW48" i="1" l="1"/>
  <c r="BW59" i="1" s="1"/>
  <c r="BF37" i="1"/>
  <c r="BF40" i="1" s="1"/>
  <c r="BF44" i="1"/>
  <c r="BF48" i="1" s="1"/>
  <c r="BF39" i="1"/>
  <c r="BF61" i="1"/>
  <c r="BF6" i="7"/>
  <c r="BF111" i="3"/>
  <c r="BF112" i="3"/>
  <c r="BF114" i="3"/>
  <c r="BF116" i="3"/>
  <c r="BF118" i="3"/>
  <c r="BF120" i="3"/>
  <c r="BF121" i="3"/>
  <c r="BF59" i="1" l="1"/>
  <c r="BF51" i="1"/>
  <c r="BF122" i="3"/>
  <c r="BF108" i="3"/>
  <c r="BF115" i="3"/>
  <c r="BF119" i="3"/>
  <c r="BF93" i="3" l="1"/>
  <c r="BF6" i="3"/>
  <c r="BE54" i="1"/>
  <c r="BE58" i="1"/>
  <c r="BE45" i="1"/>
  <c r="BE46" i="1"/>
  <c r="BE22" i="1"/>
  <c r="BE25" i="1" s="1"/>
  <c r="BE30" i="1" s="1"/>
  <c r="BE34" i="1" s="1"/>
  <c r="BE37" i="1" s="1"/>
  <c r="BE40" i="1" s="1"/>
  <c r="BE6" i="1"/>
  <c r="BE44" i="1" l="1"/>
  <c r="BE48" i="1" s="1"/>
  <c r="BE39" i="1"/>
  <c r="BE61" i="1"/>
  <c r="BE60" i="1"/>
  <c r="BF69" i="3"/>
  <c r="BF50" i="3"/>
  <c r="BF40" i="3"/>
  <c r="BF27" i="3"/>
  <c r="BF9" i="3"/>
  <c r="BF81" i="3" l="1"/>
  <c r="BF95" i="3" s="1"/>
  <c r="BE59" i="1"/>
  <c r="BE51" i="1"/>
  <c r="BF48" i="3"/>
  <c r="BF25" i="3"/>
  <c r="BE59" i="6" l="1"/>
  <c r="BE50" i="6"/>
  <c r="BE25" i="6"/>
  <c r="BE20" i="6"/>
  <c r="BE9" i="6"/>
  <c r="BE6" i="6"/>
  <c r="BE67" i="5"/>
  <c r="BE55" i="5"/>
  <c r="BE38" i="5"/>
  <c r="BE31" i="5"/>
  <c r="BE28" i="5"/>
  <c r="BE6" i="5"/>
  <c r="BE86" i="7"/>
  <c r="BE84" i="7"/>
  <c r="BE83" i="7"/>
  <c r="BE81" i="7"/>
  <c r="BE77" i="7"/>
  <c r="BE76" i="7"/>
  <c r="BE75" i="7"/>
  <c r="BE63" i="7"/>
  <c r="BE87" i="7" s="1"/>
  <c r="BE48" i="6" l="1"/>
  <c r="BE45" i="5"/>
  <c r="BE71" i="5" s="1"/>
  <c r="BE74" i="7"/>
  <c r="BE78" i="7" s="1"/>
  <c r="BE85" i="7" l="1"/>
  <c r="BE48" i="7" l="1"/>
  <c r="BE45" i="7"/>
  <c r="BE44" i="7"/>
  <c r="BE42" i="7"/>
  <c r="BE41" i="7"/>
  <c r="BE39" i="7"/>
  <c r="BE35" i="7"/>
  <c r="BE34" i="7"/>
  <c r="BE33" i="7"/>
  <c r="BE32" i="7"/>
  <c r="BE6" i="7"/>
  <c r="BE121" i="3"/>
  <c r="BE118" i="3"/>
  <c r="BE116" i="3"/>
  <c r="BE114" i="3"/>
  <c r="BE112" i="3"/>
  <c r="BE111" i="3"/>
  <c r="BE93" i="3"/>
  <c r="BE69" i="3"/>
  <c r="BE50" i="3"/>
  <c r="BE40" i="3"/>
  <c r="BE27" i="3"/>
  <c r="BE9" i="3"/>
  <c r="BE6" i="3"/>
  <c r="BD54" i="1"/>
  <c r="BD31" i="1"/>
  <c r="BD46" i="1" s="1"/>
  <c r="BD26" i="1"/>
  <c r="BD45" i="1" s="1"/>
  <c r="BD12" i="1"/>
  <c r="BD15" i="1" s="1"/>
  <c r="BD6" i="1"/>
  <c r="BE48" i="3" l="1"/>
  <c r="BE81" i="3"/>
  <c r="BE95" i="3" s="1"/>
  <c r="BE119" i="3"/>
  <c r="BE120" i="3"/>
  <c r="BE122" i="3" s="1"/>
  <c r="BE115" i="3"/>
  <c r="BE36" i="7"/>
  <c r="BE25" i="3"/>
  <c r="BD17" i="1"/>
  <c r="BD22" i="1" s="1"/>
  <c r="BE108" i="3" l="1"/>
  <c r="BE43" i="7"/>
  <c r="BD25" i="1"/>
  <c r="BD58" i="1"/>
  <c r="BD60" i="1" l="1"/>
  <c r="BD30" i="1"/>
  <c r="BD34" i="1" s="1"/>
  <c r="BD61" i="1" l="1"/>
  <c r="BD44" i="1"/>
  <c r="BD48" i="1" s="1"/>
  <c r="BD37" i="1"/>
  <c r="BD40" i="1" s="1"/>
  <c r="BD39" i="1"/>
  <c r="BD51" i="1" l="1"/>
  <c r="BD59" i="1"/>
  <c r="BD59" i="6" l="1"/>
  <c r="BD50" i="6"/>
  <c r="BD36" i="6"/>
  <c r="BD25" i="6" s="1"/>
  <c r="BD20" i="6"/>
  <c r="BD9" i="6"/>
  <c r="BD6" i="6"/>
  <c r="BD6" i="5"/>
  <c r="BD57" i="5"/>
  <c r="BD67" i="5" s="1"/>
  <c r="BD55" i="5"/>
  <c r="BD38" i="5"/>
  <c r="BD31" i="5"/>
  <c r="BD20" i="5"/>
  <c r="BD28" i="5" s="1"/>
  <c r="BD45" i="5" s="1"/>
  <c r="BD71" i="5" l="1"/>
  <c r="BD48" i="6"/>
  <c r="BD86" i="7" l="1"/>
  <c r="BD84" i="7"/>
  <c r="BD83" i="7"/>
  <c r="BD81" i="7"/>
  <c r="BD77" i="7"/>
  <c r="BD76" i="7"/>
  <c r="BD75" i="7"/>
  <c r="BD63" i="7"/>
  <c r="BD87" i="7" s="1"/>
  <c r="BD48" i="7"/>
  <c r="BD39" i="7"/>
  <c r="BD41" i="7"/>
  <c r="BD42" i="7"/>
  <c r="BD44" i="7"/>
  <c r="BC35" i="7"/>
  <c r="BD33" i="7"/>
  <c r="BD34" i="7"/>
  <c r="BD35" i="7"/>
  <c r="BG35" i="7" s="1"/>
  <c r="BD21" i="7"/>
  <c r="BD32" i="7" s="1"/>
  <c r="BD6" i="7"/>
  <c r="BD93" i="3"/>
  <c r="BD69" i="3"/>
  <c r="BD120" i="3"/>
  <c r="BD121" i="3"/>
  <c r="BD118" i="3"/>
  <c r="BD116" i="3"/>
  <c r="BD114" i="3"/>
  <c r="BD112" i="3"/>
  <c r="BD111" i="3"/>
  <c r="BD50" i="3"/>
  <c r="BD40" i="3"/>
  <c r="BD27" i="3"/>
  <c r="BD9" i="3"/>
  <c r="BD6" i="3"/>
  <c r="BC54" i="1"/>
  <c r="BC31" i="1"/>
  <c r="BC46" i="1" s="1"/>
  <c r="BC26" i="1"/>
  <c r="BC45" i="1" s="1"/>
  <c r="BC12" i="1"/>
  <c r="BC15" i="1" s="1"/>
  <c r="BG110" i="3" s="1"/>
  <c r="BC6" i="1"/>
  <c r="BD45" i="7" l="1"/>
  <c r="BX110" i="3"/>
  <c r="BG117" i="3"/>
  <c r="BX117" i="3" s="1"/>
  <c r="BG113" i="3"/>
  <c r="BX113" i="3" s="1"/>
  <c r="BG109" i="3"/>
  <c r="BX109" i="3" s="1"/>
  <c r="BG28" i="7"/>
  <c r="BG36" i="7"/>
  <c r="BD74" i="7"/>
  <c r="BD78" i="7" s="1"/>
  <c r="BD85" i="7" s="1"/>
  <c r="BD115" i="3"/>
  <c r="BD119" i="3"/>
  <c r="BD36" i="7"/>
  <c r="BD43" i="7" s="1"/>
  <c r="BD81" i="3"/>
  <c r="BD95" i="3" s="1"/>
  <c r="BD48" i="3"/>
  <c r="BD25" i="3"/>
  <c r="BD122" i="3"/>
  <c r="BD108" i="3"/>
  <c r="BC17" i="1"/>
  <c r="BG43" i="7" l="1"/>
  <c r="BC58" i="1"/>
  <c r="BC22" i="1"/>
  <c r="BC25" i="1" s="1"/>
  <c r="BC30" i="1" l="1"/>
  <c r="BC34" i="1" s="1"/>
  <c r="BC60" i="1"/>
  <c r="BC44" i="1" l="1"/>
  <c r="BC48" i="1" s="1"/>
  <c r="BG103" i="3" s="1"/>
  <c r="BC37" i="1"/>
  <c r="BC40" i="1" s="1"/>
  <c r="BC39" i="1"/>
  <c r="BC61" i="1"/>
  <c r="BW59" i="6"/>
  <c r="BW50" i="6"/>
  <c r="BW25" i="6"/>
  <c r="BW20" i="6"/>
  <c r="BW10" i="6"/>
  <c r="BW11" i="6"/>
  <c r="BW12" i="6"/>
  <c r="BW13" i="6"/>
  <c r="BW14" i="6"/>
  <c r="BW16" i="6"/>
  <c r="BW17" i="6"/>
  <c r="BW7" i="6"/>
  <c r="BW6" i="6"/>
  <c r="BC59" i="6"/>
  <c r="BC50" i="6"/>
  <c r="BC25" i="6"/>
  <c r="BC20" i="6"/>
  <c r="BC9" i="6"/>
  <c r="BW9" i="6" s="1"/>
  <c r="BW67" i="5"/>
  <c r="BW55" i="5"/>
  <c r="BW38" i="5"/>
  <c r="BW31" i="5"/>
  <c r="BW28" i="5"/>
  <c r="BC67" i="5"/>
  <c r="BC55" i="5"/>
  <c r="BC38" i="5"/>
  <c r="BC31" i="5"/>
  <c r="BC20" i="5"/>
  <c r="BC28" i="5" s="1"/>
  <c r="BQ81" i="7"/>
  <c r="BQ83" i="7"/>
  <c r="BQ84" i="7"/>
  <c r="BQ86" i="7"/>
  <c r="BQ75" i="7"/>
  <c r="BQ76" i="7"/>
  <c r="BQ70" i="7"/>
  <c r="BQ77" i="7" s="1"/>
  <c r="BQ63" i="7"/>
  <c r="BQ87" i="7" s="1"/>
  <c r="BQ39" i="7"/>
  <c r="BQ41" i="7"/>
  <c r="BQ42" i="7"/>
  <c r="BQ44" i="7"/>
  <c r="BQ33" i="7"/>
  <c r="BQ34" i="7"/>
  <c r="BQ35" i="7"/>
  <c r="BQ21" i="7"/>
  <c r="BQ32" i="7" s="1"/>
  <c r="BC63" i="7"/>
  <c r="BC87" i="7" s="1"/>
  <c r="BC86" i="7"/>
  <c r="BC84" i="7"/>
  <c r="BC83" i="7"/>
  <c r="BC81" i="7"/>
  <c r="BC77" i="7"/>
  <c r="BC76" i="7"/>
  <c r="BC75" i="7"/>
  <c r="BC48" i="7"/>
  <c r="BC44" i="7"/>
  <c r="BC42" i="7"/>
  <c r="BC41" i="7"/>
  <c r="BC39" i="7"/>
  <c r="BC34" i="7"/>
  <c r="BC33" i="7"/>
  <c r="BC21" i="7"/>
  <c r="BC45" i="7" s="1"/>
  <c r="BC6" i="7"/>
  <c r="BC121" i="3"/>
  <c r="BW121" i="3" s="1"/>
  <c r="BC23" i="3"/>
  <c r="BW23" i="3" s="1"/>
  <c r="BW10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8" i="3"/>
  <c r="BW29" i="3"/>
  <c r="BW30" i="3"/>
  <c r="BW31" i="3"/>
  <c r="BW32" i="3"/>
  <c r="BW33" i="3"/>
  <c r="BW34" i="3"/>
  <c r="BW35" i="3"/>
  <c r="BW36" i="3"/>
  <c r="BW37" i="3"/>
  <c r="BW38" i="3"/>
  <c r="BW41" i="3"/>
  <c r="BW42" i="3"/>
  <c r="BW43" i="3"/>
  <c r="BW44" i="3"/>
  <c r="BW51" i="3"/>
  <c r="BW52" i="3"/>
  <c r="BW53" i="3"/>
  <c r="BW54" i="3"/>
  <c r="BW55" i="3"/>
  <c r="BW56" i="3"/>
  <c r="BW57" i="3"/>
  <c r="BW58" i="3"/>
  <c r="BW59" i="3"/>
  <c r="BW60" i="3"/>
  <c r="BW61" i="3"/>
  <c r="BW62" i="3"/>
  <c r="BW63" i="3"/>
  <c r="BW64" i="3"/>
  <c r="BW65" i="3"/>
  <c r="BW66" i="3"/>
  <c r="BW67" i="3"/>
  <c r="BW70" i="3"/>
  <c r="BW71" i="3"/>
  <c r="BW72" i="3"/>
  <c r="BW73" i="3"/>
  <c r="BW74" i="3"/>
  <c r="BW75" i="3"/>
  <c r="BW76" i="3"/>
  <c r="BW77" i="3"/>
  <c r="BW78" i="3"/>
  <c r="BW79" i="3"/>
  <c r="BW83" i="3"/>
  <c r="BW84" i="3"/>
  <c r="BW85" i="3"/>
  <c r="BW86" i="3"/>
  <c r="BW87" i="3"/>
  <c r="BW88" i="3"/>
  <c r="BW89" i="3"/>
  <c r="BW90" i="3"/>
  <c r="BW91" i="3"/>
  <c r="BC111" i="3"/>
  <c r="BC112" i="3"/>
  <c r="BW112" i="3" s="1"/>
  <c r="BC114" i="3"/>
  <c r="BC116" i="3"/>
  <c r="BW116" i="3" s="1"/>
  <c r="BC118" i="3"/>
  <c r="BW118" i="3" s="1"/>
  <c r="BC101" i="3"/>
  <c r="BW101" i="3" s="1"/>
  <c r="BW92" i="3"/>
  <c r="BC119" i="3" l="1"/>
  <c r="BW119" i="3" s="1"/>
  <c r="BQ45" i="7"/>
  <c r="BW98" i="3"/>
  <c r="BG105" i="3"/>
  <c r="BX105" i="3" s="1"/>
  <c r="BX103" i="3"/>
  <c r="BG106" i="3"/>
  <c r="BX106" i="3" s="1"/>
  <c r="BW45" i="5"/>
  <c r="BW71" i="5" s="1"/>
  <c r="BC120" i="3"/>
  <c r="BW120" i="3" s="1"/>
  <c r="BC93" i="3"/>
  <c r="BW93" i="3" s="1"/>
  <c r="BC45" i="5"/>
  <c r="BQ36" i="7"/>
  <c r="BQ43" i="7" s="1"/>
  <c r="BC71" i="5"/>
  <c r="BC51" i="1"/>
  <c r="BW51" i="1" s="1"/>
  <c r="BC59" i="1"/>
  <c r="BQ74" i="7"/>
  <c r="BQ78" i="7" s="1"/>
  <c r="BR82" i="7" s="1"/>
  <c r="BW114" i="3"/>
  <c r="BW111" i="3"/>
  <c r="BC115" i="3"/>
  <c r="BW115" i="3" s="1"/>
  <c r="BW48" i="6"/>
  <c r="BC48" i="6"/>
  <c r="BC74" i="7"/>
  <c r="BC78" i="7"/>
  <c r="BG82" i="7" s="1"/>
  <c r="BC32" i="7"/>
  <c r="BC36" i="7" s="1"/>
  <c r="BG40" i="7" s="1"/>
  <c r="BC108" i="3" l="1"/>
  <c r="BW108" i="3" s="1"/>
  <c r="BC122" i="3"/>
  <c r="BW122" i="3" s="1"/>
  <c r="BQ85" i="7"/>
  <c r="BC85" i="7"/>
  <c r="BC43" i="7"/>
  <c r="BC69" i="3" l="1"/>
  <c r="BW69" i="3" s="1"/>
  <c r="BC50" i="3"/>
  <c r="BW50" i="3" s="1"/>
  <c r="BC40" i="3"/>
  <c r="BW40" i="3" s="1"/>
  <c r="BC27" i="3"/>
  <c r="BW27" i="3" s="1"/>
  <c r="BC81" i="3" l="1"/>
  <c r="BC25" i="3"/>
  <c r="BW25" i="3" s="1"/>
  <c r="BC9" i="3"/>
  <c r="BC6" i="3"/>
  <c r="BB6" i="3"/>
  <c r="BW81" i="3" l="1"/>
  <c r="BC95" i="3"/>
  <c r="BW95" i="3" s="1"/>
  <c r="BW9" i="3"/>
  <c r="BC48" i="3"/>
  <c r="BW48" i="3" s="1"/>
  <c r="BV54" i="1"/>
  <c r="BV31" i="1"/>
  <c r="BV46" i="1" s="1"/>
  <c r="BV26" i="1"/>
  <c r="BV45" i="1" s="1"/>
  <c r="BV12" i="1"/>
  <c r="BV15" i="1" s="1"/>
  <c r="BW55" i="1" s="1"/>
  <c r="BB54" i="1"/>
  <c r="BB31" i="1"/>
  <c r="BB46" i="1" s="1"/>
  <c r="BB26" i="1"/>
  <c r="BB45" i="1" s="1"/>
  <c r="BB12" i="1"/>
  <c r="BB15" i="1" s="1"/>
  <c r="BB6" i="1"/>
  <c r="BF110" i="3" l="1"/>
  <c r="BF117" i="3" s="1"/>
  <c r="BF55" i="1"/>
  <c r="BF113" i="3"/>
  <c r="BF109" i="3"/>
  <c r="BB17" i="1"/>
  <c r="BV17" i="1"/>
  <c r="BB67" i="5"/>
  <c r="BB55" i="5"/>
  <c r="BB38" i="5"/>
  <c r="BB31" i="5"/>
  <c r="BB21" i="5"/>
  <c r="BB28" i="5" s="1"/>
  <c r="BB6" i="5"/>
  <c r="BB45" i="5" l="1"/>
  <c r="BB71" i="5" s="1"/>
  <c r="BB58" i="1"/>
  <c r="BB22" i="1"/>
  <c r="BB25" i="1" s="1"/>
  <c r="BF57" i="1" s="1"/>
  <c r="BV58" i="1"/>
  <c r="BV22" i="1"/>
  <c r="BV25" i="1" s="1"/>
  <c r="BW57" i="1" s="1"/>
  <c r="BB9" i="6"/>
  <c r="BB6" i="6"/>
  <c r="BB59" i="6"/>
  <c r="BB50" i="6"/>
  <c r="BB20" i="6"/>
  <c r="BB77" i="7"/>
  <c r="BB76" i="7"/>
  <c r="BB75" i="7"/>
  <c r="BB74" i="7"/>
  <c r="BB34" i="7"/>
  <c r="B33" i="7"/>
  <c r="BB35" i="7"/>
  <c r="BB33" i="7"/>
  <c r="BB21" i="7"/>
  <c r="BB45" i="7" s="1"/>
  <c r="BB93" i="3"/>
  <c r="BB120" i="3"/>
  <c r="BA9" i="3"/>
  <c r="BB9" i="3"/>
  <c r="BB121" i="3"/>
  <c r="BB118" i="3"/>
  <c r="BB116" i="3"/>
  <c r="BB114" i="3"/>
  <c r="BB112" i="3"/>
  <c r="BB111" i="3"/>
  <c r="BB119" i="3" s="1"/>
  <c r="BB69" i="3"/>
  <c r="BB50" i="3"/>
  <c r="BB40" i="3"/>
  <c r="BB27" i="3"/>
  <c r="BA12" i="1"/>
  <c r="BA15" i="1" s="1"/>
  <c r="BA6" i="1"/>
  <c r="BA54" i="1"/>
  <c r="BA31" i="1"/>
  <c r="BA46" i="1" s="1"/>
  <c r="BA26" i="1"/>
  <c r="BA45" i="1" s="1"/>
  <c r="BB6" i="7"/>
  <c r="BB48" i="7" s="1"/>
  <c r="BB87" i="7"/>
  <c r="BB86" i="7"/>
  <c r="BB84" i="7"/>
  <c r="BB83" i="7"/>
  <c r="BB81" i="7"/>
  <c r="BB49" i="7"/>
  <c r="BB44" i="7"/>
  <c r="BB42" i="7"/>
  <c r="BB41" i="7"/>
  <c r="BB39" i="7"/>
  <c r="BB78" i="7" l="1"/>
  <c r="BF82" i="7" s="1"/>
  <c r="BE55" i="1"/>
  <c r="BE110" i="3"/>
  <c r="BV60" i="1"/>
  <c r="BV30" i="1"/>
  <c r="BV34" i="1" s="1"/>
  <c r="BB32" i="7"/>
  <c r="BB36" i="7" s="1"/>
  <c r="BF40" i="7" s="1"/>
  <c r="BB60" i="1"/>
  <c r="BB30" i="1"/>
  <c r="BB34" i="1" s="1"/>
  <c r="BB48" i="6"/>
  <c r="BB81" i="3"/>
  <c r="BB95" i="3" s="1"/>
  <c r="BB96" i="3" s="1"/>
  <c r="BB25" i="3"/>
  <c r="BB48" i="3"/>
  <c r="BB122" i="3"/>
  <c r="BB108" i="3"/>
  <c r="BB115" i="3"/>
  <c r="BB101" i="3"/>
  <c r="BA17" i="1"/>
  <c r="BA22" i="1" s="1"/>
  <c r="BA25" i="1" s="1"/>
  <c r="BE57" i="1" s="1"/>
  <c r="BB85" i="7"/>
  <c r="BA59" i="6"/>
  <c r="BA50" i="6"/>
  <c r="BA20" i="6"/>
  <c r="BA9" i="6"/>
  <c r="BA6" i="6"/>
  <c r="BA67" i="5"/>
  <c r="BA55" i="5"/>
  <c r="BA38" i="5"/>
  <c r="BA31" i="5"/>
  <c r="BA28" i="5"/>
  <c r="BA6" i="5"/>
  <c r="BA81" i="7"/>
  <c r="BA83" i="7"/>
  <c r="BA84" i="7"/>
  <c r="BA86" i="7"/>
  <c r="BA87" i="7"/>
  <c r="BA78" i="7"/>
  <c r="BA49" i="7"/>
  <c r="BA39" i="7"/>
  <c r="BA41" i="7"/>
  <c r="BA42" i="7"/>
  <c r="BA44" i="7"/>
  <c r="BA36" i="7"/>
  <c r="BA21" i="7"/>
  <c r="BA45" i="7" s="1"/>
  <c r="BA6" i="7"/>
  <c r="BA48" i="7" s="1"/>
  <c r="BA93" i="3"/>
  <c r="BA40" i="3"/>
  <c r="BA121" i="3"/>
  <c r="BA118" i="3"/>
  <c r="BA112" i="3"/>
  <c r="BA111" i="3"/>
  <c r="BA98" i="3"/>
  <c r="BA69" i="3"/>
  <c r="BA50" i="3"/>
  <c r="BA27" i="3"/>
  <c r="BA25" i="3" s="1"/>
  <c r="BA116" i="3"/>
  <c r="BA114" i="3"/>
  <c r="BA6" i="3"/>
  <c r="AZ6" i="3"/>
  <c r="AZ6" i="1"/>
  <c r="AZ54" i="1"/>
  <c r="AZ31" i="1"/>
  <c r="AZ46" i="1" s="1"/>
  <c r="AZ26" i="1"/>
  <c r="AZ45" i="1" s="1"/>
  <c r="AZ12" i="1"/>
  <c r="AZ15" i="1" s="1"/>
  <c r="BE117" i="3" l="1"/>
  <c r="BE113" i="3"/>
  <c r="BE109" i="3"/>
  <c r="BB43" i="7"/>
  <c r="BA43" i="7"/>
  <c r="BE40" i="7"/>
  <c r="BA85" i="7"/>
  <c r="BE82" i="7"/>
  <c r="BD110" i="3"/>
  <c r="BD113" i="3" s="1"/>
  <c r="BD55" i="1"/>
  <c r="BA45" i="5"/>
  <c r="BA71" i="5" s="1"/>
  <c r="BB61" i="1"/>
  <c r="BB44" i="1"/>
  <c r="BB48" i="1" s="1"/>
  <c r="BB39" i="1"/>
  <c r="BB37" i="1"/>
  <c r="BB40" i="1" s="1"/>
  <c r="BV44" i="1"/>
  <c r="BV48" i="1" s="1"/>
  <c r="BW56" i="1" s="1"/>
  <c r="BV61" i="1"/>
  <c r="BV37" i="1"/>
  <c r="BV40" i="1" s="1"/>
  <c r="BV39" i="1"/>
  <c r="BA58" i="1"/>
  <c r="BA48" i="6"/>
  <c r="BA119" i="3"/>
  <c r="BA81" i="3"/>
  <c r="BA95" i="3" s="1"/>
  <c r="BA115" i="3"/>
  <c r="BA101" i="3"/>
  <c r="AZ17" i="1"/>
  <c r="BJ38" i="5"/>
  <c r="BK38" i="5"/>
  <c r="BL38" i="5"/>
  <c r="BM38" i="5"/>
  <c r="BN38" i="5"/>
  <c r="BO38" i="5"/>
  <c r="BP38" i="5"/>
  <c r="BQ38" i="5"/>
  <c r="BR38" i="5"/>
  <c r="BS38" i="5"/>
  <c r="BT38" i="5"/>
  <c r="BU38" i="5"/>
  <c r="BT57" i="5"/>
  <c r="BT67" i="5" s="1"/>
  <c r="BU57" i="5"/>
  <c r="BF103" i="3" l="1"/>
  <c r="BF105" i="3" s="1"/>
  <c r="BF56" i="1"/>
  <c r="BD109" i="3"/>
  <c r="BD117" i="3"/>
  <c r="BB51" i="1"/>
  <c r="BB59" i="1"/>
  <c r="BV59" i="1"/>
  <c r="BV51" i="1"/>
  <c r="BA30" i="1"/>
  <c r="BA34" i="1" s="1"/>
  <c r="BA60" i="1"/>
  <c r="AZ22" i="1"/>
  <c r="AZ25" i="1" s="1"/>
  <c r="BD57" i="1" s="1"/>
  <c r="AZ58" i="1"/>
  <c r="BU28" i="5"/>
  <c r="BU31" i="5"/>
  <c r="BU67" i="5"/>
  <c r="AY55" i="5"/>
  <c r="AZ55" i="5"/>
  <c r="AZ38" i="5"/>
  <c r="AY38" i="5"/>
  <c r="BV38" i="5"/>
  <c r="BF106" i="3" l="1"/>
  <c r="BA39" i="1"/>
  <c r="BA37" i="1"/>
  <c r="BA40" i="1" s="1"/>
  <c r="BA61" i="1"/>
  <c r="BA44" i="1"/>
  <c r="BA48" i="1" s="1"/>
  <c r="AZ60" i="1"/>
  <c r="AZ30" i="1"/>
  <c r="AZ34" i="1" s="1"/>
  <c r="AZ67" i="5"/>
  <c r="AZ31" i="5"/>
  <c r="AZ28" i="5"/>
  <c r="BE103" i="3" l="1"/>
  <c r="BE105" i="3" s="1"/>
  <c r="BE56" i="1"/>
  <c r="AZ45" i="5"/>
  <c r="AZ71" i="5" s="1"/>
  <c r="BA59" i="1"/>
  <c r="BA51" i="1"/>
  <c r="AZ61" i="1"/>
  <c r="AZ39" i="1"/>
  <c r="AZ37" i="1"/>
  <c r="AZ40" i="1" s="1"/>
  <c r="AZ44" i="1"/>
  <c r="AZ48" i="1" s="1"/>
  <c r="AZ6" i="5"/>
  <c r="BE106" i="3" l="1"/>
  <c r="BD103" i="3"/>
  <c r="BD105" i="3" s="1"/>
  <c r="BD56" i="1"/>
  <c r="AZ51" i="1"/>
  <c r="AZ59" i="1"/>
  <c r="BU92" i="3"/>
  <c r="BU91" i="3"/>
  <c r="BU90" i="3"/>
  <c r="BU88" i="3"/>
  <c r="BU87" i="3"/>
  <c r="BU86" i="3"/>
  <c r="BU84" i="3"/>
  <c r="BU83" i="3"/>
  <c r="BT71" i="3"/>
  <c r="BU76" i="3"/>
  <c r="BU75" i="3"/>
  <c r="BU74" i="3"/>
  <c r="BU73" i="3"/>
  <c r="BU72" i="3"/>
  <c r="BU71" i="3"/>
  <c r="BU70" i="3"/>
  <c r="BT56" i="3"/>
  <c r="BT55" i="3"/>
  <c r="BU67" i="3"/>
  <c r="BU66" i="3"/>
  <c r="BU65" i="3"/>
  <c r="BU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43" i="3"/>
  <c r="BU42" i="3"/>
  <c r="BU41" i="3"/>
  <c r="BU38" i="3"/>
  <c r="BU37" i="3"/>
  <c r="BU36" i="3"/>
  <c r="BU35" i="3"/>
  <c r="BU34" i="3"/>
  <c r="BU33" i="3"/>
  <c r="BU32" i="3"/>
  <c r="BU31" i="3"/>
  <c r="BT18" i="3"/>
  <c r="BT21" i="3"/>
  <c r="BT31" i="3"/>
  <c r="BU18" i="3"/>
  <c r="BU29" i="3"/>
  <c r="BU28" i="3"/>
  <c r="BU23" i="3"/>
  <c r="BU22" i="3"/>
  <c r="BU21" i="3"/>
  <c r="BU20" i="3"/>
  <c r="BU19" i="3"/>
  <c r="BU15" i="3"/>
  <c r="BU14" i="3"/>
  <c r="BU13" i="3"/>
  <c r="BU12" i="3"/>
  <c r="BU11" i="3"/>
  <c r="AZ120" i="3"/>
  <c r="BS114" i="3"/>
  <c r="BQ114" i="3"/>
  <c r="BP114" i="3"/>
  <c r="BO114" i="3"/>
  <c r="BN114" i="3"/>
  <c r="BM114" i="3"/>
  <c r="BL114" i="3"/>
  <c r="BK114" i="3"/>
  <c r="BJ114" i="3"/>
  <c r="BS116" i="3"/>
  <c r="BQ116" i="3"/>
  <c r="BP116" i="3"/>
  <c r="BO116" i="3"/>
  <c r="BN116" i="3"/>
  <c r="BM116" i="3"/>
  <c r="BL116" i="3"/>
  <c r="BK116" i="3"/>
  <c r="BJ116" i="3"/>
  <c r="AT116" i="3"/>
  <c r="AS116" i="3"/>
  <c r="AR116" i="3"/>
  <c r="AQ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D116" i="3"/>
  <c r="C116" i="3"/>
  <c r="AU30" i="3"/>
  <c r="BU30" i="3" s="1"/>
  <c r="AW30" i="3"/>
  <c r="AW17" i="3"/>
  <c r="AW116" i="3" s="1"/>
  <c r="AX30" i="3"/>
  <c r="AX17" i="3"/>
  <c r="AX116" i="3" s="1"/>
  <c r="B31" i="3"/>
  <c r="B17" i="3"/>
  <c r="B18" i="3"/>
  <c r="BD106" i="3" l="1"/>
  <c r="BR116" i="3"/>
  <c r="AZ50" i="6" l="1"/>
  <c r="AZ20" i="6"/>
  <c r="AZ6" i="6"/>
  <c r="AZ69" i="6"/>
  <c r="AZ59" i="6"/>
  <c r="AZ48" i="6" s="1"/>
  <c r="AZ38" i="6"/>
  <c r="AZ9" i="6"/>
  <c r="AZ63" i="7"/>
  <c r="AZ74" i="7" s="1"/>
  <c r="AZ35" i="7"/>
  <c r="AY35" i="7"/>
  <c r="AZ6" i="7"/>
  <c r="AZ48" i="7" s="1"/>
  <c r="AZ86" i="7"/>
  <c r="AZ84" i="7"/>
  <c r="AZ83" i="7"/>
  <c r="AZ81" i="7"/>
  <c r="AZ77" i="7"/>
  <c r="AZ76" i="7"/>
  <c r="AZ75" i="7"/>
  <c r="AZ49" i="7"/>
  <c r="AZ44" i="7"/>
  <c r="AZ42" i="7"/>
  <c r="AZ41" i="7"/>
  <c r="AZ39" i="7"/>
  <c r="AZ34" i="7"/>
  <c r="AZ33" i="7"/>
  <c r="AZ21" i="7"/>
  <c r="AZ32" i="7" s="1"/>
  <c r="AZ50" i="3"/>
  <c r="AZ40" i="3"/>
  <c r="AZ121" i="3"/>
  <c r="AZ118" i="3"/>
  <c r="AZ112" i="3"/>
  <c r="AZ111" i="3"/>
  <c r="AZ98" i="3"/>
  <c r="AZ93" i="3"/>
  <c r="AZ69" i="3"/>
  <c r="AZ10" i="3"/>
  <c r="AY6" i="1"/>
  <c r="AY54" i="1"/>
  <c r="AY31" i="1"/>
  <c r="AY46" i="1" s="1"/>
  <c r="AY26" i="1"/>
  <c r="AY45" i="1" s="1"/>
  <c r="AY12" i="1"/>
  <c r="AY15" i="1" s="1"/>
  <c r="BC110" i="3" l="1"/>
  <c r="BC113" i="3" s="1"/>
  <c r="BW113" i="3" s="1"/>
  <c r="BC55" i="1"/>
  <c r="AZ36" i="7"/>
  <c r="AZ81" i="3"/>
  <c r="AZ95" i="3" s="1"/>
  <c r="AZ119" i="3"/>
  <c r="AZ78" i="7"/>
  <c r="AZ87" i="7"/>
  <c r="AZ45" i="7"/>
  <c r="AZ101" i="3"/>
  <c r="AY17" i="1"/>
  <c r="AZ43" i="7" l="1"/>
  <c r="BD40" i="7"/>
  <c r="AZ85" i="7"/>
  <c r="BD82" i="7"/>
  <c r="BC117" i="3"/>
  <c r="BW117" i="3" s="1"/>
  <c r="BC109" i="3"/>
  <c r="BW109" i="3" s="1"/>
  <c r="BW110" i="3"/>
  <c r="AY22" i="1"/>
  <c r="AY58" i="1"/>
  <c r="BV36" i="6"/>
  <c r="BV61" i="5"/>
  <c r="AY25" i="1" l="1"/>
  <c r="AY121" i="3"/>
  <c r="BV121" i="3" s="1"/>
  <c r="AY120" i="3"/>
  <c r="BV120" i="3" s="1"/>
  <c r="AY118" i="3"/>
  <c r="BV118" i="3" s="1"/>
  <c r="AY112" i="3"/>
  <c r="BV112" i="3" s="1"/>
  <c r="AY60" i="1" l="1"/>
  <c r="BC57" i="1"/>
  <c r="AY30" i="1"/>
  <c r="AY34" i="1" s="1"/>
  <c r="AY44" i="1" s="1"/>
  <c r="AY48" i="1" s="1"/>
  <c r="BV50" i="6"/>
  <c r="BV69" i="6"/>
  <c r="BU69" i="6"/>
  <c r="BV25" i="6"/>
  <c r="BV17" i="6"/>
  <c r="BV16" i="6"/>
  <c r="BV14" i="6"/>
  <c r="BV13" i="6"/>
  <c r="BV12" i="6"/>
  <c r="BV11" i="6"/>
  <c r="BV10" i="6"/>
  <c r="BV7" i="6"/>
  <c r="BV23" i="6"/>
  <c r="BV22" i="6"/>
  <c r="BV21" i="6"/>
  <c r="BV6" i="6"/>
  <c r="AY6" i="6"/>
  <c r="AY69" i="6"/>
  <c r="AY59" i="6"/>
  <c r="AY50" i="6"/>
  <c r="AY38" i="6"/>
  <c r="AY20" i="6"/>
  <c r="AY9" i="6"/>
  <c r="BV67" i="5"/>
  <c r="BS67" i="5"/>
  <c r="BR67" i="5"/>
  <c r="BQ67" i="5"/>
  <c r="BP67" i="5"/>
  <c r="BO67" i="5"/>
  <c r="BN67" i="5"/>
  <c r="BM67" i="5"/>
  <c r="BL67" i="5"/>
  <c r="BK67" i="5"/>
  <c r="BJ67" i="5"/>
  <c r="AY67" i="5"/>
  <c r="AX67" i="5"/>
  <c r="AW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Y31" i="5"/>
  <c r="BC103" i="3" l="1"/>
  <c r="BC105" i="3" s="1"/>
  <c r="BW105" i="3" s="1"/>
  <c r="BC56" i="1"/>
  <c r="BV9" i="6"/>
  <c r="BV20" i="6"/>
  <c r="AY37" i="1"/>
  <c r="AY40" i="1" s="1"/>
  <c r="AY61" i="1"/>
  <c r="AY48" i="6"/>
  <c r="AY39" i="1"/>
  <c r="AY51" i="1"/>
  <c r="AY59" i="1"/>
  <c r="BV59" i="6"/>
  <c r="BV48" i="6" s="1"/>
  <c r="BW103" i="3" l="1"/>
  <c r="BC106" i="3"/>
  <c r="BW106" i="3" s="1"/>
  <c r="BV31" i="5"/>
  <c r="BT31" i="5"/>
  <c r="BS31" i="5"/>
  <c r="BR31" i="5"/>
  <c r="BQ31" i="5"/>
  <c r="BP31" i="5"/>
  <c r="BO31" i="5"/>
  <c r="BN31" i="5"/>
  <c r="BM31" i="5"/>
  <c r="BL31" i="5"/>
  <c r="BK31" i="5"/>
  <c r="BJ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T28" i="5"/>
  <c r="BS28" i="5"/>
  <c r="BR28" i="5"/>
  <c r="BQ28" i="5"/>
  <c r="BP28" i="5"/>
  <c r="BO28" i="5"/>
  <c r="BN28" i="5"/>
  <c r="BM28" i="5"/>
  <c r="BL28" i="5"/>
  <c r="BK28" i="5"/>
  <c r="BJ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V28" i="5"/>
  <c r="B14" i="5"/>
  <c r="BV6" i="5"/>
  <c r="AY6" i="5"/>
  <c r="BP81" i="7"/>
  <c r="BP83" i="7"/>
  <c r="BP86" i="7"/>
  <c r="BP84" i="7"/>
  <c r="BP63" i="7"/>
  <c r="BP87" i="7" s="1"/>
  <c r="BO63" i="7"/>
  <c r="BN63" i="7"/>
  <c r="BM63" i="7"/>
  <c r="BP42" i="7"/>
  <c r="BP21" i="7"/>
  <c r="BP45" i="7" s="1"/>
  <c r="BO21" i="7"/>
  <c r="BN21" i="7"/>
  <c r="BM21" i="7"/>
  <c r="AY84" i="7"/>
  <c r="AY63" i="7"/>
  <c r="AY87" i="7" s="1"/>
  <c r="AY21" i="7"/>
  <c r="AY45" i="7" s="1"/>
  <c r="AY86" i="7"/>
  <c r="AY83" i="7"/>
  <c r="AY81" i="7"/>
  <c r="BO84" i="7"/>
  <c r="BP76" i="7"/>
  <c r="BP75" i="7"/>
  <c r="BP70" i="7"/>
  <c r="BP77" i="7" s="1"/>
  <c r="BP68" i="7"/>
  <c r="BP67" i="7"/>
  <c r="BP66" i="7"/>
  <c r="BP65" i="7"/>
  <c r="BP49" i="7"/>
  <c r="BO49" i="7"/>
  <c r="BN49" i="7"/>
  <c r="BM49" i="7"/>
  <c r="BL49" i="7"/>
  <c r="BK49" i="7"/>
  <c r="BJ49" i="7"/>
  <c r="BP48" i="7"/>
  <c r="BO48" i="7"/>
  <c r="BN48" i="7"/>
  <c r="BM48" i="7"/>
  <c r="BP35" i="7"/>
  <c r="BP34" i="7"/>
  <c r="BP33" i="7"/>
  <c r="BP41" i="7"/>
  <c r="AY77" i="7"/>
  <c r="AY76" i="7"/>
  <c r="AY75" i="7"/>
  <c r="AY49" i="7"/>
  <c r="AY44" i="7"/>
  <c r="AY42" i="7"/>
  <c r="AY41" i="7"/>
  <c r="AY39" i="7"/>
  <c r="AY34" i="7"/>
  <c r="AY33" i="7"/>
  <c r="AY6" i="7"/>
  <c r="AY48" i="7" s="1"/>
  <c r="BV92" i="3"/>
  <c r="BV91" i="3"/>
  <c r="BV90" i="3"/>
  <c r="BV89" i="3"/>
  <c r="BV88" i="3"/>
  <c r="BV87" i="3"/>
  <c r="BV86" i="3"/>
  <c r="BV85" i="3"/>
  <c r="BV84" i="3"/>
  <c r="BV83" i="3"/>
  <c r="BV77" i="3"/>
  <c r="BV76" i="3"/>
  <c r="BV75" i="3"/>
  <c r="BV74" i="3"/>
  <c r="BV73" i="3"/>
  <c r="BV72" i="3"/>
  <c r="BV71" i="3"/>
  <c r="BV70" i="3"/>
  <c r="BV67" i="3"/>
  <c r="BV66" i="3"/>
  <c r="BV65" i="3"/>
  <c r="BV64" i="3"/>
  <c r="BV63" i="3"/>
  <c r="BV62" i="3"/>
  <c r="BV61" i="3"/>
  <c r="BV60" i="3"/>
  <c r="BV59" i="3"/>
  <c r="BV58" i="3"/>
  <c r="BV57" i="3"/>
  <c r="BV56" i="3"/>
  <c r="BV55" i="3"/>
  <c r="BV54" i="3"/>
  <c r="BV53" i="3"/>
  <c r="BV52" i="3"/>
  <c r="BV51" i="3"/>
  <c r="BV43" i="3"/>
  <c r="BV42" i="3"/>
  <c r="BV41" i="3"/>
  <c r="BV38" i="3"/>
  <c r="BV37" i="3"/>
  <c r="BV36" i="3"/>
  <c r="BV35" i="3"/>
  <c r="BV34" i="3"/>
  <c r="BV33" i="3"/>
  <c r="BV29" i="3"/>
  <c r="BV28" i="3"/>
  <c r="BV23" i="3"/>
  <c r="BV22" i="3"/>
  <c r="BV21" i="3"/>
  <c r="BV20" i="3"/>
  <c r="BV19" i="3"/>
  <c r="BV15" i="3"/>
  <c r="BV14" i="3"/>
  <c r="BV13" i="3"/>
  <c r="BV12" i="3"/>
  <c r="BV11" i="3"/>
  <c r="AY93" i="3"/>
  <c r="AY6" i="3"/>
  <c r="AY111" i="3"/>
  <c r="BV111" i="3" s="1"/>
  <c r="BV119" i="3" s="1"/>
  <c r="AY98" i="3"/>
  <c r="AY69" i="3"/>
  <c r="BV69" i="3" s="1"/>
  <c r="AY50" i="3"/>
  <c r="BV50" i="3" s="1"/>
  <c r="AY40" i="3"/>
  <c r="BV40" i="3" s="1"/>
  <c r="AY10" i="3"/>
  <c r="BU31" i="1"/>
  <c r="BU46" i="1" s="1"/>
  <c r="BU26" i="1"/>
  <c r="BU45" i="1" s="1"/>
  <c r="BU54" i="1"/>
  <c r="AX54" i="1"/>
  <c r="AX31" i="1"/>
  <c r="AX46" i="1" s="1"/>
  <c r="AX26" i="1"/>
  <c r="AX45" i="1" s="1"/>
  <c r="AX12" i="1"/>
  <c r="AX15" i="1" s="1"/>
  <c r="AX6" i="1"/>
  <c r="BV98" i="3" l="1"/>
  <c r="E45" i="5"/>
  <c r="E71" i="5" s="1"/>
  <c r="I45" i="5"/>
  <c r="I71" i="5" s="1"/>
  <c r="M45" i="5"/>
  <c r="M71" i="5" s="1"/>
  <c r="Q45" i="5"/>
  <c r="Q71" i="5" s="1"/>
  <c r="U45" i="5"/>
  <c r="U71" i="5" s="1"/>
  <c r="Y45" i="5"/>
  <c r="Y71" i="5" s="1"/>
  <c r="AC45" i="5"/>
  <c r="AC71" i="5" s="1"/>
  <c r="AG45" i="5"/>
  <c r="AG71" i="5" s="1"/>
  <c r="AK45" i="5"/>
  <c r="AK71" i="5" s="1"/>
  <c r="AO45" i="5"/>
  <c r="AO71" i="5" s="1"/>
  <c r="AS45" i="5"/>
  <c r="AS71" i="5" s="1"/>
  <c r="AW45" i="5"/>
  <c r="AW71" i="5" s="1"/>
  <c r="BK45" i="5"/>
  <c r="BK71" i="5" s="1"/>
  <c r="BO45" i="5"/>
  <c r="BO71" i="5" s="1"/>
  <c r="BS45" i="5"/>
  <c r="BS71" i="5" s="1"/>
  <c r="BB110" i="3"/>
  <c r="BB113" i="3" s="1"/>
  <c r="BB55" i="1"/>
  <c r="AY45" i="5"/>
  <c r="AY71" i="5" s="1"/>
  <c r="BT45" i="5"/>
  <c r="BT71" i="5" s="1"/>
  <c r="AY74" i="7"/>
  <c r="AY78" i="7" s="1"/>
  <c r="BC82" i="7" s="1"/>
  <c r="BV81" i="3"/>
  <c r="F45" i="5"/>
  <c r="F71" i="5" s="1"/>
  <c r="J45" i="5"/>
  <c r="J71" i="5" s="1"/>
  <c r="N45" i="5"/>
  <c r="N71" i="5" s="1"/>
  <c r="R45" i="5"/>
  <c r="R71" i="5" s="1"/>
  <c r="V45" i="5"/>
  <c r="V71" i="5" s="1"/>
  <c r="Z45" i="5"/>
  <c r="Z71" i="5" s="1"/>
  <c r="AD45" i="5"/>
  <c r="AD71" i="5" s="1"/>
  <c r="AH45" i="5"/>
  <c r="AH71" i="5" s="1"/>
  <c r="AL45" i="5"/>
  <c r="AL71" i="5" s="1"/>
  <c r="AP45" i="5"/>
  <c r="AP71" i="5" s="1"/>
  <c r="AT45" i="5"/>
  <c r="AT71" i="5" s="1"/>
  <c r="AX45" i="5"/>
  <c r="AX71" i="5" s="1"/>
  <c r="BL45" i="5"/>
  <c r="BL71" i="5" s="1"/>
  <c r="BP45" i="5"/>
  <c r="BP71" i="5" s="1"/>
  <c r="C45" i="5"/>
  <c r="C71" i="5" s="1"/>
  <c r="G45" i="5"/>
  <c r="G71" i="5" s="1"/>
  <c r="K45" i="5"/>
  <c r="K71" i="5" s="1"/>
  <c r="O45" i="5"/>
  <c r="O71" i="5" s="1"/>
  <c r="S45" i="5"/>
  <c r="S71" i="5" s="1"/>
  <c r="W45" i="5"/>
  <c r="W71" i="5" s="1"/>
  <c r="AA45" i="5"/>
  <c r="AA71" i="5" s="1"/>
  <c r="AE45" i="5"/>
  <c r="AE71" i="5" s="1"/>
  <c r="AI45" i="5"/>
  <c r="AI71" i="5" s="1"/>
  <c r="AM45" i="5"/>
  <c r="AM71" i="5" s="1"/>
  <c r="AQ45" i="5"/>
  <c r="AQ71" i="5" s="1"/>
  <c r="AU45" i="5"/>
  <c r="BM45" i="5"/>
  <c r="BM71" i="5" s="1"/>
  <c r="BQ45" i="5"/>
  <c r="BQ71" i="5" s="1"/>
  <c r="BV93" i="3"/>
  <c r="D45" i="5"/>
  <c r="D71" i="5" s="1"/>
  <c r="H45" i="5"/>
  <c r="H71" i="5" s="1"/>
  <c r="L45" i="5"/>
  <c r="L71" i="5" s="1"/>
  <c r="P45" i="5"/>
  <c r="P71" i="5" s="1"/>
  <c r="T45" i="5"/>
  <c r="T71" i="5" s="1"/>
  <c r="X45" i="5"/>
  <c r="X71" i="5" s="1"/>
  <c r="AB45" i="5"/>
  <c r="AB71" i="5" s="1"/>
  <c r="AF45" i="5"/>
  <c r="AF71" i="5" s="1"/>
  <c r="AJ45" i="5"/>
  <c r="AJ71" i="5" s="1"/>
  <c r="AN45" i="5"/>
  <c r="AN71" i="5" s="1"/>
  <c r="AR45" i="5"/>
  <c r="AR71" i="5" s="1"/>
  <c r="AV45" i="5"/>
  <c r="BJ45" i="5"/>
  <c r="BJ71" i="5" s="1"/>
  <c r="BN45" i="5"/>
  <c r="BN71" i="5" s="1"/>
  <c r="BR45" i="5"/>
  <c r="BR71" i="5" s="1"/>
  <c r="BV45" i="5"/>
  <c r="BV71" i="5" s="1"/>
  <c r="BV10" i="3"/>
  <c r="AY32" i="7"/>
  <c r="AY36" i="7" s="1"/>
  <c r="BC40" i="7" s="1"/>
  <c r="BP74" i="7"/>
  <c r="BP78" i="7" s="1"/>
  <c r="BQ82" i="7" s="1"/>
  <c r="BP32" i="7"/>
  <c r="BP36" i="7" s="1"/>
  <c r="BP39" i="7"/>
  <c r="BP44" i="7"/>
  <c r="AY81" i="3"/>
  <c r="AY95" i="3" s="1"/>
  <c r="AY119" i="3"/>
  <c r="AY101" i="3"/>
  <c r="BU12" i="1"/>
  <c r="BU15" i="1" s="1"/>
  <c r="BV55" i="1" s="1"/>
  <c r="AX17" i="1"/>
  <c r="BV95" i="3" l="1"/>
  <c r="BB117" i="3"/>
  <c r="BB109" i="3"/>
  <c r="BP85" i="7"/>
  <c r="BV101" i="3"/>
  <c r="AY85" i="7"/>
  <c r="BP43" i="7"/>
  <c r="AY43" i="7"/>
  <c r="BU17" i="1"/>
  <c r="BU58" i="1" s="1"/>
  <c r="AX22" i="1"/>
  <c r="AX25" i="1" s="1"/>
  <c r="BB57" i="1" s="1"/>
  <c r="AX58" i="1"/>
  <c r="BU22" i="1" l="1"/>
  <c r="BU25" i="1" s="1"/>
  <c r="AX60" i="1"/>
  <c r="AX30" i="1"/>
  <c r="AX34" i="1" s="1"/>
  <c r="BU30" i="1" l="1"/>
  <c r="BU34" i="1" s="1"/>
  <c r="BU39" i="1" s="1"/>
  <c r="BV57" i="1"/>
  <c r="BU60" i="1"/>
  <c r="AX61" i="1"/>
  <c r="AX44" i="1"/>
  <c r="AX48" i="1" s="1"/>
  <c r="AX39" i="1"/>
  <c r="AX37" i="1"/>
  <c r="AX40" i="1" s="1"/>
  <c r="BU37" i="1" l="1"/>
  <c r="BU40" i="1" s="1"/>
  <c r="BU61" i="1"/>
  <c r="BU44" i="1"/>
  <c r="BU48" i="1" s="1"/>
  <c r="BV56" i="1" s="1"/>
  <c r="BB103" i="3"/>
  <c r="BB105" i="3" s="1"/>
  <c r="BB56" i="1"/>
  <c r="AX51" i="1"/>
  <c r="AX59" i="1"/>
  <c r="BU51" i="1" l="1"/>
  <c r="BU59" i="1"/>
  <c r="BV103" i="3"/>
  <c r="BV106" i="3" s="1"/>
  <c r="BB106" i="3"/>
  <c r="AX6" i="5"/>
  <c r="AX59" i="6"/>
  <c r="AX50" i="6"/>
  <c r="AX20" i="6"/>
  <c r="AX9" i="6"/>
  <c r="AX6" i="6"/>
  <c r="AX69" i="6"/>
  <c r="AX38" i="6"/>
  <c r="AX63" i="7"/>
  <c r="AX87" i="7" s="1"/>
  <c r="AW63" i="7"/>
  <c r="AV63" i="7"/>
  <c r="AU63" i="7"/>
  <c r="AX21" i="7"/>
  <c r="AX45" i="7" s="1"/>
  <c r="AW21" i="7"/>
  <c r="AV21" i="7"/>
  <c r="AU21" i="7"/>
  <c r="AX6" i="7"/>
  <c r="AX48" i="7" s="1"/>
  <c r="AX86" i="7"/>
  <c r="AX84" i="7"/>
  <c r="AX83" i="7"/>
  <c r="AX81" i="7"/>
  <c r="AX77" i="7"/>
  <c r="AX76" i="7"/>
  <c r="AX75" i="7"/>
  <c r="AX49" i="7"/>
  <c r="AX44" i="7"/>
  <c r="AX42" i="7"/>
  <c r="AX39" i="7"/>
  <c r="AX35" i="7"/>
  <c r="AX34" i="7"/>
  <c r="AX33" i="7"/>
  <c r="AT114" i="3"/>
  <c r="AT121" i="3"/>
  <c r="AW121" i="3"/>
  <c r="AX121" i="3"/>
  <c r="AT120" i="3"/>
  <c r="AW120" i="3"/>
  <c r="AX120" i="3"/>
  <c r="AX118" i="3"/>
  <c r="AW118" i="3"/>
  <c r="AX114" i="3"/>
  <c r="AW114" i="3"/>
  <c r="AX112" i="3"/>
  <c r="AW112" i="3"/>
  <c r="AX111" i="3"/>
  <c r="AW111" i="3"/>
  <c r="AW50" i="3"/>
  <c r="AX50" i="3"/>
  <c r="AX40" i="3"/>
  <c r="AW40" i="3"/>
  <c r="AX27" i="3"/>
  <c r="AW13" i="3"/>
  <c r="AX13" i="3"/>
  <c r="AX10" i="3"/>
  <c r="AX6" i="3"/>
  <c r="AX93" i="3"/>
  <c r="AX69" i="3"/>
  <c r="AW12" i="1"/>
  <c r="AW15" i="1" s="1"/>
  <c r="AW6" i="1"/>
  <c r="AW54" i="1"/>
  <c r="AW31" i="1"/>
  <c r="AW46" i="1" s="1"/>
  <c r="AW26" i="1"/>
  <c r="AW45" i="1" s="1"/>
  <c r="BV105" i="3" l="1"/>
  <c r="AX74" i="7"/>
  <c r="AX78" i="7" s="1"/>
  <c r="AW119" i="3"/>
  <c r="BA55" i="1"/>
  <c r="BA110" i="3"/>
  <c r="AX48" i="6"/>
  <c r="AX9" i="3"/>
  <c r="AX48" i="3" s="1"/>
  <c r="AX32" i="7"/>
  <c r="AX36" i="7" s="1"/>
  <c r="AX115" i="3"/>
  <c r="AX119" i="3"/>
  <c r="AW108" i="3"/>
  <c r="AX108" i="3"/>
  <c r="AW122" i="3"/>
  <c r="AX122" i="3"/>
  <c r="AW115" i="3"/>
  <c r="AX25" i="3"/>
  <c r="AX81" i="3"/>
  <c r="AX95" i="3" s="1"/>
  <c r="AX98" i="3"/>
  <c r="AW17" i="1"/>
  <c r="AX85" i="7" l="1"/>
  <c r="BB82" i="7"/>
  <c r="AX43" i="7"/>
  <c r="BB40" i="7"/>
  <c r="BA117" i="3"/>
  <c r="BA113" i="3"/>
  <c r="AX96" i="3"/>
  <c r="AX101" i="3"/>
  <c r="AW22" i="1"/>
  <c r="AW25" i="1" s="1"/>
  <c r="BA57" i="1" s="1"/>
  <c r="AW58" i="1"/>
  <c r="AW6" i="5"/>
  <c r="AW59" i="6"/>
  <c r="B56" i="6"/>
  <c r="AW50" i="6"/>
  <c r="AW6" i="6"/>
  <c r="AW69" i="6"/>
  <c r="AW38" i="6"/>
  <c r="AW20" i="6"/>
  <c r="AW9" i="6"/>
  <c r="AW35" i="7"/>
  <c r="AW49" i="7"/>
  <c r="AV49" i="7"/>
  <c r="AU49" i="7"/>
  <c r="AW60" i="1" l="1"/>
  <c r="AW30" i="1"/>
  <c r="AW34" i="1" s="1"/>
  <c r="AW48" i="6"/>
  <c r="AW61" i="1" l="1"/>
  <c r="AW44" i="1"/>
  <c r="AW48" i="1" s="1"/>
  <c r="AW39" i="1"/>
  <c r="AW37" i="1"/>
  <c r="AW40" i="1" s="1"/>
  <c r="AW6" i="7"/>
  <c r="AW48" i="7" s="1"/>
  <c r="AW87" i="7"/>
  <c r="AW86" i="7"/>
  <c r="AW84" i="7"/>
  <c r="AW81" i="7"/>
  <c r="AW77" i="7"/>
  <c r="AW76" i="7"/>
  <c r="AW75" i="7"/>
  <c r="AW74" i="7"/>
  <c r="AW45" i="7"/>
  <c r="AW44" i="7"/>
  <c r="AW42" i="7"/>
  <c r="AW41" i="7"/>
  <c r="AW39" i="7"/>
  <c r="AW34" i="7"/>
  <c r="AW33" i="7"/>
  <c r="AW32" i="7"/>
  <c r="BA56" i="1" l="1"/>
  <c r="BA103" i="3"/>
  <c r="AW51" i="1"/>
  <c r="AW59" i="1"/>
  <c r="AW78" i="7"/>
  <c r="AW36" i="7"/>
  <c r="C121" i="3"/>
  <c r="AU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AV120" i="3"/>
  <c r="AU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I120" i="3"/>
  <c r="AS114" i="3"/>
  <c r="AR114" i="3"/>
  <c r="AQ114" i="3"/>
  <c r="AP114" i="3"/>
  <c r="AM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C114" i="3"/>
  <c r="BA105" i="3" l="1"/>
  <c r="BA106" i="3"/>
  <c r="AW85" i="7"/>
  <c r="BA82" i="7"/>
  <c r="AW43" i="7"/>
  <c r="BA40" i="7"/>
  <c r="B44" i="3"/>
  <c r="B71" i="3"/>
  <c r="B59" i="3"/>
  <c r="AV67" i="3"/>
  <c r="AV121" i="3" s="1"/>
  <c r="B57" i="3"/>
  <c r="B55" i="3"/>
  <c r="B29" i="3"/>
  <c r="B21" i="3"/>
  <c r="AW6" i="3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BJ12" i="1"/>
  <c r="F12" i="1" s="1"/>
  <c r="BK12" i="1"/>
  <c r="BL12" i="1"/>
  <c r="BM12" i="1"/>
  <c r="BN12" i="1"/>
  <c r="BO12" i="1"/>
  <c r="BP12" i="1"/>
  <c r="BQ12" i="1"/>
  <c r="BR12" i="1"/>
  <c r="BS12" i="1"/>
  <c r="BT12" i="1"/>
  <c r="AV26" i="1"/>
  <c r="AW93" i="3" l="1"/>
  <c r="AW69" i="3"/>
  <c r="AW98" i="3"/>
  <c r="AW27" i="3"/>
  <c r="AW25" i="3" s="1"/>
  <c r="AW10" i="3"/>
  <c r="AW9" i="3" s="1"/>
  <c r="AW48" i="3" l="1"/>
  <c r="AW81" i="3"/>
  <c r="AW95" i="3" s="1"/>
  <c r="AW101" i="3"/>
  <c r="AW96" i="3" l="1"/>
  <c r="B41" i="1"/>
  <c r="AV45" i="1"/>
  <c r="AV15" i="1"/>
  <c r="AV6" i="1"/>
  <c r="AV31" i="1"/>
  <c r="AV46" i="1" s="1"/>
  <c r="AZ110" i="3" l="1"/>
  <c r="AZ113" i="3" s="1"/>
  <c r="AZ55" i="1"/>
  <c r="AV17" i="1"/>
  <c r="AV22" i="1" s="1"/>
  <c r="AV25" i="1" s="1"/>
  <c r="AV69" i="6"/>
  <c r="AU69" i="6"/>
  <c r="AV59" i="6"/>
  <c r="AV38" i="6"/>
  <c r="AU38" i="6"/>
  <c r="AV20" i="6"/>
  <c r="AV6" i="6"/>
  <c r="AV50" i="6"/>
  <c r="AV9" i="6"/>
  <c r="AV66" i="5"/>
  <c r="AV67" i="5" s="1"/>
  <c r="AV71" i="5" s="1"/>
  <c r="B54" i="5"/>
  <c r="B13" i="5"/>
  <c r="AV6" i="5"/>
  <c r="AV87" i="7"/>
  <c r="AV86" i="7"/>
  <c r="AV84" i="7"/>
  <c r="AV81" i="7"/>
  <c r="AV42" i="7"/>
  <c r="AV6" i="7"/>
  <c r="AV48" i="7" s="1"/>
  <c r="AV77" i="7"/>
  <c r="AV76" i="7"/>
  <c r="AV75" i="7"/>
  <c r="AV74" i="7"/>
  <c r="AV45" i="7"/>
  <c r="AV44" i="7"/>
  <c r="AV41" i="7"/>
  <c r="AV39" i="7"/>
  <c r="AV34" i="7"/>
  <c r="AV33" i="7"/>
  <c r="AV32" i="7"/>
  <c r="AV77" i="3"/>
  <c r="AV69" i="3" s="1"/>
  <c r="AV98" i="3"/>
  <c r="AU40" i="3"/>
  <c r="BU40" i="3" s="1"/>
  <c r="AU27" i="3"/>
  <c r="AV38" i="3"/>
  <c r="AV6" i="3"/>
  <c r="AV118" i="3"/>
  <c r="AV112" i="3"/>
  <c r="AV111" i="3"/>
  <c r="AV85" i="3"/>
  <c r="AV50" i="3"/>
  <c r="AV40" i="3"/>
  <c r="AV10" i="3"/>
  <c r="AU6" i="1"/>
  <c r="AU31" i="1"/>
  <c r="AU46" i="1" s="1"/>
  <c r="AU26" i="1"/>
  <c r="AU45" i="1" s="1"/>
  <c r="AU15" i="1"/>
  <c r="AV60" i="1" l="1"/>
  <c r="AZ57" i="1"/>
  <c r="AY55" i="1"/>
  <c r="AY110" i="3"/>
  <c r="BV110" i="3" s="1"/>
  <c r="BV113" i="3" s="1"/>
  <c r="AV78" i="7"/>
  <c r="AV119" i="3"/>
  <c r="AV101" i="3"/>
  <c r="AV30" i="1"/>
  <c r="AV58" i="1"/>
  <c r="AV48" i="6"/>
  <c r="AV81" i="3"/>
  <c r="AV93" i="3"/>
  <c r="AU17" i="1"/>
  <c r="AU58" i="1" s="1"/>
  <c r="AV85" i="7" l="1"/>
  <c r="AZ82" i="7"/>
  <c r="AY113" i="3"/>
  <c r="AV95" i="3"/>
  <c r="AV34" i="1"/>
  <c r="AU22" i="1"/>
  <c r="AU25" i="1" s="1"/>
  <c r="AY57" i="1" s="1"/>
  <c r="AV39" i="1" l="1"/>
  <c r="AV61" i="1"/>
  <c r="AV44" i="1"/>
  <c r="AV48" i="1" s="1"/>
  <c r="AV37" i="1"/>
  <c r="AV40" i="1" s="1"/>
  <c r="AU60" i="1"/>
  <c r="AU30" i="1"/>
  <c r="AU34" i="1" s="1"/>
  <c r="AU39" i="1" s="1"/>
  <c r="AZ103" i="3" l="1"/>
  <c r="AZ105" i="3" s="1"/>
  <c r="AZ56" i="1"/>
  <c r="AV51" i="1"/>
  <c r="AU44" i="1"/>
  <c r="AU48" i="1" s="1"/>
  <c r="AY56" i="1" s="1"/>
  <c r="AU61" i="1"/>
  <c r="AV59" i="1"/>
  <c r="AU37" i="1"/>
  <c r="AU40" i="1" s="1"/>
  <c r="AZ106" i="3" l="1"/>
  <c r="AY103" i="3"/>
  <c r="AU59" i="1"/>
  <c r="AU51" i="1"/>
  <c r="AU84" i="7"/>
  <c r="AY105" i="3" l="1"/>
  <c r="AY106" i="3"/>
  <c r="AP36" i="6"/>
  <c r="AU57" i="5" l="1"/>
  <c r="AU67" i="5" s="1"/>
  <c r="AU71" i="5" s="1"/>
  <c r="AU59" i="6"/>
  <c r="BU26" i="6"/>
  <c r="AT36" i="6"/>
  <c r="BU121" i="3"/>
  <c r="BU98" i="3"/>
  <c r="BU27" i="3"/>
  <c r="BU120" i="3"/>
  <c r="BU112" i="3"/>
  <c r="BU111" i="3"/>
  <c r="BU118" i="3"/>
  <c r="BU10" i="3"/>
  <c r="BT92" i="3"/>
  <c r="BT91" i="3"/>
  <c r="BT90" i="3"/>
  <c r="BT89" i="3"/>
  <c r="BT88" i="3"/>
  <c r="BT87" i="3"/>
  <c r="BT86" i="3"/>
  <c r="BT84" i="3"/>
  <c r="BT83" i="3"/>
  <c r="BT77" i="3"/>
  <c r="BT76" i="3"/>
  <c r="BT75" i="3"/>
  <c r="BT74" i="3"/>
  <c r="BT73" i="3"/>
  <c r="BT72" i="3"/>
  <c r="BT70" i="3"/>
  <c r="BT67" i="3"/>
  <c r="BT66" i="3"/>
  <c r="BT65" i="3"/>
  <c r="BT64" i="3"/>
  <c r="BT63" i="3"/>
  <c r="BT59" i="3"/>
  <c r="BT62" i="3"/>
  <c r="BT61" i="3"/>
  <c r="BT60" i="3"/>
  <c r="BT58" i="3"/>
  <c r="BT57" i="3"/>
  <c r="BT54" i="3"/>
  <c r="BT53" i="3"/>
  <c r="BT52" i="3"/>
  <c r="BT51" i="3"/>
  <c r="BT43" i="3"/>
  <c r="BT42" i="3"/>
  <c r="BT41" i="3"/>
  <c r="BT38" i="3"/>
  <c r="BT37" i="3"/>
  <c r="BT30" i="3"/>
  <c r="BT36" i="3"/>
  <c r="BT32" i="3"/>
  <c r="BT35" i="3"/>
  <c r="BT34" i="3"/>
  <c r="BT33" i="3"/>
  <c r="BT29" i="3"/>
  <c r="BT28" i="3"/>
  <c r="BT22" i="3"/>
  <c r="BT23" i="3"/>
  <c r="BT20" i="3"/>
  <c r="BT19" i="3"/>
  <c r="BT17" i="3"/>
  <c r="BT16" i="3"/>
  <c r="BT15" i="3"/>
  <c r="BT14" i="3"/>
  <c r="BT13" i="3"/>
  <c r="BT12" i="3"/>
  <c r="BT11" i="3"/>
  <c r="BO57" i="7"/>
  <c r="BO54" i="7"/>
  <c r="BT114" i="3" l="1"/>
  <c r="BT116" i="3"/>
  <c r="BU119" i="3"/>
  <c r="BU25" i="3"/>
  <c r="BU101" i="3"/>
  <c r="BU50" i="3"/>
  <c r="AU42" i="7" l="1"/>
  <c r="BO12" i="7"/>
  <c r="BO14" i="7" s="1"/>
  <c r="BO44" i="7" s="1"/>
  <c r="AU44" i="7"/>
  <c r="BO15" i="7"/>
  <c r="BO33" i="7" s="1"/>
  <c r="BU35" i="6"/>
  <c r="BU34" i="6"/>
  <c r="BU33" i="6"/>
  <c r="BU31" i="6"/>
  <c r="BU29" i="6"/>
  <c r="BU28" i="6"/>
  <c r="BU27" i="6"/>
  <c r="BU67" i="6"/>
  <c r="BU59" i="6" s="1"/>
  <c r="AU50" i="6"/>
  <c r="AU26" i="6"/>
  <c r="AU36" i="6" s="1"/>
  <c r="AU20" i="6"/>
  <c r="AU9" i="6"/>
  <c r="BU7" i="6"/>
  <c r="BT7" i="6"/>
  <c r="BU6" i="6"/>
  <c r="BT6" i="6"/>
  <c r="BT7" i="5"/>
  <c r="BU6" i="5"/>
  <c r="BT6" i="5"/>
  <c r="AU6" i="6"/>
  <c r="AU6" i="5"/>
  <c r="AU6" i="7"/>
  <c r="AU48" i="7" s="1"/>
  <c r="BU50" i="6"/>
  <c r="BU23" i="6"/>
  <c r="BU22" i="6"/>
  <c r="BU21" i="6"/>
  <c r="BU17" i="6"/>
  <c r="BU16" i="6"/>
  <c r="BU14" i="6"/>
  <c r="BU13" i="6"/>
  <c r="BU12" i="6"/>
  <c r="BU11" i="6"/>
  <c r="BU10" i="6"/>
  <c r="BO87" i="7"/>
  <c r="BO86" i="7"/>
  <c r="BO83" i="7"/>
  <c r="BO81" i="7"/>
  <c r="BO77" i="7"/>
  <c r="BO76" i="7"/>
  <c r="BO75" i="7"/>
  <c r="BO74" i="7"/>
  <c r="AU87" i="7"/>
  <c r="AU86" i="7"/>
  <c r="AU83" i="7"/>
  <c r="AU81" i="7"/>
  <c r="AU77" i="7"/>
  <c r="AU76" i="7"/>
  <c r="AU75" i="7"/>
  <c r="AU74" i="7"/>
  <c r="BO45" i="7"/>
  <c r="BO42" i="7"/>
  <c r="BO39" i="7"/>
  <c r="BO35" i="7"/>
  <c r="BO34" i="7"/>
  <c r="BO32" i="7"/>
  <c r="AU45" i="7"/>
  <c r="AU39" i="7"/>
  <c r="AU35" i="7"/>
  <c r="AU34" i="7"/>
  <c r="AU33" i="7"/>
  <c r="AU32" i="7"/>
  <c r="F122" i="3"/>
  <c r="E122" i="3"/>
  <c r="D122" i="3"/>
  <c r="B122" i="3"/>
  <c r="AU89" i="3"/>
  <c r="BU89" i="3" s="1"/>
  <c r="AU77" i="3"/>
  <c r="BU77" i="3" s="1"/>
  <c r="BU69" i="3" s="1"/>
  <c r="BU81" i="3" s="1"/>
  <c r="AU17" i="3"/>
  <c r="BU17" i="3" s="1"/>
  <c r="BU116" i="3" s="1"/>
  <c r="BO78" i="7" l="1"/>
  <c r="BP82" i="7" s="1"/>
  <c r="AU116" i="3"/>
  <c r="AU16" i="3"/>
  <c r="BU20" i="6"/>
  <c r="BU25" i="6"/>
  <c r="BO36" i="7"/>
  <c r="BO43" i="7" s="1"/>
  <c r="AU41" i="7"/>
  <c r="AU36" i="7"/>
  <c r="BO41" i="7"/>
  <c r="BU48" i="6"/>
  <c r="AU48" i="6"/>
  <c r="BU9" i="6"/>
  <c r="AU78" i="7"/>
  <c r="BT85" i="3"/>
  <c r="C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D6" i="3"/>
  <c r="AU118" i="3"/>
  <c r="AU112" i="3"/>
  <c r="AU111" i="3"/>
  <c r="AU98" i="3"/>
  <c r="AU85" i="3"/>
  <c r="AU69" i="3"/>
  <c r="AU50" i="3"/>
  <c r="AU10" i="3"/>
  <c r="BT31" i="1"/>
  <c r="BT46" i="1" s="1"/>
  <c r="BT26" i="1"/>
  <c r="BT45" i="1" s="1"/>
  <c r="AT6" i="1"/>
  <c r="AT31" i="1"/>
  <c r="AT46" i="1" s="1"/>
  <c r="AT26" i="1"/>
  <c r="AT45" i="1" s="1"/>
  <c r="AU114" i="3" l="1"/>
  <c r="AU122" i="3" s="1"/>
  <c r="BU16" i="3"/>
  <c r="AU93" i="3"/>
  <c r="BU85" i="3"/>
  <c r="BU93" i="3" s="1"/>
  <c r="BU95" i="3" s="1"/>
  <c r="AU9" i="3"/>
  <c r="AU48" i="3" s="1"/>
  <c r="AU85" i="7"/>
  <c r="AY82" i="7"/>
  <c r="AU43" i="7"/>
  <c r="AY40" i="7"/>
  <c r="BO85" i="7"/>
  <c r="AU81" i="3"/>
  <c r="AU101" i="3"/>
  <c r="AU119" i="3"/>
  <c r="AU25" i="3"/>
  <c r="AU108" i="3"/>
  <c r="AU115" i="3"/>
  <c r="BT15" i="1"/>
  <c r="BU55" i="1" s="1"/>
  <c r="AT15" i="1"/>
  <c r="AU95" i="3" l="1"/>
  <c r="BU114" i="3"/>
  <c r="BU9" i="3"/>
  <c r="BU48" i="3" s="1"/>
  <c r="BU96" i="3" s="1"/>
  <c r="AX55" i="1"/>
  <c r="AX110" i="3"/>
  <c r="BU110" i="3"/>
  <c r="AU96" i="3"/>
  <c r="BT17" i="1"/>
  <c r="BT22" i="1" s="1"/>
  <c r="BT25" i="1" s="1"/>
  <c r="BU57" i="1" s="1"/>
  <c r="AT17" i="1"/>
  <c r="E51" i="1"/>
  <c r="D51" i="1"/>
  <c r="BU108" i="3" l="1"/>
  <c r="BU109" i="3" s="1"/>
  <c r="BU122" i="3"/>
  <c r="BU115" i="3"/>
  <c r="AX117" i="3"/>
  <c r="AX113" i="3"/>
  <c r="AX109" i="3"/>
  <c r="BU117" i="3"/>
  <c r="BU113" i="3"/>
  <c r="BT58" i="1"/>
  <c r="BT30" i="1"/>
  <c r="BT34" i="1" s="1"/>
  <c r="BT60" i="1"/>
  <c r="AT22" i="1"/>
  <c r="AT25" i="1" s="1"/>
  <c r="AX57" i="1" s="1"/>
  <c r="AT58" i="1"/>
  <c r="BT39" i="1" l="1"/>
  <c r="BT37" i="1"/>
  <c r="BT40" i="1" s="1"/>
  <c r="BT61" i="1"/>
  <c r="BT44" i="1"/>
  <c r="BT48" i="1" s="1"/>
  <c r="AT60" i="1"/>
  <c r="AT30" i="1"/>
  <c r="AT34" i="1" s="1"/>
  <c r="AT39" i="1" s="1"/>
  <c r="AT6" i="6"/>
  <c r="AS69" i="6"/>
  <c r="AS59" i="6"/>
  <c r="AS50" i="6"/>
  <c r="AS38" i="6"/>
  <c r="AS20" i="6"/>
  <c r="AS36" i="6" s="1"/>
  <c r="AS9" i="6"/>
  <c r="BU103" i="3" l="1"/>
  <c r="BU105" i="3" s="1"/>
  <c r="BU56" i="1"/>
  <c r="AS48" i="6"/>
  <c r="BT51" i="1"/>
  <c r="BT59" i="1"/>
  <c r="AT61" i="1"/>
  <c r="AT37" i="1"/>
  <c r="AT40" i="1" s="1"/>
  <c r="AT44" i="1"/>
  <c r="AT48" i="1" s="1"/>
  <c r="AT9" i="6"/>
  <c r="AR9" i="6"/>
  <c r="B18" i="5"/>
  <c r="B20" i="5"/>
  <c r="AT6" i="5"/>
  <c r="W87" i="7"/>
  <c r="V87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AT86" i="7"/>
  <c r="AT84" i="7"/>
  <c r="AT35" i="7"/>
  <c r="AT33" i="7"/>
  <c r="AT14" i="7"/>
  <c r="AT6" i="7"/>
  <c r="AT48" i="7" s="1"/>
  <c r="AT81" i="7"/>
  <c r="AT76" i="7"/>
  <c r="AT75" i="7"/>
  <c r="AT49" i="7"/>
  <c r="AT42" i="7"/>
  <c r="AT39" i="7"/>
  <c r="AT34" i="7"/>
  <c r="AT111" i="3"/>
  <c r="AT69" i="3"/>
  <c r="AT98" i="3"/>
  <c r="AT40" i="3"/>
  <c r="AT10" i="3"/>
  <c r="AT112" i="3"/>
  <c r="AT118" i="3"/>
  <c r="B51" i="1"/>
  <c r="B50" i="1"/>
  <c r="B36" i="1"/>
  <c r="AS26" i="1"/>
  <c r="AS6" i="1"/>
  <c r="BU106" i="3" l="1"/>
  <c r="AT41" i="7"/>
  <c r="AX41" i="7"/>
  <c r="AX103" i="3"/>
  <c r="AX105" i="3" s="1"/>
  <c r="AX56" i="1"/>
  <c r="AT19" i="7"/>
  <c r="AT21" i="7" s="1"/>
  <c r="AT59" i="1"/>
  <c r="AT51" i="1"/>
  <c r="AT119" i="3"/>
  <c r="AT27" i="3"/>
  <c r="AT25" i="3" s="1"/>
  <c r="AT101" i="3"/>
  <c r="AT50" i="3"/>
  <c r="AT81" i="3" s="1"/>
  <c r="AT9" i="3"/>
  <c r="AT115" i="3"/>
  <c r="AS15" i="1"/>
  <c r="AT59" i="6"/>
  <c r="AT44" i="7"/>
  <c r="AT85" i="3"/>
  <c r="AT93" i="3" s="1"/>
  <c r="AT48" i="3" l="1"/>
  <c r="AX106" i="3"/>
  <c r="AW55" i="1"/>
  <c r="AW110" i="3"/>
  <c r="AS17" i="1"/>
  <c r="AT45" i="7"/>
  <c r="AT32" i="7"/>
  <c r="AT36" i="7" s="1"/>
  <c r="AT122" i="3"/>
  <c r="AT108" i="3"/>
  <c r="AT95" i="3"/>
  <c r="AT83" i="7"/>
  <c r="AT61" i="7"/>
  <c r="AT63" i="7" l="1"/>
  <c r="AT87" i="7" s="1"/>
  <c r="AT96" i="3"/>
  <c r="AW113" i="3"/>
  <c r="AW117" i="3"/>
  <c r="AW109" i="3"/>
  <c r="AT43" i="7"/>
  <c r="AX40" i="7"/>
  <c r="AT74" i="7"/>
  <c r="AS31" i="1" l="1"/>
  <c r="AS46" i="1" s="1"/>
  <c r="AS45" i="1"/>
  <c r="AS22" i="1" l="1"/>
  <c r="AS25" i="1" s="1"/>
  <c r="AW57" i="1" s="1"/>
  <c r="AS58" i="1"/>
  <c r="AS60" i="1" l="1"/>
  <c r="AS30" i="1"/>
  <c r="AS34" i="1" s="1"/>
  <c r="AS39" i="1" s="1"/>
  <c r="AS37" i="1" l="1"/>
  <c r="AS40" i="1" s="1"/>
  <c r="AS61" i="1"/>
  <c r="AS44" i="1"/>
  <c r="AS48" i="1" s="1"/>
  <c r="AW103" i="3" l="1"/>
  <c r="AW105" i="3" s="1"/>
  <c r="AW56" i="1"/>
  <c r="AS51" i="1"/>
  <c r="AS59" i="1"/>
  <c r="AW106" i="3" l="1"/>
  <c r="C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AT69" i="6"/>
  <c r="AT50" i="6"/>
  <c r="AT38" i="6"/>
  <c r="AT20" i="6"/>
  <c r="B11" i="5"/>
  <c r="AS6" i="5"/>
  <c r="AR6" i="5"/>
  <c r="AS77" i="7"/>
  <c r="AR77" i="7"/>
  <c r="AS81" i="7"/>
  <c r="AS49" i="7"/>
  <c r="AR49" i="7"/>
  <c r="AQ49" i="7"/>
  <c r="AS35" i="7"/>
  <c r="AR35" i="7"/>
  <c r="AR10" i="7"/>
  <c r="AS10" i="7"/>
  <c r="AQ10" i="7"/>
  <c r="AS21" i="7"/>
  <c r="AS45" i="7" s="1"/>
  <c r="AR21" i="7"/>
  <c r="AS33" i="7"/>
  <c r="AS6" i="7"/>
  <c r="AS48" i="7" s="1"/>
  <c r="AR6" i="7"/>
  <c r="AR48" i="7" s="1"/>
  <c r="AS76" i="7"/>
  <c r="AS57" i="7"/>
  <c r="AS75" i="7" s="1"/>
  <c r="AS53" i="7"/>
  <c r="AS56" i="7" s="1"/>
  <c r="AS42" i="7"/>
  <c r="AS39" i="7"/>
  <c r="AS34" i="7"/>
  <c r="AS118" i="3"/>
  <c r="AS112" i="3"/>
  <c r="AS111" i="3"/>
  <c r="AS98" i="3"/>
  <c r="AM93" i="3"/>
  <c r="P93" i="3"/>
  <c r="J93" i="3"/>
  <c r="F93" i="3"/>
  <c r="E93" i="3"/>
  <c r="B91" i="3"/>
  <c r="AS85" i="3"/>
  <c r="AS93" i="3" s="1"/>
  <c r="AS69" i="3"/>
  <c r="AS50" i="3"/>
  <c r="AS40" i="3"/>
  <c r="AS27" i="3"/>
  <c r="AS10" i="3"/>
  <c r="AS101" i="3" s="1"/>
  <c r="AP10" i="3"/>
  <c r="AR10" i="3"/>
  <c r="AQ10" i="3"/>
  <c r="AR31" i="1"/>
  <c r="AR46" i="1" s="1"/>
  <c r="AR26" i="1"/>
  <c r="AR45" i="1" s="1"/>
  <c r="AR6" i="1"/>
  <c r="AQ6" i="1"/>
  <c r="AV54" i="1"/>
  <c r="AS9" i="3" l="1"/>
  <c r="AS86" i="7"/>
  <c r="AW83" i="7"/>
  <c r="AS119" i="3"/>
  <c r="AS108" i="3"/>
  <c r="AS122" i="3"/>
  <c r="AS48" i="3"/>
  <c r="AS81" i="3"/>
  <c r="AS95" i="3" s="1"/>
  <c r="AR15" i="1"/>
  <c r="AS115" i="3"/>
  <c r="AT48" i="6"/>
  <c r="AS84" i="7"/>
  <c r="AS44" i="7"/>
  <c r="AS41" i="7"/>
  <c r="AS83" i="7"/>
  <c r="AS61" i="7"/>
  <c r="AS32" i="7"/>
  <c r="AS36" i="7" s="1"/>
  <c r="AW40" i="7" s="1"/>
  <c r="AS25" i="3"/>
  <c r="C6" i="5"/>
  <c r="AS63" i="7" l="1"/>
  <c r="AS87" i="7" s="1"/>
  <c r="AS96" i="3"/>
  <c r="AR17" i="1"/>
  <c r="AR22" i="1" s="1"/>
  <c r="AR25" i="1" s="1"/>
  <c r="AV57" i="1" s="1"/>
  <c r="AV55" i="1"/>
  <c r="AV110" i="3"/>
  <c r="AS43" i="7"/>
  <c r="AS74" i="7" l="1"/>
  <c r="AS78" i="7" s="1"/>
  <c r="AW82" i="7" s="1"/>
  <c r="AR58" i="1"/>
  <c r="AV113" i="3"/>
  <c r="AR30" i="1"/>
  <c r="AR34" i="1" s="1"/>
  <c r="AS85" i="7"/>
  <c r="AR60" i="1"/>
  <c r="BS7" i="5"/>
  <c r="BR7" i="5"/>
  <c r="BQ7" i="5"/>
  <c r="BP7" i="5"/>
  <c r="BO7" i="5"/>
  <c r="BL7" i="5"/>
  <c r="BK7" i="5"/>
  <c r="BJ7" i="5"/>
  <c r="BS6" i="5"/>
  <c r="E6" i="5"/>
  <c r="F6" i="5"/>
  <c r="G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D6" i="5"/>
  <c r="AQ6" i="7"/>
  <c r="AQ48" i="7" s="1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R39" i="1" l="1"/>
  <c r="AR37" i="1"/>
  <c r="AR40" i="1" s="1"/>
  <c r="AR61" i="1"/>
  <c r="AR44" i="1"/>
  <c r="AR48" i="1" s="1"/>
  <c r="AV56" i="1" s="1"/>
  <c r="AR50" i="6"/>
  <c r="AN36" i="6"/>
  <c r="AQ36" i="6"/>
  <c r="AR36" i="6"/>
  <c r="AR69" i="6"/>
  <c r="AR59" i="6"/>
  <c r="AR38" i="6"/>
  <c r="AR23" i="6"/>
  <c r="AR22" i="6"/>
  <c r="AR21" i="6"/>
  <c r="AR81" i="7"/>
  <c r="AR76" i="7"/>
  <c r="AR57" i="7"/>
  <c r="AR75" i="7" s="1"/>
  <c r="AR53" i="7"/>
  <c r="AR84" i="7" s="1"/>
  <c r="AR44" i="7"/>
  <c r="AR42" i="7"/>
  <c r="AR41" i="7"/>
  <c r="AR39" i="7"/>
  <c r="AR34" i="7"/>
  <c r="AR33" i="7"/>
  <c r="AR45" i="7"/>
  <c r="AR118" i="3"/>
  <c r="AR112" i="3"/>
  <c r="AR111" i="3"/>
  <c r="AR85" i="3"/>
  <c r="AR93" i="3" s="1"/>
  <c r="AQ85" i="3"/>
  <c r="AQ93" i="3" s="1"/>
  <c r="AP85" i="3"/>
  <c r="AP93" i="3" s="1"/>
  <c r="AQ31" i="1"/>
  <c r="AQ46" i="1" s="1"/>
  <c r="AQ26" i="1"/>
  <c r="AQ45" i="1" s="1"/>
  <c r="AU54" i="1"/>
  <c r="B76" i="7"/>
  <c r="B62" i="7"/>
  <c r="B34" i="7"/>
  <c r="B20" i="7"/>
  <c r="B46" i="1"/>
  <c r="B33" i="1"/>
  <c r="B32" i="1"/>
  <c r="B31" i="1"/>
  <c r="AR122" i="3" l="1"/>
  <c r="AV103" i="3"/>
  <c r="AQ15" i="1"/>
  <c r="AU55" i="1" s="1"/>
  <c r="AR51" i="1"/>
  <c r="AR59" i="1"/>
  <c r="AR108" i="3"/>
  <c r="AR20" i="6"/>
  <c r="AR48" i="6"/>
  <c r="AR119" i="3"/>
  <c r="AR32" i="7"/>
  <c r="AR36" i="7" s="1"/>
  <c r="AR56" i="7"/>
  <c r="AR115" i="3"/>
  <c r="AR61" i="7" l="1"/>
  <c r="AV83" i="7"/>
  <c r="AR86" i="7"/>
  <c r="AV105" i="3"/>
  <c r="AV106" i="3"/>
  <c r="AR43" i="7"/>
  <c r="AQ17" i="1"/>
  <c r="AU110" i="3"/>
  <c r="AR83" i="7"/>
  <c r="AR63" i="7" l="1"/>
  <c r="AR74" i="7" s="1"/>
  <c r="AR78" i="7" s="1"/>
  <c r="AV82" i="7" s="1"/>
  <c r="AU117" i="3"/>
  <c r="AU113" i="3"/>
  <c r="AU109" i="3"/>
  <c r="AQ58" i="1"/>
  <c r="AQ22" i="1"/>
  <c r="AQ25" i="1" s="1"/>
  <c r="AU57" i="1" s="1"/>
  <c r="AR9" i="3"/>
  <c r="AR98" i="3"/>
  <c r="AR101" i="3" s="1"/>
  <c r="AR69" i="3"/>
  <c r="AR50" i="3"/>
  <c r="AR40" i="3"/>
  <c r="AR27" i="3"/>
  <c r="AR87" i="7" l="1"/>
  <c r="AR85" i="7"/>
  <c r="AQ60" i="1"/>
  <c r="AQ30" i="1"/>
  <c r="AQ34" i="1" s="1"/>
  <c r="AQ39" i="1" s="1"/>
  <c r="AR48" i="3"/>
  <c r="AR81" i="3"/>
  <c r="AR95" i="3" s="1"/>
  <c r="AR25" i="3"/>
  <c r="AR96" i="3" l="1"/>
  <c r="AQ61" i="1"/>
  <c r="AQ44" i="1"/>
  <c r="AQ48" i="1" s="1"/>
  <c r="AU56" i="1" s="1"/>
  <c r="AQ37" i="1"/>
  <c r="AQ40" i="1" s="1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AQ51" i="1" l="1"/>
  <c r="AU103" i="3"/>
  <c r="AQ59" i="1"/>
  <c r="Y70" i="7"/>
  <c r="B66" i="3"/>
  <c r="B65" i="3"/>
  <c r="B65" i="5"/>
  <c r="B64" i="5"/>
  <c r="B63" i="5"/>
  <c r="AU105" i="3" l="1"/>
  <c r="AU106" i="3"/>
  <c r="AM9" i="6"/>
  <c r="AP84" i="7"/>
  <c r="AO84" i="7"/>
  <c r="AN84" i="7"/>
  <c r="AQ83" i="7"/>
  <c r="AP83" i="7"/>
  <c r="AO83" i="7"/>
  <c r="AN83" i="7"/>
  <c r="AQ81" i="7"/>
  <c r="AP81" i="7"/>
  <c r="AO81" i="7"/>
  <c r="AN81" i="7"/>
  <c r="BN87" i="7"/>
  <c r="BM87" i="7"/>
  <c r="BN86" i="7"/>
  <c r="BM86" i="7"/>
  <c r="BL86" i="7"/>
  <c r="BN84" i="7"/>
  <c r="BM84" i="7"/>
  <c r="BL84" i="7"/>
  <c r="BN83" i="7"/>
  <c r="BM83" i="7"/>
  <c r="BL83" i="7"/>
  <c r="BN81" i="7"/>
  <c r="BM81" i="7"/>
  <c r="BL81" i="7"/>
  <c r="BN77" i="7"/>
  <c r="BM77" i="7"/>
  <c r="BN76" i="7"/>
  <c r="BM76" i="7"/>
  <c r="BN75" i="7"/>
  <c r="BM75" i="7"/>
  <c r="BN74" i="7"/>
  <c r="BM74" i="7"/>
  <c r="AQ61" i="7"/>
  <c r="AQ63" i="7" s="1"/>
  <c r="AQ87" i="7" s="1"/>
  <c r="AQ53" i="7"/>
  <c r="AQ84" i="7" s="1"/>
  <c r="AP44" i="7"/>
  <c r="AO44" i="7"/>
  <c r="AN44" i="7"/>
  <c r="AM44" i="7"/>
  <c r="AL44" i="7"/>
  <c r="AP42" i="7"/>
  <c r="AO42" i="7"/>
  <c r="AN42" i="7"/>
  <c r="AM42" i="7"/>
  <c r="AL42" i="7"/>
  <c r="AP41" i="7"/>
  <c r="AO41" i="7"/>
  <c r="AN41" i="7"/>
  <c r="AM41" i="7"/>
  <c r="AL41" i="7"/>
  <c r="AP39" i="7"/>
  <c r="AO39" i="7"/>
  <c r="AN39" i="7"/>
  <c r="AM39" i="7"/>
  <c r="AL39" i="7"/>
  <c r="AQ26" i="7"/>
  <c r="AQ25" i="7"/>
  <c r="AQ24" i="7"/>
  <c r="AQ23" i="7"/>
  <c r="BM39" i="7"/>
  <c r="BM41" i="7"/>
  <c r="BM42" i="7"/>
  <c r="BM44" i="7"/>
  <c r="BM45" i="7"/>
  <c r="BN39" i="7"/>
  <c r="BN41" i="7"/>
  <c r="BN42" i="7"/>
  <c r="BN44" i="7"/>
  <c r="BN45" i="7"/>
  <c r="BM78" i="7" l="1"/>
  <c r="BM85" i="7" s="1"/>
  <c r="BN78" i="7"/>
  <c r="BO82" i="7" s="1"/>
  <c r="BM82" i="7" l="1"/>
  <c r="BN85" i="7"/>
  <c r="BN82" i="7"/>
  <c r="BT27" i="3" l="1"/>
  <c r="BS27" i="3"/>
  <c r="BR27" i="3"/>
  <c r="BT40" i="3"/>
  <c r="BS40" i="3"/>
  <c r="BR40" i="3"/>
  <c r="BT50" i="3"/>
  <c r="BS50" i="3"/>
  <c r="BR50" i="3"/>
  <c r="BT69" i="3"/>
  <c r="BS69" i="3"/>
  <c r="BR69" i="3"/>
  <c r="BS85" i="3"/>
  <c r="BS93" i="3" s="1"/>
  <c r="BS121" i="3"/>
  <c r="BR121" i="3"/>
  <c r="BQ121" i="3"/>
  <c r="BP121" i="3"/>
  <c r="BO121" i="3"/>
  <c r="BN121" i="3"/>
  <c r="BM121" i="3"/>
  <c r="BL121" i="3"/>
  <c r="BK121" i="3"/>
  <c r="BJ121" i="3"/>
  <c r="BT112" i="3"/>
  <c r="BT111" i="3"/>
  <c r="BT121" i="3"/>
  <c r="BT118" i="3"/>
  <c r="BT120" i="3"/>
  <c r="AQ118" i="3"/>
  <c r="AQ112" i="3"/>
  <c r="AQ111" i="3"/>
  <c r="AQ122" i="3" l="1"/>
  <c r="BS25" i="3"/>
  <c r="BR25" i="3"/>
  <c r="BT122" i="3"/>
  <c r="BT25" i="3"/>
  <c r="AQ115" i="3"/>
  <c r="BT119" i="3"/>
  <c r="AQ119" i="3"/>
  <c r="BT115" i="3"/>
  <c r="AQ108" i="3"/>
  <c r="BT93" i="3"/>
  <c r="BT108" i="3"/>
  <c r="BS111" i="3"/>
  <c r="AQ42" i="7" l="1"/>
  <c r="AQ39" i="7"/>
  <c r="BS118" i="3"/>
  <c r="BS119" i="3" s="1"/>
  <c r="BS112" i="3"/>
  <c r="AQ44" i="7" l="1"/>
  <c r="AQ41" i="7"/>
  <c r="BS115" i="3"/>
  <c r="BS120" i="3"/>
  <c r="BS108" i="3" s="1"/>
  <c r="BS98" i="3"/>
  <c r="B24" i="5"/>
  <c r="B17" i="5"/>
  <c r="BT69" i="6"/>
  <c r="AP59" i="6"/>
  <c r="BT38" i="6"/>
  <c r="AI9" i="6"/>
  <c r="BS17" i="6"/>
  <c r="BS16" i="6"/>
  <c r="BS14" i="6"/>
  <c r="BS13" i="6"/>
  <c r="BS12" i="6"/>
  <c r="BS11" i="6"/>
  <c r="BS10" i="6"/>
  <c r="BT17" i="6"/>
  <c r="BT16" i="6"/>
  <c r="AL25" i="6"/>
  <c r="AQ69" i="6"/>
  <c r="AQ38" i="6"/>
  <c r="BS6" i="3"/>
  <c r="BK81" i="7"/>
  <c r="BJ84" i="7"/>
  <c r="BS122" i="3" l="1"/>
  <c r="BM35" i="7"/>
  <c r="BS10" i="3" l="1"/>
  <c r="BS101" i="3" l="1"/>
  <c r="BS9" i="3"/>
  <c r="BS48" i="3" s="1"/>
  <c r="BS81" i="3"/>
  <c r="BS95" i="3" s="1"/>
  <c r="BS96" i="3" l="1"/>
  <c r="BM34" i="7" l="1"/>
  <c r="BN34" i="7"/>
  <c r="AM59" i="6" l="1"/>
  <c r="BS59" i="6" l="1"/>
  <c r="BN33" i="7" l="1"/>
  <c r="BM33" i="7"/>
  <c r="BN32" i="7" l="1"/>
  <c r="BM32" i="7" l="1"/>
  <c r="BM36" i="7" s="1"/>
  <c r="BQ40" i="7" s="1"/>
  <c r="BM43" i="7" l="1"/>
  <c r="BM40" i="7"/>
  <c r="BN35" i="7" l="1"/>
  <c r="BN36" i="7" s="1"/>
  <c r="BN43" i="7" l="1"/>
  <c r="BT10" i="6" l="1"/>
  <c r="BT11" i="6"/>
  <c r="BT13" i="6" l="1"/>
  <c r="BT12" i="6" l="1"/>
  <c r="BT59" i="6" l="1"/>
  <c r="AQ59" i="6" l="1"/>
  <c r="BT50" i="6"/>
  <c r="BT48" i="6" s="1"/>
  <c r="AQ50" i="6" l="1"/>
  <c r="AQ48" i="6" s="1"/>
  <c r="BT25" i="6" l="1"/>
  <c r="BT14" i="6" l="1"/>
  <c r="BT9" i="6" s="1"/>
  <c r="AQ9" i="6"/>
  <c r="X52" i="7" l="1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BJ52" i="7"/>
  <c r="BK52" i="7"/>
  <c r="BL52" i="7"/>
  <c r="BK86" i="7"/>
  <c r="BK84" i="7"/>
  <c r="BK83" i="7"/>
  <c r="BJ81" i="7"/>
  <c r="BJ83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AQ76" i="7"/>
  <c r="AQ75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AQ35" i="7"/>
  <c r="AQ34" i="7"/>
  <c r="AQ33" i="7"/>
  <c r="B52" i="7"/>
  <c r="B10" i="7"/>
  <c r="BL10" i="7"/>
  <c r="BK10" i="7"/>
  <c r="BJ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AP10" i="7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BR111" i="3"/>
  <c r="BQ111" i="3"/>
  <c r="BP111" i="3"/>
  <c r="BO111" i="3"/>
  <c r="BN111" i="3"/>
  <c r="BM111" i="3"/>
  <c r="BL111" i="3"/>
  <c r="BK111" i="3"/>
  <c r="BJ111" i="3"/>
  <c r="C111" i="3" s="1"/>
  <c r="BT6" i="3"/>
  <c r="BN6" i="3"/>
  <c r="AO50" i="3"/>
  <c r="AN50" i="3"/>
  <c r="BS26" i="1"/>
  <c r="BS45" i="1" s="1"/>
  <c r="BT23" i="6"/>
  <c r="BT22" i="6"/>
  <c r="AQ23" i="6"/>
  <c r="AQ22" i="6"/>
  <c r="AQ21" i="6"/>
  <c r="AP6" i="1"/>
  <c r="AQ20" i="6" l="1"/>
  <c r="AQ21" i="7"/>
  <c r="AQ45" i="7" s="1"/>
  <c r="BT21" i="6"/>
  <c r="BT20" i="6" s="1"/>
  <c r="AQ9" i="3"/>
  <c r="AQ27" i="3"/>
  <c r="AQ40" i="3"/>
  <c r="BT98" i="3"/>
  <c r="AQ98" i="3"/>
  <c r="AQ50" i="3"/>
  <c r="AQ74" i="7"/>
  <c r="BT10" i="3"/>
  <c r="BT54" i="1"/>
  <c r="BS31" i="1"/>
  <c r="BS46" i="1" s="1"/>
  <c r="AQ69" i="3"/>
  <c r="AP31" i="1"/>
  <c r="AP46" i="1" s="1"/>
  <c r="AQ25" i="3" l="1"/>
  <c r="BT9" i="3"/>
  <c r="BT101" i="3"/>
  <c r="AQ32" i="7"/>
  <c r="AQ36" i="7" s="1"/>
  <c r="AQ48" i="3"/>
  <c r="BT48" i="3"/>
  <c r="AQ81" i="3"/>
  <c r="AQ95" i="3" s="1"/>
  <c r="BS15" i="1"/>
  <c r="BT55" i="1" s="1"/>
  <c r="BT81" i="3"/>
  <c r="BT95" i="3" s="1"/>
  <c r="AQ101" i="3"/>
  <c r="B121" i="3"/>
  <c r="AG26" i="1"/>
  <c r="AG45" i="1" s="1"/>
  <c r="AG31" i="1"/>
  <c r="AG46" i="1" s="1"/>
  <c r="B28" i="2"/>
  <c r="BN118" i="3"/>
  <c r="BN119" i="3" s="1"/>
  <c r="BN120" i="3"/>
  <c r="BN112" i="3"/>
  <c r="BN98" i="3"/>
  <c r="BN50" i="3"/>
  <c r="BN69" i="3"/>
  <c r="BN85" i="3"/>
  <c r="BN93" i="3" s="1"/>
  <c r="BN10" i="3"/>
  <c r="BN9" i="3" s="1"/>
  <c r="BN27" i="3"/>
  <c r="BN40" i="3"/>
  <c r="BM118" i="3"/>
  <c r="BM119" i="3" s="1"/>
  <c r="BM120" i="3"/>
  <c r="BM112" i="3"/>
  <c r="BM98" i="3"/>
  <c r="BM50" i="3"/>
  <c r="BM69" i="3"/>
  <c r="BM85" i="3"/>
  <c r="BM93" i="3" s="1"/>
  <c r="BM10" i="3"/>
  <c r="BM9" i="3" s="1"/>
  <c r="BM27" i="3"/>
  <c r="BM40" i="3"/>
  <c r="BL118" i="3"/>
  <c r="BL119" i="3" s="1"/>
  <c r="BL23" i="3"/>
  <c r="BL120" i="3" s="1"/>
  <c r="BL112" i="3"/>
  <c r="BL98" i="3"/>
  <c r="BL50" i="3"/>
  <c r="BL69" i="3"/>
  <c r="BL85" i="3"/>
  <c r="BL93" i="3" s="1"/>
  <c r="BL10" i="3"/>
  <c r="BL27" i="3"/>
  <c r="BL40" i="3"/>
  <c r="BJ118" i="3"/>
  <c r="BJ23" i="3"/>
  <c r="BJ120" i="3" s="1"/>
  <c r="BJ112" i="3"/>
  <c r="BJ98" i="3"/>
  <c r="BJ50" i="3"/>
  <c r="BJ69" i="3"/>
  <c r="BJ85" i="3"/>
  <c r="BJ93" i="3" s="1"/>
  <c r="BJ10" i="3"/>
  <c r="BJ27" i="3"/>
  <c r="BJ40" i="3"/>
  <c r="BK118" i="3"/>
  <c r="BK23" i="3"/>
  <c r="BK120" i="3" s="1"/>
  <c r="BK115" i="3"/>
  <c r="BK112" i="3"/>
  <c r="BK98" i="3"/>
  <c r="BK50" i="3"/>
  <c r="BK69" i="3"/>
  <c r="BK85" i="3"/>
  <c r="BK93" i="3" s="1"/>
  <c r="BK10" i="3"/>
  <c r="BK27" i="3"/>
  <c r="BK40" i="3"/>
  <c r="BO118" i="3"/>
  <c r="BO119" i="3" s="1"/>
  <c r="BO120" i="3"/>
  <c r="BO112" i="3"/>
  <c r="BO98" i="3"/>
  <c r="BO50" i="3"/>
  <c r="BO69" i="3"/>
  <c r="BO85" i="3"/>
  <c r="BO93" i="3" s="1"/>
  <c r="BO10" i="3"/>
  <c r="BO9" i="3" s="1"/>
  <c r="BO27" i="3"/>
  <c r="BO40" i="3"/>
  <c r="BP118" i="3"/>
  <c r="BP119" i="3" s="1"/>
  <c r="BP120" i="3"/>
  <c r="BP112" i="3"/>
  <c r="BP98" i="3"/>
  <c r="BP50" i="3"/>
  <c r="BP69" i="3"/>
  <c r="BP85" i="3"/>
  <c r="BP93" i="3" s="1"/>
  <c r="BP10" i="3"/>
  <c r="BP9" i="3" s="1"/>
  <c r="BP27" i="3"/>
  <c r="BP40" i="3"/>
  <c r="BQ118" i="3"/>
  <c r="BQ120" i="3"/>
  <c r="BQ112" i="3"/>
  <c r="BQ98" i="3"/>
  <c r="BQ50" i="3"/>
  <c r="BQ69" i="3"/>
  <c r="BQ85" i="3"/>
  <c r="BQ93" i="3" s="1"/>
  <c r="BQ10" i="3"/>
  <c r="BQ9" i="3" s="1"/>
  <c r="BQ27" i="3"/>
  <c r="BQ40" i="3"/>
  <c r="BR118" i="3"/>
  <c r="BR119" i="3" s="1"/>
  <c r="BR120" i="3"/>
  <c r="BR16" i="3"/>
  <c r="BR114" i="3" s="1"/>
  <c r="BR112" i="3"/>
  <c r="BR98" i="3"/>
  <c r="BR85" i="3"/>
  <c r="BR93" i="3" s="1"/>
  <c r="BR10" i="3"/>
  <c r="BN7" i="3"/>
  <c r="BM7" i="3"/>
  <c r="BR6" i="3"/>
  <c r="BQ6" i="3"/>
  <c r="BP6" i="3"/>
  <c r="BO6" i="3"/>
  <c r="BM6" i="3"/>
  <c r="BL6" i="3"/>
  <c r="BK6" i="3"/>
  <c r="BJ6" i="3"/>
  <c r="D8" i="2"/>
  <c r="B6" i="7" s="1"/>
  <c r="AF67" i="6"/>
  <c r="AA67" i="6"/>
  <c r="AO16" i="3"/>
  <c r="AO114" i="3" s="1"/>
  <c r="AO112" i="3"/>
  <c r="AO118" i="3"/>
  <c r="AN16" i="3"/>
  <c r="AN112" i="3"/>
  <c r="AN118" i="3"/>
  <c r="AM112" i="3"/>
  <c r="AM118" i="3"/>
  <c r="AL16" i="3"/>
  <c r="AL114" i="3" s="1"/>
  <c r="AL112" i="3"/>
  <c r="AL118" i="3"/>
  <c r="AL119" i="3" s="1"/>
  <c r="AK16" i="3"/>
  <c r="AK114" i="3" s="1"/>
  <c r="AK112" i="3"/>
  <c r="AK118" i="3"/>
  <c r="AJ16" i="3"/>
  <c r="AJ114" i="3" s="1"/>
  <c r="AJ112" i="3"/>
  <c r="AJ118" i="3"/>
  <c r="AI16" i="3"/>
  <c r="AI114" i="3" s="1"/>
  <c r="AI112" i="3"/>
  <c r="AI118" i="3"/>
  <c r="AI119" i="3" s="1"/>
  <c r="AH112" i="3"/>
  <c r="AH118" i="3"/>
  <c r="AG115" i="3"/>
  <c r="AG112" i="3"/>
  <c r="AG118" i="3"/>
  <c r="AG119" i="3" s="1"/>
  <c r="AF112" i="3"/>
  <c r="AF118" i="3"/>
  <c r="AE112" i="3"/>
  <c r="AE118" i="3"/>
  <c r="AD112" i="3"/>
  <c r="AD118" i="3"/>
  <c r="AC112" i="3"/>
  <c r="AC118" i="3"/>
  <c r="AC119" i="3" s="1"/>
  <c r="AB112" i="3"/>
  <c r="AB118" i="3"/>
  <c r="AA115" i="3"/>
  <c r="AA112" i="3"/>
  <c r="AA118" i="3"/>
  <c r="Z112" i="3"/>
  <c r="Z118" i="3"/>
  <c r="Y112" i="3"/>
  <c r="Y118" i="3"/>
  <c r="X112" i="3"/>
  <c r="X118" i="3"/>
  <c r="X119" i="3" s="1"/>
  <c r="W115" i="3"/>
  <c r="W112" i="3"/>
  <c r="W118" i="3"/>
  <c r="V112" i="3"/>
  <c r="V118" i="3"/>
  <c r="V119" i="3" s="1"/>
  <c r="U112" i="3"/>
  <c r="U118" i="3"/>
  <c r="T112" i="3"/>
  <c r="T118" i="3"/>
  <c r="S112" i="3"/>
  <c r="S118" i="3"/>
  <c r="R112" i="3"/>
  <c r="R118" i="3"/>
  <c r="R119" i="3" s="1"/>
  <c r="Q112" i="3"/>
  <c r="Q118" i="3"/>
  <c r="Q119" i="3" s="1"/>
  <c r="P112" i="3"/>
  <c r="P118" i="3"/>
  <c r="P119" i="3" s="1"/>
  <c r="O112" i="3"/>
  <c r="O118" i="3"/>
  <c r="N112" i="3"/>
  <c r="N118" i="3"/>
  <c r="M115" i="3"/>
  <c r="M112" i="3"/>
  <c r="M118" i="3"/>
  <c r="L112" i="3"/>
  <c r="L118" i="3"/>
  <c r="L119" i="3" s="1"/>
  <c r="K112" i="3"/>
  <c r="K23" i="3"/>
  <c r="K120" i="3" s="1"/>
  <c r="K118" i="3"/>
  <c r="J112" i="3"/>
  <c r="J23" i="3"/>
  <c r="J120" i="3" s="1"/>
  <c r="J118" i="3"/>
  <c r="I112" i="3"/>
  <c r="I118" i="3"/>
  <c r="H112" i="3"/>
  <c r="H23" i="3"/>
  <c r="H120" i="3" s="1"/>
  <c r="H118" i="3"/>
  <c r="G115" i="3"/>
  <c r="G112" i="3"/>
  <c r="G23" i="3"/>
  <c r="G120" i="3" s="1"/>
  <c r="G118" i="3"/>
  <c r="D23" i="3"/>
  <c r="C115" i="3"/>
  <c r="C112" i="3"/>
  <c r="C23" i="3"/>
  <c r="C120" i="3" s="1"/>
  <c r="C118" i="3"/>
  <c r="AP115" i="3"/>
  <c r="AP17" i="3"/>
  <c r="AP116" i="3" s="1"/>
  <c r="AP112" i="3"/>
  <c r="AP118" i="3"/>
  <c r="B120" i="3"/>
  <c r="B19" i="2"/>
  <c r="B13" i="2"/>
  <c r="B14" i="2"/>
  <c r="Y54" i="1"/>
  <c r="H119" i="3"/>
  <c r="G12" i="1"/>
  <c r="AQ54" i="1"/>
  <c r="AR54" i="1"/>
  <c r="AN31" i="1"/>
  <c r="AN46" i="1" s="1"/>
  <c r="AN26" i="1"/>
  <c r="AN45" i="1" s="1"/>
  <c r="AM31" i="1"/>
  <c r="AM26" i="1"/>
  <c r="AM45" i="1" s="1"/>
  <c r="BR31" i="1"/>
  <c r="BR46" i="1" s="1"/>
  <c r="BR26" i="1"/>
  <c r="AL31" i="1"/>
  <c r="AL46" i="1" s="1"/>
  <c r="AL26" i="1"/>
  <c r="AL45" i="1" s="1"/>
  <c r="AK31" i="1"/>
  <c r="AK46" i="1" s="1"/>
  <c r="AK26" i="1"/>
  <c r="AK45" i="1" s="1"/>
  <c r="AJ31" i="1"/>
  <c r="AJ46" i="1" s="1"/>
  <c r="AJ26" i="1"/>
  <c r="AJ45" i="1" s="1"/>
  <c r="AI31" i="1"/>
  <c r="AI46" i="1" s="1"/>
  <c r="AI26" i="1"/>
  <c r="AI45" i="1" s="1"/>
  <c r="BQ31" i="1"/>
  <c r="BQ46" i="1" s="1"/>
  <c r="BQ26" i="1"/>
  <c r="BQ45" i="1" s="1"/>
  <c r="AH31" i="1"/>
  <c r="AH46" i="1" s="1"/>
  <c r="AH26" i="1"/>
  <c r="AH45" i="1" s="1"/>
  <c r="AF31" i="1"/>
  <c r="AF46" i="1" s="1"/>
  <c r="AF26" i="1"/>
  <c r="AF45" i="1" s="1"/>
  <c r="AE31" i="1"/>
  <c r="AE46" i="1" s="1"/>
  <c r="AE26" i="1"/>
  <c r="AE45" i="1" s="1"/>
  <c r="BP31" i="1"/>
  <c r="BP46" i="1" s="1"/>
  <c r="BP26" i="1"/>
  <c r="BP45" i="1" s="1"/>
  <c r="AD31" i="1"/>
  <c r="AD46" i="1" s="1"/>
  <c r="AD26" i="1"/>
  <c r="AC31" i="1"/>
  <c r="AC46" i="1" s="1"/>
  <c r="AC26" i="1"/>
  <c r="AC45" i="1" s="1"/>
  <c r="AB31" i="1"/>
  <c r="AB46" i="1" s="1"/>
  <c r="AB26" i="1"/>
  <c r="AB45" i="1" s="1"/>
  <c r="AA31" i="1"/>
  <c r="AA46" i="1" s="1"/>
  <c r="AA26" i="1"/>
  <c r="AA45" i="1" s="1"/>
  <c r="BO31" i="1"/>
  <c r="BO46" i="1" s="1"/>
  <c r="BO26" i="1"/>
  <c r="BO45" i="1" s="1"/>
  <c r="Z31" i="1"/>
  <c r="Z26" i="1"/>
  <c r="Z45" i="1" s="1"/>
  <c r="Y31" i="1"/>
  <c r="Y46" i="1" s="1"/>
  <c r="Y26" i="1"/>
  <c r="Y45" i="1" s="1"/>
  <c r="X31" i="1"/>
  <c r="X46" i="1" s="1"/>
  <c r="X26" i="1"/>
  <c r="X45" i="1" s="1"/>
  <c r="W31" i="1"/>
  <c r="W46" i="1" s="1"/>
  <c r="W26" i="1"/>
  <c r="W45" i="1" s="1"/>
  <c r="BN31" i="1"/>
  <c r="BN46" i="1" s="1"/>
  <c r="BN26" i="1"/>
  <c r="BN45" i="1" s="1"/>
  <c r="V31" i="1"/>
  <c r="V46" i="1" s="1"/>
  <c r="V26" i="1"/>
  <c r="V45" i="1" s="1"/>
  <c r="U31" i="1"/>
  <c r="U46" i="1" s="1"/>
  <c r="U26" i="1"/>
  <c r="U45" i="1" s="1"/>
  <c r="T31" i="1"/>
  <c r="T46" i="1" s="1"/>
  <c r="T26" i="1"/>
  <c r="T45" i="1" s="1"/>
  <c r="S31" i="1"/>
  <c r="S26" i="1"/>
  <c r="S45" i="1" s="1"/>
  <c r="BM31" i="1"/>
  <c r="BM46" i="1" s="1"/>
  <c r="BM26" i="1"/>
  <c r="BM45" i="1" s="1"/>
  <c r="R31" i="1"/>
  <c r="R46" i="1" s="1"/>
  <c r="R26" i="1"/>
  <c r="R45" i="1" s="1"/>
  <c r="Q31" i="1"/>
  <c r="Q46" i="1" s="1"/>
  <c r="Q26" i="1"/>
  <c r="Q45" i="1" s="1"/>
  <c r="P31" i="1"/>
  <c r="P26" i="1"/>
  <c r="P45" i="1" s="1"/>
  <c r="O31" i="1"/>
  <c r="O46" i="1" s="1"/>
  <c r="O26" i="1"/>
  <c r="O45" i="1" s="1"/>
  <c r="BL31" i="1"/>
  <c r="BL46" i="1" s="1"/>
  <c r="BL26" i="1"/>
  <c r="BL45" i="1" s="1"/>
  <c r="N31" i="1"/>
  <c r="N46" i="1" s="1"/>
  <c r="N26" i="1"/>
  <c r="M31" i="1"/>
  <c r="M46" i="1" s="1"/>
  <c r="M26" i="1"/>
  <c r="M45" i="1" s="1"/>
  <c r="L31" i="1"/>
  <c r="L46" i="1" s="1"/>
  <c r="L26" i="1"/>
  <c r="L45" i="1" s="1"/>
  <c r="K31" i="1"/>
  <c r="K46" i="1" s="1"/>
  <c r="K26" i="1"/>
  <c r="K45" i="1" s="1"/>
  <c r="BK31" i="1"/>
  <c r="BK46" i="1" s="1"/>
  <c r="BK26" i="1"/>
  <c r="J31" i="1"/>
  <c r="J46" i="1" s="1"/>
  <c r="J26" i="1"/>
  <c r="J45" i="1" s="1"/>
  <c r="I31" i="1"/>
  <c r="I46" i="1" s="1"/>
  <c r="I26" i="1"/>
  <c r="I45" i="1" s="1"/>
  <c r="H31" i="1"/>
  <c r="H46" i="1" s="1"/>
  <c r="H26" i="1"/>
  <c r="H45" i="1" s="1"/>
  <c r="G31" i="1"/>
  <c r="G46" i="1" s="1"/>
  <c r="G26" i="1"/>
  <c r="G45" i="1" s="1"/>
  <c r="BJ31" i="1"/>
  <c r="BJ46" i="1" s="1"/>
  <c r="BJ26" i="1"/>
  <c r="BJ45" i="1" s="1"/>
  <c r="F31" i="1"/>
  <c r="F46" i="1" s="1"/>
  <c r="F26" i="1"/>
  <c r="F45" i="1" s="1"/>
  <c r="E31" i="1"/>
  <c r="E15" i="1"/>
  <c r="E26" i="1"/>
  <c r="D31" i="1"/>
  <c r="D15" i="1"/>
  <c r="D17" i="1" s="1"/>
  <c r="D22" i="1" s="1"/>
  <c r="D25" i="1" s="1"/>
  <c r="D26" i="1"/>
  <c r="C31" i="1"/>
  <c r="C46" i="1" s="1"/>
  <c r="C15" i="1"/>
  <c r="C26" i="1"/>
  <c r="C45" i="1" s="1"/>
  <c r="BI31" i="1"/>
  <c r="BI46" i="1" s="1"/>
  <c r="BI54" i="1"/>
  <c r="BI26" i="1"/>
  <c r="BI45" i="1" s="1"/>
  <c r="AO31" i="1"/>
  <c r="AS54" i="1"/>
  <c r="AO26" i="1"/>
  <c r="AO45" i="1" s="1"/>
  <c r="AP69" i="6"/>
  <c r="AP23" i="6"/>
  <c r="AP22" i="6"/>
  <c r="AP21" i="6"/>
  <c r="AP50" i="6"/>
  <c r="AP48" i="6" s="1"/>
  <c r="AP38" i="6"/>
  <c r="AP9" i="6"/>
  <c r="AO6" i="1"/>
  <c r="AP98" i="3"/>
  <c r="AP69" i="3"/>
  <c r="AP50" i="3"/>
  <c r="AP40" i="3"/>
  <c r="AP27" i="3"/>
  <c r="AO63" i="7"/>
  <c r="AO87" i="7" s="1"/>
  <c r="AO75" i="7"/>
  <c r="AO76" i="7"/>
  <c r="AO77" i="7"/>
  <c r="AM63" i="7"/>
  <c r="AM87" i="7" s="1"/>
  <c r="AM75" i="7"/>
  <c r="AM76" i="7"/>
  <c r="AM77" i="7"/>
  <c r="AL63" i="7"/>
  <c r="AL87" i="7" s="1"/>
  <c r="AL75" i="7"/>
  <c r="AL76" i="7"/>
  <c r="AL77" i="7"/>
  <c r="AK63" i="7"/>
  <c r="AK87" i="7" s="1"/>
  <c r="AK75" i="7"/>
  <c r="AK76" i="7"/>
  <c r="AK77" i="7"/>
  <c r="BL63" i="7"/>
  <c r="BL87" i="7" s="1"/>
  <c r="BL75" i="7"/>
  <c r="BL76" i="7"/>
  <c r="BL77" i="7"/>
  <c r="AI63" i="7"/>
  <c r="AI87" i="7" s="1"/>
  <c r="AI75" i="7"/>
  <c r="AI76" i="7"/>
  <c r="AI77" i="7"/>
  <c r="BK63" i="7"/>
  <c r="BK87" i="7" s="1"/>
  <c r="BK75" i="7"/>
  <c r="BK76" i="7"/>
  <c r="BK77" i="7"/>
  <c r="AE63" i="7"/>
  <c r="AE87" i="7" s="1"/>
  <c r="AE75" i="7"/>
  <c r="AE76" i="7"/>
  <c r="AE77" i="7"/>
  <c r="BJ63" i="7"/>
  <c r="BJ74" i="7" s="1"/>
  <c r="BJ75" i="7"/>
  <c r="BJ76" i="7"/>
  <c r="BJ77" i="7"/>
  <c r="AA63" i="7"/>
  <c r="AA87" i="7" s="1"/>
  <c r="AA75" i="7"/>
  <c r="AA76" i="7"/>
  <c r="AA77" i="7"/>
  <c r="AP63" i="7"/>
  <c r="AP87" i="7" s="1"/>
  <c r="AP75" i="7"/>
  <c r="AP76" i="7"/>
  <c r="AP77" i="7"/>
  <c r="AK21" i="7"/>
  <c r="AK33" i="7"/>
  <c r="AK34" i="7"/>
  <c r="AK35" i="7"/>
  <c r="AL21" i="7"/>
  <c r="AL45" i="7" s="1"/>
  <c r="AL33" i="7"/>
  <c r="AL34" i="7"/>
  <c r="AL35" i="7"/>
  <c r="AO21" i="7"/>
  <c r="AO45" i="7" s="1"/>
  <c r="AO33" i="7"/>
  <c r="AO34" i="7"/>
  <c r="AO35" i="7"/>
  <c r="AP48" i="7"/>
  <c r="AP49" i="7"/>
  <c r="AP35" i="7"/>
  <c r="AP34" i="7"/>
  <c r="AP33" i="7"/>
  <c r="AP21" i="7"/>
  <c r="AP45" i="7" s="1"/>
  <c r="AO69" i="6"/>
  <c r="AO59" i="6"/>
  <c r="AO50" i="6"/>
  <c r="AO38" i="6"/>
  <c r="AO23" i="6"/>
  <c r="AO22" i="6"/>
  <c r="AO21" i="6"/>
  <c r="AO9" i="6"/>
  <c r="AN6" i="1"/>
  <c r="AO98" i="3"/>
  <c r="AO85" i="3"/>
  <c r="AO93" i="3" s="1"/>
  <c r="AO69" i="3"/>
  <c r="AO81" i="3" s="1"/>
  <c r="AO40" i="3"/>
  <c r="AO27" i="3"/>
  <c r="AO10" i="3"/>
  <c r="AO49" i="7"/>
  <c r="AO48" i="7"/>
  <c r="B9" i="2"/>
  <c r="BM6" i="1"/>
  <c r="R6" i="1"/>
  <c r="Q6" i="1"/>
  <c r="P6" i="1"/>
  <c r="O6" i="1"/>
  <c r="AF9" i="6"/>
  <c r="B43" i="6"/>
  <c r="B42" i="6"/>
  <c r="B41" i="6"/>
  <c r="B40" i="6"/>
  <c r="B39" i="6"/>
  <c r="B119" i="3"/>
  <c r="B113" i="3"/>
  <c r="B117" i="3"/>
  <c r="B115" i="3"/>
  <c r="B111" i="3"/>
  <c r="B16" i="1"/>
  <c r="B110" i="3"/>
  <c r="B109" i="3"/>
  <c r="B5" i="6"/>
  <c r="B5" i="5"/>
  <c r="B5" i="3"/>
  <c r="B5" i="1"/>
  <c r="B108" i="3"/>
  <c r="AI69" i="6"/>
  <c r="AH69" i="6"/>
  <c r="AG69" i="6"/>
  <c r="AF69" i="6"/>
  <c r="BQ69" i="6"/>
  <c r="AE69" i="6"/>
  <c r="AD69" i="6"/>
  <c r="AC69" i="6"/>
  <c r="AB69" i="6"/>
  <c r="BP69" i="6"/>
  <c r="AA69" i="6"/>
  <c r="Z69" i="6"/>
  <c r="Y69" i="6"/>
  <c r="X69" i="6"/>
  <c r="BO69" i="6"/>
  <c r="W69" i="6"/>
  <c r="V69" i="6"/>
  <c r="U69" i="6"/>
  <c r="T69" i="6"/>
  <c r="BN69" i="6"/>
  <c r="S69" i="6"/>
  <c r="R69" i="6"/>
  <c r="Q69" i="6"/>
  <c r="P69" i="6"/>
  <c r="BM69" i="6"/>
  <c r="O69" i="6"/>
  <c r="N69" i="6"/>
  <c r="M69" i="6"/>
  <c r="L69" i="6"/>
  <c r="BL69" i="6"/>
  <c r="K69" i="6"/>
  <c r="J69" i="6"/>
  <c r="I69" i="6"/>
  <c r="H69" i="6"/>
  <c r="BK69" i="6"/>
  <c r="G69" i="6"/>
  <c r="F69" i="6"/>
  <c r="E69" i="6"/>
  <c r="D69" i="6"/>
  <c r="V59" i="6"/>
  <c r="V50" i="6"/>
  <c r="U59" i="6"/>
  <c r="U50" i="6"/>
  <c r="N59" i="6"/>
  <c r="N48" i="6" s="1"/>
  <c r="N50" i="6"/>
  <c r="M59" i="6"/>
  <c r="M50" i="6"/>
  <c r="J59" i="6"/>
  <c r="J50" i="6"/>
  <c r="I59" i="6"/>
  <c r="I50" i="6"/>
  <c r="F59" i="6"/>
  <c r="F50" i="6"/>
  <c r="G59" i="6"/>
  <c r="G50" i="6"/>
  <c r="K59" i="6"/>
  <c r="K50" i="6"/>
  <c r="O59" i="6"/>
  <c r="O50" i="6"/>
  <c r="S59" i="6"/>
  <c r="S50" i="6"/>
  <c r="W59" i="6"/>
  <c r="W50" i="6"/>
  <c r="AA66" i="6"/>
  <c r="AA65" i="6"/>
  <c r="AA64" i="6"/>
  <c r="AA63" i="6"/>
  <c r="AA62" i="6"/>
  <c r="AA61" i="6"/>
  <c r="AA60" i="6"/>
  <c r="AA57" i="6"/>
  <c r="AA56" i="6"/>
  <c r="AA55" i="6"/>
  <c r="AA54" i="6"/>
  <c r="AA53" i="6"/>
  <c r="AA52" i="6"/>
  <c r="AA51" i="6"/>
  <c r="X47" i="1"/>
  <c r="AE59" i="6"/>
  <c r="AI59" i="6"/>
  <c r="AM69" i="6"/>
  <c r="BS6" i="6"/>
  <c r="AL69" i="6"/>
  <c r="AE50" i="6"/>
  <c r="AI50" i="6"/>
  <c r="AM50" i="6"/>
  <c r="AN38" i="6"/>
  <c r="BS38" i="6"/>
  <c r="AM38" i="6"/>
  <c r="AL38" i="6"/>
  <c r="AK38" i="6"/>
  <c r="AJ38" i="6"/>
  <c r="BR38" i="6"/>
  <c r="AI38" i="6"/>
  <c r="AH38" i="6"/>
  <c r="AG38" i="6"/>
  <c r="AF38" i="6"/>
  <c r="BQ38" i="6"/>
  <c r="AE38" i="6"/>
  <c r="AD38" i="6"/>
  <c r="AC38" i="6"/>
  <c r="AB38" i="6"/>
  <c r="BP38" i="6"/>
  <c r="AA38" i="6"/>
  <c r="Z38" i="6"/>
  <c r="Y38" i="6"/>
  <c r="X38" i="6"/>
  <c r="BO38" i="6"/>
  <c r="W38" i="6"/>
  <c r="V38" i="6"/>
  <c r="U38" i="6"/>
  <c r="T38" i="6"/>
  <c r="BN38" i="6"/>
  <c r="S38" i="6"/>
  <c r="R38" i="6"/>
  <c r="Q38" i="6"/>
  <c r="P38" i="6"/>
  <c r="BM38" i="6"/>
  <c r="O38" i="6"/>
  <c r="N38" i="6"/>
  <c r="M38" i="6"/>
  <c r="L38" i="6"/>
  <c r="BL38" i="6"/>
  <c r="K38" i="6"/>
  <c r="J38" i="6"/>
  <c r="I38" i="6"/>
  <c r="H38" i="6"/>
  <c r="BK38" i="6"/>
  <c r="G38" i="6"/>
  <c r="F38" i="6"/>
  <c r="E38" i="6"/>
  <c r="D38" i="6"/>
  <c r="AM25" i="6"/>
  <c r="AI25" i="6"/>
  <c r="AE25" i="6"/>
  <c r="AA25" i="6"/>
  <c r="W25" i="6"/>
  <c r="S25" i="6"/>
  <c r="O25" i="6"/>
  <c r="K25" i="6"/>
  <c r="G25" i="6"/>
  <c r="AN23" i="6"/>
  <c r="BS23" i="6"/>
  <c r="AM23" i="6"/>
  <c r="AL23" i="6"/>
  <c r="AK23" i="6"/>
  <c r="AJ23" i="6"/>
  <c r="BR23" i="6"/>
  <c r="BR21" i="6"/>
  <c r="BR22" i="6"/>
  <c r="AI23" i="6"/>
  <c r="AH23" i="6"/>
  <c r="AG23" i="6"/>
  <c r="AF23" i="6"/>
  <c r="AF21" i="6"/>
  <c r="AF22" i="6"/>
  <c r="BQ23" i="6"/>
  <c r="AE23" i="6"/>
  <c r="AD23" i="6"/>
  <c r="AC23" i="6"/>
  <c r="AC21" i="6"/>
  <c r="AC22" i="6"/>
  <c r="AB23" i="6"/>
  <c r="BP23" i="6"/>
  <c r="AA23" i="6"/>
  <c r="Z23" i="6"/>
  <c r="Y23" i="6"/>
  <c r="X23" i="6"/>
  <c r="BO23" i="6"/>
  <c r="W23" i="6"/>
  <c r="W21" i="6"/>
  <c r="W22" i="6"/>
  <c r="V23" i="6"/>
  <c r="U23" i="6"/>
  <c r="T23" i="6"/>
  <c r="BN23" i="6"/>
  <c r="BN21" i="6"/>
  <c r="BN22" i="6"/>
  <c r="S23" i="6"/>
  <c r="R23" i="6"/>
  <c r="Q23" i="6"/>
  <c r="P23" i="6"/>
  <c r="P21" i="6"/>
  <c r="P22" i="6"/>
  <c r="BM23" i="6"/>
  <c r="O23" i="6"/>
  <c r="N23" i="6"/>
  <c r="M23" i="6"/>
  <c r="M21" i="6"/>
  <c r="M22" i="6"/>
  <c r="L23" i="6"/>
  <c r="BL23" i="6"/>
  <c r="K23" i="6"/>
  <c r="J23" i="6"/>
  <c r="J21" i="6"/>
  <c r="J22" i="6"/>
  <c r="I23" i="6"/>
  <c r="H23" i="6"/>
  <c r="BK23" i="6"/>
  <c r="G23" i="6"/>
  <c r="G21" i="6"/>
  <c r="G22" i="6"/>
  <c r="F23" i="6"/>
  <c r="E23" i="6"/>
  <c r="D23" i="6"/>
  <c r="AN22" i="6"/>
  <c r="BS22" i="6"/>
  <c r="AM22" i="6"/>
  <c r="AL22" i="6"/>
  <c r="AL21" i="6"/>
  <c r="AK22" i="6"/>
  <c r="AJ22" i="6"/>
  <c r="AI22" i="6"/>
  <c r="AI21" i="6"/>
  <c r="AH22" i="6"/>
  <c r="AG22" i="6"/>
  <c r="BQ22" i="6"/>
  <c r="BQ21" i="6"/>
  <c r="AE22" i="6"/>
  <c r="AD22" i="6"/>
  <c r="AB22" i="6"/>
  <c r="AB21" i="6"/>
  <c r="BP22" i="6"/>
  <c r="AA22" i="6"/>
  <c r="Z22" i="6"/>
  <c r="Y22" i="6"/>
  <c r="X22" i="6"/>
  <c r="BO22" i="6"/>
  <c r="V22" i="6"/>
  <c r="V21" i="6"/>
  <c r="U22" i="6"/>
  <c r="T22" i="6"/>
  <c r="S22" i="6"/>
  <c r="S21" i="6"/>
  <c r="R22" i="6"/>
  <c r="Q22" i="6"/>
  <c r="BM22" i="6"/>
  <c r="BM21" i="6"/>
  <c r="O22" i="6"/>
  <c r="N22" i="6"/>
  <c r="L22" i="6"/>
  <c r="L21" i="6"/>
  <c r="BL22" i="6"/>
  <c r="K22" i="6"/>
  <c r="I22" i="6"/>
  <c r="I21" i="6"/>
  <c r="H22" i="6"/>
  <c r="BK22" i="6"/>
  <c r="F22" i="6"/>
  <c r="F21" i="6"/>
  <c r="E22" i="6"/>
  <c r="D22" i="6"/>
  <c r="AN21" i="6"/>
  <c r="BS21" i="6"/>
  <c r="AM21" i="6"/>
  <c r="AK21" i="6"/>
  <c r="AJ21" i="6"/>
  <c r="AH21" i="6"/>
  <c r="AG21" i="6"/>
  <c r="AE21" i="6"/>
  <c r="AD21" i="6"/>
  <c r="BP21" i="6"/>
  <c r="AA21" i="6"/>
  <c r="Z21" i="6"/>
  <c r="Y21" i="6"/>
  <c r="X21" i="6"/>
  <c r="BO21" i="6"/>
  <c r="U21" i="6"/>
  <c r="T21" i="6"/>
  <c r="R21" i="6"/>
  <c r="Q21" i="6"/>
  <c r="O21" i="6"/>
  <c r="N21" i="6"/>
  <c r="BL21" i="6"/>
  <c r="K21" i="6"/>
  <c r="H21" i="6"/>
  <c r="BK21" i="6"/>
  <c r="E21" i="6"/>
  <c r="D21" i="6"/>
  <c r="AE17" i="6"/>
  <c r="AE16" i="6"/>
  <c r="AE14" i="6"/>
  <c r="AE13" i="6"/>
  <c r="AE12" i="6"/>
  <c r="AE11" i="6"/>
  <c r="AE10" i="6"/>
  <c r="AA17" i="6"/>
  <c r="AA16" i="6"/>
  <c r="AA14" i="6"/>
  <c r="AA13" i="6"/>
  <c r="AA12" i="6"/>
  <c r="AA11" i="6"/>
  <c r="AA10" i="6"/>
  <c r="W17" i="6"/>
  <c r="W16" i="6"/>
  <c r="W14" i="6"/>
  <c r="W13" i="6"/>
  <c r="W12" i="6"/>
  <c r="W11" i="6"/>
  <c r="W10" i="6"/>
  <c r="S17" i="6"/>
  <c r="S16" i="6"/>
  <c r="S14" i="6"/>
  <c r="S13" i="6"/>
  <c r="S12" i="6"/>
  <c r="S11" i="6"/>
  <c r="S10" i="6"/>
  <c r="O17" i="6"/>
  <c r="O16" i="6"/>
  <c r="O14" i="6"/>
  <c r="O13" i="6"/>
  <c r="O12" i="6"/>
  <c r="O11" i="6"/>
  <c r="O10" i="6"/>
  <c r="K17" i="6"/>
  <c r="K16" i="6"/>
  <c r="K14" i="6"/>
  <c r="K13" i="6"/>
  <c r="K12" i="6"/>
  <c r="K11" i="6"/>
  <c r="K10" i="6"/>
  <c r="G17" i="6"/>
  <c r="G16" i="6"/>
  <c r="G14" i="6"/>
  <c r="G13" i="6"/>
  <c r="G12" i="6"/>
  <c r="G11" i="6"/>
  <c r="G10" i="6"/>
  <c r="BS7" i="6"/>
  <c r="BR7" i="6"/>
  <c r="BQ7" i="6"/>
  <c r="BP7" i="6"/>
  <c r="BO7" i="6"/>
  <c r="BL7" i="6"/>
  <c r="BK7" i="6"/>
  <c r="BJ7" i="6"/>
  <c r="BJ21" i="6"/>
  <c r="BJ22" i="6"/>
  <c r="BJ23" i="6"/>
  <c r="AK25" i="6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D98" i="3"/>
  <c r="C98" i="3"/>
  <c r="BJ6" i="1"/>
  <c r="G87" i="7"/>
  <c r="G86" i="7"/>
  <c r="G85" i="7"/>
  <c r="G84" i="7"/>
  <c r="G83" i="7"/>
  <c r="G82" i="7"/>
  <c r="G81" i="7"/>
  <c r="X48" i="7"/>
  <c r="Y48" i="7"/>
  <c r="Z48" i="7"/>
  <c r="AA48" i="7"/>
  <c r="BJ48" i="7"/>
  <c r="AB48" i="7"/>
  <c r="AC48" i="7"/>
  <c r="AD48" i="7"/>
  <c r="BK6" i="7"/>
  <c r="BK48" i="7" s="1"/>
  <c r="AF48" i="7"/>
  <c r="AH48" i="7"/>
  <c r="AI48" i="7"/>
  <c r="BL6" i="7"/>
  <c r="BL48" i="7" s="1"/>
  <c r="AJ48" i="7"/>
  <c r="AK48" i="7"/>
  <c r="AL48" i="7"/>
  <c r="AM48" i="7"/>
  <c r="AN48" i="7"/>
  <c r="AM6" i="1"/>
  <c r="AL6" i="1"/>
  <c r="AK6" i="1"/>
  <c r="AJ6" i="1"/>
  <c r="AI6" i="1"/>
  <c r="BQ6" i="1"/>
  <c r="AH6" i="1"/>
  <c r="AG6" i="1"/>
  <c r="AF6" i="1"/>
  <c r="AE6" i="1"/>
  <c r="BP6" i="1"/>
  <c r="AD6" i="1"/>
  <c r="AC6" i="1"/>
  <c r="AB6" i="1"/>
  <c r="AA6" i="1"/>
  <c r="BO6" i="1"/>
  <c r="Z6" i="1"/>
  <c r="Y6" i="1"/>
  <c r="X6" i="1"/>
  <c r="W6" i="1"/>
  <c r="BN6" i="1"/>
  <c r="V6" i="1"/>
  <c r="U6" i="1"/>
  <c r="T6" i="1"/>
  <c r="S6" i="1"/>
  <c r="BL6" i="1"/>
  <c r="N6" i="1"/>
  <c r="M6" i="1"/>
  <c r="L6" i="1"/>
  <c r="K6" i="1"/>
  <c r="BK6" i="1"/>
  <c r="J6" i="1"/>
  <c r="I6" i="1"/>
  <c r="H6" i="1"/>
  <c r="G6" i="1"/>
  <c r="BI6" i="1"/>
  <c r="F6" i="1"/>
  <c r="C6" i="1"/>
  <c r="B103" i="3"/>
  <c r="AN63" i="7"/>
  <c r="AN87" i="7" s="1"/>
  <c r="AJ63" i="7"/>
  <c r="AJ87" i="7" s="1"/>
  <c r="AH63" i="7"/>
  <c r="AH87" i="7" s="1"/>
  <c r="AG63" i="7"/>
  <c r="AG87" i="7" s="1"/>
  <c r="AF63" i="7"/>
  <c r="AF87" i="7" s="1"/>
  <c r="AD63" i="7"/>
  <c r="AD87" i="7" s="1"/>
  <c r="AC63" i="7"/>
  <c r="AC87" i="7" s="1"/>
  <c r="AB63" i="7"/>
  <c r="AB87" i="7" s="1"/>
  <c r="Z63" i="7"/>
  <c r="Z87" i="7" s="1"/>
  <c r="Y63" i="7"/>
  <c r="Y87" i="7" s="1"/>
  <c r="BJ86" i="7"/>
  <c r="AN77" i="7"/>
  <c r="AJ77" i="7"/>
  <c r="AH77" i="7"/>
  <c r="AG77" i="7"/>
  <c r="AF77" i="7"/>
  <c r="AD77" i="7"/>
  <c r="AC77" i="7"/>
  <c r="AB77" i="7"/>
  <c r="Z77" i="7"/>
  <c r="Y77" i="7"/>
  <c r="X77" i="7"/>
  <c r="AN76" i="7"/>
  <c r="AJ76" i="7"/>
  <c r="AH76" i="7"/>
  <c r="AG76" i="7"/>
  <c r="AF76" i="7"/>
  <c r="AD76" i="7"/>
  <c r="AC76" i="7"/>
  <c r="AB76" i="7"/>
  <c r="Z76" i="7"/>
  <c r="Y76" i="7"/>
  <c r="X76" i="7"/>
  <c r="AN75" i="7"/>
  <c r="AJ75" i="7"/>
  <c r="AH75" i="7"/>
  <c r="AG75" i="7"/>
  <c r="AF75" i="7"/>
  <c r="AD75" i="7"/>
  <c r="AC75" i="7"/>
  <c r="AB75" i="7"/>
  <c r="Z75" i="7"/>
  <c r="Y75" i="7"/>
  <c r="X75" i="7"/>
  <c r="AN35" i="7"/>
  <c r="AM35" i="7"/>
  <c r="AJ35" i="7"/>
  <c r="BL35" i="7"/>
  <c r="AI35" i="7"/>
  <c r="AH35" i="7"/>
  <c r="AG35" i="7"/>
  <c r="AF35" i="7"/>
  <c r="BK35" i="7"/>
  <c r="AE35" i="7"/>
  <c r="AD35" i="7"/>
  <c r="AC35" i="7"/>
  <c r="AN34" i="7"/>
  <c r="AM34" i="7"/>
  <c r="AJ34" i="7"/>
  <c r="BL34" i="7"/>
  <c r="AI34" i="7"/>
  <c r="AH34" i="7"/>
  <c r="AG34" i="7"/>
  <c r="AF34" i="7"/>
  <c r="BK34" i="7"/>
  <c r="AE34" i="7"/>
  <c r="AD34" i="7"/>
  <c r="AC34" i="7"/>
  <c r="AN33" i="7"/>
  <c r="AM33" i="7"/>
  <c r="AJ33" i="7"/>
  <c r="BL33" i="7"/>
  <c r="AI33" i="7"/>
  <c r="AH33" i="7"/>
  <c r="AG33" i="7"/>
  <c r="AF33" i="7"/>
  <c r="BK33" i="7"/>
  <c r="AE33" i="7"/>
  <c r="AD33" i="7"/>
  <c r="AC33" i="7"/>
  <c r="BL44" i="7"/>
  <c r="BK44" i="7"/>
  <c r="BL42" i="7"/>
  <c r="BK42" i="7"/>
  <c r="BL41" i="7"/>
  <c r="BK41" i="7"/>
  <c r="BL39" i="7"/>
  <c r="BK39" i="7"/>
  <c r="AB35" i="7"/>
  <c r="AB34" i="7"/>
  <c r="AB33" i="7"/>
  <c r="AA35" i="7"/>
  <c r="Z35" i="7"/>
  <c r="Y35" i="7"/>
  <c r="X35" i="7"/>
  <c r="AA34" i="7"/>
  <c r="Z34" i="7"/>
  <c r="Y34" i="7"/>
  <c r="X34" i="7"/>
  <c r="AA33" i="7"/>
  <c r="Z33" i="7"/>
  <c r="Y33" i="7"/>
  <c r="X33" i="7"/>
  <c r="BJ21" i="7"/>
  <c r="BJ45" i="7" s="1"/>
  <c r="AN21" i="7"/>
  <c r="AN45" i="7" s="1"/>
  <c r="AM21" i="7"/>
  <c r="AM45" i="7" s="1"/>
  <c r="AJ21" i="7"/>
  <c r="BL21" i="7"/>
  <c r="BL32" i="7" s="1"/>
  <c r="AI21" i="7"/>
  <c r="AI45" i="7" s="1"/>
  <c r="AH21" i="7"/>
  <c r="AG21" i="7"/>
  <c r="AF21" i="7"/>
  <c r="AF45" i="7" s="1"/>
  <c r="BK21" i="7"/>
  <c r="BK32" i="7" s="1"/>
  <c r="BK36" i="7" s="1"/>
  <c r="BO40" i="7" s="1"/>
  <c r="AE21" i="7"/>
  <c r="AE45" i="7" s="1"/>
  <c r="AD21" i="7"/>
  <c r="AD45" i="7" s="1"/>
  <c r="AC21" i="7"/>
  <c r="AC45" i="7" s="1"/>
  <c r="AB21" i="7"/>
  <c r="AB45" i="7" s="1"/>
  <c r="AA21" i="7"/>
  <c r="AA45" i="7" s="1"/>
  <c r="Z21" i="7"/>
  <c r="X21" i="7"/>
  <c r="X45" i="7" s="1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AG48" i="7"/>
  <c r="AE48" i="7"/>
  <c r="BJ42" i="7"/>
  <c r="BJ39" i="7"/>
  <c r="BJ35" i="7"/>
  <c r="BJ34" i="7"/>
  <c r="BJ41" i="7"/>
  <c r="BJ44" i="7"/>
  <c r="BJ33" i="7"/>
  <c r="Y21" i="7"/>
  <c r="B57" i="1"/>
  <c r="B56" i="1"/>
  <c r="B55" i="1"/>
  <c r="B54" i="1"/>
  <c r="BM7" i="1"/>
  <c r="BL7" i="1"/>
  <c r="J7" i="1"/>
  <c r="F7" i="1"/>
  <c r="B7" i="1"/>
  <c r="X10" i="3"/>
  <c r="X9" i="3" s="1"/>
  <c r="X27" i="3"/>
  <c r="X40" i="3"/>
  <c r="X50" i="3"/>
  <c r="X69" i="3"/>
  <c r="X85" i="3"/>
  <c r="X93" i="3" s="1"/>
  <c r="B92" i="3"/>
  <c r="B22" i="2"/>
  <c r="B8" i="2"/>
  <c r="B9" i="5"/>
  <c r="P88" i="3"/>
  <c r="B30" i="1"/>
  <c r="S87" i="7"/>
  <c r="O87" i="7"/>
  <c r="K87" i="7"/>
  <c r="C87" i="7"/>
  <c r="S86" i="7"/>
  <c r="O86" i="7"/>
  <c r="K86" i="7"/>
  <c r="C86" i="7"/>
  <c r="W84" i="7"/>
  <c r="S84" i="7"/>
  <c r="O84" i="7"/>
  <c r="K84" i="7"/>
  <c r="C84" i="7"/>
  <c r="W83" i="7"/>
  <c r="S83" i="7"/>
  <c r="O83" i="7"/>
  <c r="K83" i="7"/>
  <c r="C83" i="7"/>
  <c r="W81" i="7"/>
  <c r="S81" i="7"/>
  <c r="O81" i="7"/>
  <c r="K81" i="7"/>
  <c r="C81" i="7"/>
  <c r="R87" i="7"/>
  <c r="N87" i="7"/>
  <c r="J87" i="7"/>
  <c r="F87" i="7"/>
  <c r="R86" i="7"/>
  <c r="N86" i="7"/>
  <c r="J86" i="7"/>
  <c r="F86" i="7"/>
  <c r="V84" i="7"/>
  <c r="R84" i="7"/>
  <c r="N84" i="7"/>
  <c r="J84" i="7"/>
  <c r="F84" i="7"/>
  <c r="V83" i="7"/>
  <c r="R83" i="7"/>
  <c r="N83" i="7"/>
  <c r="J83" i="7"/>
  <c r="F83" i="7"/>
  <c r="V81" i="7"/>
  <c r="R81" i="7"/>
  <c r="N81" i="7"/>
  <c r="J81" i="7"/>
  <c r="F81" i="7"/>
  <c r="T87" i="7"/>
  <c r="P87" i="7"/>
  <c r="L87" i="7"/>
  <c r="H87" i="7"/>
  <c r="D87" i="7"/>
  <c r="T86" i="7"/>
  <c r="P86" i="7"/>
  <c r="L86" i="7"/>
  <c r="H86" i="7"/>
  <c r="D86" i="7"/>
  <c r="T84" i="7"/>
  <c r="P84" i="7"/>
  <c r="L84" i="7"/>
  <c r="H84" i="7"/>
  <c r="D84" i="7"/>
  <c r="T83" i="7"/>
  <c r="P83" i="7"/>
  <c r="L83" i="7"/>
  <c r="H83" i="7"/>
  <c r="T81" i="7"/>
  <c r="P81" i="7"/>
  <c r="L81" i="7"/>
  <c r="H81" i="7"/>
  <c r="Q38" i="3"/>
  <c r="Q27" i="3" s="1"/>
  <c r="R67" i="6"/>
  <c r="R59" i="6" s="1"/>
  <c r="K82" i="7"/>
  <c r="K85" i="7"/>
  <c r="O82" i="7"/>
  <c r="O85" i="7"/>
  <c r="C85" i="7"/>
  <c r="C82" i="7"/>
  <c r="S85" i="7"/>
  <c r="S82" i="7"/>
  <c r="W85" i="7"/>
  <c r="W82" i="7"/>
  <c r="J82" i="7"/>
  <c r="J85" i="7"/>
  <c r="N85" i="7"/>
  <c r="N82" i="7"/>
  <c r="R85" i="7"/>
  <c r="R82" i="7"/>
  <c r="F82" i="7"/>
  <c r="F85" i="7"/>
  <c r="V82" i="7"/>
  <c r="V85" i="7"/>
  <c r="D85" i="7"/>
  <c r="T85" i="7"/>
  <c r="T82" i="7"/>
  <c r="P85" i="7"/>
  <c r="P82" i="7"/>
  <c r="H82" i="7"/>
  <c r="H85" i="7"/>
  <c r="L85" i="7"/>
  <c r="L82" i="7"/>
  <c r="BJ67" i="6"/>
  <c r="BJ59" i="6" s="1"/>
  <c r="BJ69" i="6"/>
  <c r="BJ50" i="6"/>
  <c r="BJ38" i="6"/>
  <c r="BJ25" i="6"/>
  <c r="BJ9" i="6"/>
  <c r="C85" i="3"/>
  <c r="C93" i="3" s="1"/>
  <c r="C50" i="3"/>
  <c r="G50" i="3"/>
  <c r="K50" i="3"/>
  <c r="C10" i="3"/>
  <c r="AJ25" i="6"/>
  <c r="AF25" i="6"/>
  <c r="AB25" i="6"/>
  <c r="X25" i="6"/>
  <c r="T25" i="6"/>
  <c r="P25" i="6"/>
  <c r="L25" i="6"/>
  <c r="H25" i="6"/>
  <c r="D25" i="6"/>
  <c r="AG25" i="6"/>
  <c r="AC25" i="6"/>
  <c r="Y25" i="6"/>
  <c r="U25" i="6"/>
  <c r="Q25" i="6"/>
  <c r="M25" i="6"/>
  <c r="I25" i="6"/>
  <c r="E25" i="6"/>
  <c r="AH25" i="6"/>
  <c r="AD25" i="6"/>
  <c r="Z25" i="6"/>
  <c r="V25" i="6"/>
  <c r="R25" i="6"/>
  <c r="N25" i="6"/>
  <c r="J25" i="6"/>
  <c r="F25" i="6"/>
  <c r="AN9" i="6"/>
  <c r="AJ9" i="6"/>
  <c r="AB9" i="6"/>
  <c r="X9" i="6"/>
  <c r="T9" i="6"/>
  <c r="P9" i="6"/>
  <c r="L9" i="6"/>
  <c r="H9" i="6"/>
  <c r="D9" i="6"/>
  <c r="AK9" i="6"/>
  <c r="AG9" i="6"/>
  <c r="AC9" i="6"/>
  <c r="Y9" i="6"/>
  <c r="U9" i="6"/>
  <c r="Q9" i="6"/>
  <c r="M9" i="6"/>
  <c r="I9" i="6"/>
  <c r="E9" i="6"/>
  <c r="AL9" i="6"/>
  <c r="AH9" i="6"/>
  <c r="AD9" i="6"/>
  <c r="AE9" i="6" s="1"/>
  <c r="Z9" i="6"/>
  <c r="AA9" i="6" s="1"/>
  <c r="V9" i="6"/>
  <c r="W9" i="6" s="1"/>
  <c r="R9" i="6"/>
  <c r="S9" i="6" s="1"/>
  <c r="N9" i="6"/>
  <c r="O9" i="6" s="1"/>
  <c r="J9" i="6"/>
  <c r="K9" i="6" s="1"/>
  <c r="F9" i="6"/>
  <c r="G9" i="6" s="1"/>
  <c r="E59" i="6"/>
  <c r="E50" i="6"/>
  <c r="D67" i="6"/>
  <c r="D59" i="6" s="1"/>
  <c r="D50" i="6"/>
  <c r="H10" i="3"/>
  <c r="J88" i="3"/>
  <c r="BL67" i="6"/>
  <c r="BL59" i="6" s="1"/>
  <c r="BK59" i="6"/>
  <c r="BL50" i="6"/>
  <c r="BK50" i="6"/>
  <c r="BK25" i="6"/>
  <c r="BK9" i="6"/>
  <c r="BL25" i="6"/>
  <c r="BL9" i="6"/>
  <c r="G10" i="3"/>
  <c r="G9" i="3" s="1"/>
  <c r="G85" i="3"/>
  <c r="G93" i="3" s="1"/>
  <c r="K85" i="3"/>
  <c r="K93" i="3" s="1"/>
  <c r="K10" i="3"/>
  <c r="K9" i="3" s="1"/>
  <c r="C69" i="3"/>
  <c r="C81" i="3" s="1"/>
  <c r="G69" i="3"/>
  <c r="K69" i="3"/>
  <c r="C40" i="3"/>
  <c r="G40" i="3"/>
  <c r="K40" i="3"/>
  <c r="K27" i="3"/>
  <c r="G27" i="3"/>
  <c r="C27" i="3"/>
  <c r="Q59" i="6"/>
  <c r="Q50" i="6"/>
  <c r="H66" i="6"/>
  <c r="H59" i="6" s="1"/>
  <c r="H50" i="6"/>
  <c r="L59" i="6"/>
  <c r="L50" i="6"/>
  <c r="L10" i="3"/>
  <c r="L9" i="3" s="1"/>
  <c r="R50" i="6"/>
  <c r="L85" i="3"/>
  <c r="L93" i="3" s="1"/>
  <c r="L69" i="3"/>
  <c r="L50" i="3"/>
  <c r="L40" i="3"/>
  <c r="L27" i="3"/>
  <c r="N85" i="3"/>
  <c r="N93" i="3" s="1"/>
  <c r="N69" i="3"/>
  <c r="N50" i="3"/>
  <c r="N40" i="3"/>
  <c r="N27" i="3"/>
  <c r="N10" i="3"/>
  <c r="N9" i="3" s="1"/>
  <c r="U40" i="3"/>
  <c r="U27" i="3"/>
  <c r="T67" i="6"/>
  <c r="T59" i="6" s="1"/>
  <c r="P67" i="6"/>
  <c r="P59" i="6" s="1"/>
  <c r="T50" i="6"/>
  <c r="P50" i="6"/>
  <c r="V85" i="3"/>
  <c r="V93" i="3" s="1"/>
  <c r="R85" i="3"/>
  <c r="R93" i="3" s="1"/>
  <c r="V69" i="3"/>
  <c r="R69" i="3"/>
  <c r="J69" i="3"/>
  <c r="V50" i="3"/>
  <c r="R50" i="3"/>
  <c r="J50" i="3"/>
  <c r="V40" i="3"/>
  <c r="R40" i="3"/>
  <c r="J40" i="3"/>
  <c r="V27" i="3"/>
  <c r="R27" i="3"/>
  <c r="J27" i="3"/>
  <c r="V10" i="3"/>
  <c r="V9" i="3" s="1"/>
  <c r="R10" i="3"/>
  <c r="R9" i="3" s="1"/>
  <c r="J10" i="3"/>
  <c r="U85" i="3"/>
  <c r="U93" i="3" s="1"/>
  <c r="Q85" i="3"/>
  <c r="Q93" i="3" s="1"/>
  <c r="M85" i="3"/>
  <c r="M93" i="3" s="1"/>
  <c r="I85" i="3"/>
  <c r="I93" i="3" s="1"/>
  <c r="U69" i="3"/>
  <c r="Q69" i="3"/>
  <c r="M69" i="3"/>
  <c r="I69" i="3"/>
  <c r="U50" i="3"/>
  <c r="U81" i="3" s="1"/>
  <c r="Q50" i="3"/>
  <c r="M50" i="3"/>
  <c r="I50" i="3"/>
  <c r="Q40" i="3"/>
  <c r="M40" i="3"/>
  <c r="I40" i="3"/>
  <c r="M27" i="3"/>
  <c r="I27" i="3"/>
  <c r="U10" i="3"/>
  <c r="U9" i="3" s="1"/>
  <c r="Q10" i="3"/>
  <c r="Q9" i="3" s="1"/>
  <c r="M10" i="3"/>
  <c r="M9" i="3" s="1"/>
  <c r="I10" i="3"/>
  <c r="I9" i="3" s="1"/>
  <c r="T85" i="3"/>
  <c r="T93" i="3" s="1"/>
  <c r="H85" i="3"/>
  <c r="H93" i="3" s="1"/>
  <c r="D85" i="3"/>
  <c r="D93" i="3" s="1"/>
  <c r="T69" i="3"/>
  <c r="P69" i="3"/>
  <c r="H69" i="3"/>
  <c r="D69" i="3"/>
  <c r="T50" i="3"/>
  <c r="P50" i="3"/>
  <c r="H50" i="3"/>
  <c r="D50" i="3"/>
  <c r="T40" i="3"/>
  <c r="P40" i="3"/>
  <c r="H40" i="3"/>
  <c r="D40" i="3"/>
  <c r="T27" i="3"/>
  <c r="P27" i="3"/>
  <c r="H27" i="3"/>
  <c r="D27" i="3"/>
  <c r="P10" i="3"/>
  <c r="D10" i="3"/>
  <c r="B53" i="3"/>
  <c r="B63" i="6"/>
  <c r="Z10" i="3"/>
  <c r="Z9" i="3" s="1"/>
  <c r="Y85" i="3"/>
  <c r="Y93" i="3" s="1"/>
  <c r="Y69" i="3"/>
  <c r="Y50" i="3"/>
  <c r="Y40" i="3"/>
  <c r="Y27" i="3"/>
  <c r="Y10" i="3"/>
  <c r="Y9" i="3" s="1"/>
  <c r="AG10" i="3"/>
  <c r="Y59" i="6"/>
  <c r="Y50" i="6"/>
  <c r="AH85" i="3"/>
  <c r="AH93" i="3" s="1"/>
  <c r="AD85" i="3"/>
  <c r="AD93" i="3" s="1"/>
  <c r="AL85" i="3"/>
  <c r="AL93" i="3" s="1"/>
  <c r="AH10" i="3"/>
  <c r="Z59" i="6"/>
  <c r="Z50" i="6"/>
  <c r="AD59" i="6"/>
  <c r="AH59" i="6"/>
  <c r="AL59" i="6"/>
  <c r="AD50" i="6"/>
  <c r="AH50" i="6"/>
  <c r="AL50" i="6"/>
  <c r="AK50" i="6"/>
  <c r="X50" i="6"/>
  <c r="X59" i="6"/>
  <c r="X63" i="7"/>
  <c r="X87" i="7" s="1"/>
  <c r="AG59" i="6"/>
  <c r="AC59" i="6"/>
  <c r="AG50" i="6"/>
  <c r="AC50" i="6"/>
  <c r="AC40" i="3"/>
  <c r="AC10" i="3"/>
  <c r="AD10" i="3"/>
  <c r="Z85" i="3"/>
  <c r="Z93" i="3" s="1"/>
  <c r="Z69" i="3"/>
  <c r="Z50" i="3"/>
  <c r="Z40" i="3"/>
  <c r="Z27" i="3"/>
  <c r="AL69" i="3"/>
  <c r="AD69" i="3"/>
  <c r="AL50" i="3"/>
  <c r="AD50" i="3"/>
  <c r="AL40" i="3"/>
  <c r="AD40" i="3"/>
  <c r="AL27" i="3"/>
  <c r="AD27" i="3"/>
  <c r="AL10" i="3"/>
  <c r="AH69" i="3"/>
  <c r="AH40" i="3"/>
  <c r="AH27" i="3"/>
  <c r="AH50" i="3"/>
  <c r="AK69" i="6"/>
  <c r="AK59" i="6"/>
  <c r="AK85" i="3"/>
  <c r="AK93" i="3" s="1"/>
  <c r="AG85" i="3"/>
  <c r="AG93" i="3" s="1"/>
  <c r="AC85" i="3"/>
  <c r="AC93" i="3" s="1"/>
  <c r="AK69" i="3"/>
  <c r="AG69" i="3"/>
  <c r="AC69" i="3"/>
  <c r="AK50" i="3"/>
  <c r="AG50" i="3"/>
  <c r="AC50" i="3"/>
  <c r="AK40" i="3"/>
  <c r="AG40" i="3"/>
  <c r="AK27" i="3"/>
  <c r="AG27" i="3"/>
  <c r="AC27" i="3"/>
  <c r="AK10" i="3"/>
  <c r="AK9" i="3" s="1"/>
  <c r="AF59" i="6"/>
  <c r="AB59" i="6"/>
  <c r="AF50" i="6"/>
  <c r="AB50" i="6"/>
  <c r="AB85" i="3"/>
  <c r="AB93" i="3" s="1"/>
  <c r="AF85" i="3"/>
  <c r="AF93" i="3" s="1"/>
  <c r="AJ85" i="3"/>
  <c r="AJ93" i="3" s="1"/>
  <c r="AF50" i="3"/>
  <c r="AJ10" i="3"/>
  <c r="AF10" i="3"/>
  <c r="AB10" i="3"/>
  <c r="AB9" i="3" s="1"/>
  <c r="AJ69" i="3"/>
  <c r="AF69" i="3"/>
  <c r="AB69" i="3"/>
  <c r="AJ50" i="3"/>
  <c r="AB50" i="3"/>
  <c r="AJ40" i="3"/>
  <c r="AF40" i="3"/>
  <c r="AB40" i="3"/>
  <c r="AJ27" i="3"/>
  <c r="AF27" i="3"/>
  <c r="AB27" i="3"/>
  <c r="AJ69" i="6"/>
  <c r="AJ59" i="6"/>
  <c r="AJ50" i="6"/>
  <c r="AN69" i="6"/>
  <c r="AN59" i="6"/>
  <c r="AN50" i="6"/>
  <c r="AN88" i="3"/>
  <c r="AN85" i="3" s="1"/>
  <c r="AN93" i="3" s="1"/>
  <c r="AN10" i="3"/>
  <c r="AN69" i="3"/>
  <c r="AN81" i="3" s="1"/>
  <c r="AN40" i="3"/>
  <c r="AN27" i="3"/>
  <c r="B105" i="3"/>
  <c r="B106" i="3"/>
  <c r="B101" i="3"/>
  <c r="B98" i="3"/>
  <c r="B56" i="7"/>
  <c r="D83" i="7" s="1"/>
  <c r="B78" i="7"/>
  <c r="D82" i="7" s="1"/>
  <c r="B51" i="7"/>
  <c r="D81" i="7" s="1"/>
  <c r="B59" i="5"/>
  <c r="B25" i="5"/>
  <c r="S10" i="3"/>
  <c r="W10" i="3"/>
  <c r="AA10" i="3"/>
  <c r="AE10" i="3"/>
  <c r="AI10" i="3"/>
  <c r="O10" i="3"/>
  <c r="AI85" i="3"/>
  <c r="AI93" i="3" s="1"/>
  <c r="AE85" i="3"/>
  <c r="AE93" i="3" s="1"/>
  <c r="AA85" i="3"/>
  <c r="AA93" i="3" s="1"/>
  <c r="W85" i="3"/>
  <c r="W93" i="3" s="1"/>
  <c r="S85" i="3"/>
  <c r="S93" i="3" s="1"/>
  <c r="O85" i="3"/>
  <c r="O93" i="3" s="1"/>
  <c r="O50" i="3"/>
  <c r="O69" i="3"/>
  <c r="B32" i="3"/>
  <c r="B33" i="3"/>
  <c r="B35" i="3"/>
  <c r="B34" i="3"/>
  <c r="BM59" i="6"/>
  <c r="BM50" i="6"/>
  <c r="BM9" i="6"/>
  <c r="O27" i="3"/>
  <c r="O40" i="3"/>
  <c r="B66" i="6"/>
  <c r="B53" i="6"/>
  <c r="B30" i="6"/>
  <c r="B34" i="6"/>
  <c r="B32" i="6"/>
  <c r="B31" i="6"/>
  <c r="B69" i="5"/>
  <c r="B53" i="5"/>
  <c r="B76" i="3"/>
  <c r="B42" i="3"/>
  <c r="AM10" i="3"/>
  <c r="B65" i="6"/>
  <c r="B71" i="6"/>
  <c r="B72" i="6"/>
  <c r="B74" i="6"/>
  <c r="B69" i="6"/>
  <c r="B62" i="6"/>
  <c r="B61" i="6"/>
  <c r="B55" i="6"/>
  <c r="B54" i="6"/>
  <c r="B51" i="6"/>
  <c r="B60" i="6"/>
  <c r="B64" i="6"/>
  <c r="B73" i="6"/>
  <c r="B29" i="6"/>
  <c r="B75" i="7"/>
  <c r="B47" i="7"/>
  <c r="B87" i="7"/>
  <c r="B86" i="7"/>
  <c r="B85" i="7"/>
  <c r="B84" i="7"/>
  <c r="B83" i="7"/>
  <c r="B82" i="7"/>
  <c r="B81" i="7"/>
  <c r="B80" i="7"/>
  <c r="B77" i="7"/>
  <c r="B74" i="7"/>
  <c r="B73" i="7"/>
  <c r="B71" i="7"/>
  <c r="B70" i="7"/>
  <c r="B68" i="7"/>
  <c r="B67" i="7"/>
  <c r="B66" i="7"/>
  <c r="B65" i="7"/>
  <c r="B63" i="7"/>
  <c r="B61" i="7"/>
  <c r="B60" i="7"/>
  <c r="B59" i="7"/>
  <c r="B58" i="7"/>
  <c r="B57" i="7"/>
  <c r="B55" i="7"/>
  <c r="B54" i="7"/>
  <c r="B53" i="7"/>
  <c r="B49" i="7"/>
  <c r="B29" i="7"/>
  <c r="B28" i="7"/>
  <c r="B24" i="7"/>
  <c r="B26" i="7"/>
  <c r="B25" i="7"/>
  <c r="B23" i="7"/>
  <c r="B31" i="7"/>
  <c r="B32" i="7"/>
  <c r="B35" i="7"/>
  <c r="B36" i="7"/>
  <c r="B38" i="7"/>
  <c r="B39" i="7"/>
  <c r="B40" i="7"/>
  <c r="B13" i="7"/>
  <c r="B12" i="7"/>
  <c r="B3" i="7"/>
  <c r="B5" i="7"/>
  <c r="B45" i="7"/>
  <c r="B44" i="7"/>
  <c r="B43" i="7"/>
  <c r="B42" i="7"/>
  <c r="B41" i="7"/>
  <c r="B21" i="7"/>
  <c r="B19" i="7"/>
  <c r="B18" i="7"/>
  <c r="B17" i="7"/>
  <c r="B16" i="7"/>
  <c r="B15" i="7"/>
  <c r="B14" i="7"/>
  <c r="B11" i="7"/>
  <c r="B9" i="7"/>
  <c r="B7" i="7"/>
  <c r="B2" i="7"/>
  <c r="B75" i="6"/>
  <c r="B70" i="6"/>
  <c r="BS69" i="6"/>
  <c r="BR69" i="6"/>
  <c r="B46" i="6"/>
  <c r="B45" i="6"/>
  <c r="BR59" i="6"/>
  <c r="BQ59" i="6"/>
  <c r="BP59" i="6"/>
  <c r="BO59" i="6"/>
  <c r="BN59" i="6"/>
  <c r="B52" i="6"/>
  <c r="B59" i="6"/>
  <c r="B67" i="6"/>
  <c r="B50" i="6"/>
  <c r="B57" i="6"/>
  <c r="BS50" i="6"/>
  <c r="BS48" i="6" s="1"/>
  <c r="BR50" i="6"/>
  <c r="BQ50" i="6"/>
  <c r="BP50" i="6"/>
  <c r="BO50" i="6"/>
  <c r="BN50" i="6"/>
  <c r="B48" i="6"/>
  <c r="B38" i="6"/>
  <c r="B17" i="6"/>
  <c r="B16" i="6"/>
  <c r="BS9" i="6"/>
  <c r="BR9" i="6"/>
  <c r="BQ9" i="6"/>
  <c r="BP9" i="6"/>
  <c r="BO9" i="6"/>
  <c r="BN9" i="6"/>
  <c r="B13" i="6"/>
  <c r="B12" i="6"/>
  <c r="B11" i="6"/>
  <c r="B14" i="6"/>
  <c r="B10" i="6"/>
  <c r="B37" i="6"/>
  <c r="B36" i="6"/>
  <c r="B33" i="6"/>
  <c r="B35" i="6"/>
  <c r="B28" i="6"/>
  <c r="B27" i="6"/>
  <c r="B26" i="6"/>
  <c r="B23" i="6"/>
  <c r="B22" i="6"/>
  <c r="B21" i="6"/>
  <c r="B20" i="6"/>
  <c r="B25" i="6"/>
  <c r="B9" i="6"/>
  <c r="B12" i="3"/>
  <c r="B11" i="3"/>
  <c r="B2" i="6"/>
  <c r="B7" i="6"/>
  <c r="B3" i="6"/>
  <c r="B14" i="1"/>
  <c r="B13" i="1"/>
  <c r="B12" i="1"/>
  <c r="B72" i="5"/>
  <c r="B43" i="5"/>
  <c r="B66" i="5"/>
  <c r="B61" i="5"/>
  <c r="B57" i="5"/>
  <c r="B67" i="5"/>
  <c r="B52" i="5"/>
  <c r="B51" i="5"/>
  <c r="B49" i="5"/>
  <c r="B48" i="5"/>
  <c r="B62" i="5"/>
  <c r="B47" i="5"/>
  <c r="B55" i="5"/>
  <c r="B44" i="5"/>
  <c r="B42" i="5"/>
  <c r="B41" i="5"/>
  <c r="B40" i="5"/>
  <c r="B39" i="5"/>
  <c r="B38" i="5"/>
  <c r="B31" i="5"/>
  <c r="B33" i="5"/>
  <c r="B32" i="5"/>
  <c r="B36" i="5"/>
  <c r="B35" i="5"/>
  <c r="B34" i="5"/>
  <c r="B30" i="5"/>
  <c r="B21" i="5"/>
  <c r="B22" i="5"/>
  <c r="B27" i="5"/>
  <c r="B16" i="5"/>
  <c r="B15" i="5"/>
  <c r="B19" i="5"/>
  <c r="B12" i="5"/>
  <c r="B90" i="3"/>
  <c r="B85" i="3"/>
  <c r="B18" i="1"/>
  <c r="B19" i="1"/>
  <c r="B10" i="5"/>
  <c r="B7" i="5"/>
  <c r="B2" i="5"/>
  <c r="B3" i="5"/>
  <c r="B73" i="5"/>
  <c r="B71" i="5"/>
  <c r="B45" i="5"/>
  <c r="B28" i="5"/>
  <c r="B40" i="1"/>
  <c r="B37" i="1"/>
  <c r="B45" i="1"/>
  <c r="B44" i="1"/>
  <c r="B14" i="3"/>
  <c r="B112" i="3" s="1"/>
  <c r="B10" i="3"/>
  <c r="B7" i="3"/>
  <c r="B3" i="3"/>
  <c r="B95" i="3"/>
  <c r="B93" i="3"/>
  <c r="B89" i="3"/>
  <c r="B86" i="3"/>
  <c r="B83" i="3"/>
  <c r="B81" i="3"/>
  <c r="B69" i="3"/>
  <c r="B77" i="3"/>
  <c r="B75" i="3"/>
  <c r="B74" i="3"/>
  <c r="B73" i="3"/>
  <c r="B72" i="3"/>
  <c r="B70" i="3"/>
  <c r="B50" i="3"/>
  <c r="B67" i="3"/>
  <c r="B64" i="3"/>
  <c r="B63" i="3"/>
  <c r="B62" i="3"/>
  <c r="B61" i="3"/>
  <c r="B60" i="3"/>
  <c r="B58" i="3"/>
  <c r="B54" i="3"/>
  <c r="B52" i="3"/>
  <c r="B51" i="3"/>
  <c r="B118" i="3" s="1"/>
  <c r="B48" i="3"/>
  <c r="B25" i="3"/>
  <c r="B40" i="3"/>
  <c r="B43" i="3"/>
  <c r="B41" i="3"/>
  <c r="B27" i="3"/>
  <c r="B38" i="3"/>
  <c r="B37" i="3"/>
  <c r="B30" i="3"/>
  <c r="B36" i="3"/>
  <c r="B28" i="3"/>
  <c r="B9" i="3"/>
  <c r="B22" i="3"/>
  <c r="B23" i="3"/>
  <c r="B20" i="3"/>
  <c r="B19" i="3"/>
  <c r="B116" i="3"/>
  <c r="B15" i="3"/>
  <c r="B16" i="3"/>
  <c r="B114" i="3" s="1"/>
  <c r="B13" i="3"/>
  <c r="B2" i="3"/>
  <c r="AM69" i="3"/>
  <c r="AI69" i="3"/>
  <c r="AE69" i="3"/>
  <c r="AA69" i="3"/>
  <c r="W69" i="3"/>
  <c r="S69" i="3"/>
  <c r="AM50" i="3"/>
  <c r="AI50" i="3"/>
  <c r="AE50" i="3"/>
  <c r="AA50" i="3"/>
  <c r="W50" i="3"/>
  <c r="S50" i="3"/>
  <c r="AM40" i="3"/>
  <c r="AI40" i="3"/>
  <c r="AE40" i="3"/>
  <c r="AA40" i="3"/>
  <c r="W40" i="3"/>
  <c r="S40" i="3"/>
  <c r="AM27" i="3"/>
  <c r="AI27" i="3"/>
  <c r="AE27" i="3"/>
  <c r="AA27" i="3"/>
  <c r="W27" i="3"/>
  <c r="S27" i="3"/>
  <c r="B61" i="1"/>
  <c r="B60" i="1"/>
  <c r="B59" i="1"/>
  <c r="B58" i="1"/>
  <c r="B53" i="1"/>
  <c r="B48" i="1"/>
  <c r="B47" i="1"/>
  <c r="B43" i="1"/>
  <c r="B39" i="1"/>
  <c r="B34" i="1"/>
  <c r="B29" i="1"/>
  <c r="B28" i="1"/>
  <c r="B27" i="1"/>
  <c r="B26" i="1"/>
  <c r="B20" i="1"/>
  <c r="B25" i="1"/>
  <c r="B22" i="1"/>
  <c r="B21" i="1"/>
  <c r="B17" i="1"/>
  <c r="B15" i="1"/>
  <c r="B3" i="1"/>
  <c r="B9" i="1"/>
  <c r="B2" i="1"/>
  <c r="B11" i="2"/>
  <c r="B10" i="2"/>
  <c r="B7" i="2"/>
  <c r="B6" i="2"/>
  <c r="B5" i="2"/>
  <c r="B4" i="2"/>
  <c r="H3" i="2"/>
  <c r="B2" i="2"/>
  <c r="BS25" i="6"/>
  <c r="BR26" i="6"/>
  <c r="BR25" i="6" s="1"/>
  <c r="BQ26" i="6"/>
  <c r="BQ25" i="6" s="1"/>
  <c r="BP26" i="6"/>
  <c r="BP25" i="6" s="1"/>
  <c r="BO25" i="6"/>
  <c r="BN25" i="6"/>
  <c r="BM25" i="6"/>
  <c r="T10" i="3"/>
  <c r="AC9" i="3"/>
  <c r="N45" i="1"/>
  <c r="AD45" i="1"/>
  <c r="BK45" i="1"/>
  <c r="J48" i="6"/>
  <c r="H9" i="3" l="1"/>
  <c r="M81" i="3"/>
  <c r="AJ48" i="6"/>
  <c r="I48" i="6"/>
  <c r="AN74" i="7"/>
  <c r="D81" i="3"/>
  <c r="D95" i="3" s="1"/>
  <c r="P25" i="3"/>
  <c r="P81" i="3"/>
  <c r="P95" i="3" s="1"/>
  <c r="T81" i="3"/>
  <c r="AI101" i="3"/>
  <c r="AE101" i="3"/>
  <c r="AN48" i="6"/>
  <c r="AK48" i="6"/>
  <c r="BL48" i="6"/>
  <c r="H81" i="3"/>
  <c r="AJ101" i="3"/>
  <c r="AG48" i="6"/>
  <c r="BK48" i="6"/>
  <c r="T101" i="3"/>
  <c r="J9" i="3"/>
  <c r="N25" i="3"/>
  <c r="L48" i="6"/>
  <c r="U25" i="3"/>
  <c r="AL9" i="3"/>
  <c r="BL9" i="3"/>
  <c r="AH25" i="3"/>
  <c r="AD25" i="3"/>
  <c r="C25" i="3"/>
  <c r="T25" i="3"/>
  <c r="AH101" i="3"/>
  <c r="B6" i="1"/>
  <c r="AD101" i="3"/>
  <c r="AA122" i="3"/>
  <c r="AO9" i="3"/>
  <c r="AO48" i="3" s="1"/>
  <c r="D101" i="3"/>
  <c r="G48" i="3"/>
  <c r="G122" i="3"/>
  <c r="K122" i="3"/>
  <c r="BJ48" i="6"/>
  <c r="O122" i="3"/>
  <c r="S122" i="3"/>
  <c r="W122" i="3"/>
  <c r="AN114" i="3"/>
  <c r="AN115" i="3" s="1"/>
  <c r="U48" i="3"/>
  <c r="M48" i="3"/>
  <c r="M25" i="3"/>
  <c r="J25" i="3"/>
  <c r="V81" i="3"/>
  <c r="V95" i="3" s="1"/>
  <c r="G25" i="3"/>
  <c r="I25" i="3"/>
  <c r="AH81" i="3"/>
  <c r="AH95" i="3" s="1"/>
  <c r="AE122" i="3"/>
  <c r="AI122" i="3"/>
  <c r="BR122" i="3"/>
  <c r="BQ122" i="3"/>
  <c r="BP122" i="3"/>
  <c r="BO122" i="3"/>
  <c r="BK122" i="3"/>
  <c r="BJ122" i="3"/>
  <c r="BL122" i="3"/>
  <c r="BM122" i="3"/>
  <c r="BN122" i="3"/>
  <c r="AG25" i="3"/>
  <c r="AL25" i="3"/>
  <c r="C101" i="3"/>
  <c r="C122" i="3"/>
  <c r="I122" i="3"/>
  <c r="M122" i="3"/>
  <c r="Q122" i="3"/>
  <c r="U122" i="3"/>
  <c r="Y122" i="3"/>
  <c r="AC122" i="3"/>
  <c r="AG122" i="3"/>
  <c r="AK122" i="3"/>
  <c r="J122" i="3"/>
  <c r="N122" i="3"/>
  <c r="R122" i="3"/>
  <c r="V122" i="3"/>
  <c r="Z122" i="3"/>
  <c r="AD122" i="3"/>
  <c r="AH122" i="3"/>
  <c r="AL122" i="3"/>
  <c r="AM122" i="3"/>
  <c r="X25" i="3"/>
  <c r="AP122" i="3"/>
  <c r="H122" i="3"/>
  <c r="L122" i="3"/>
  <c r="P122" i="3"/>
  <c r="T122" i="3"/>
  <c r="X122" i="3"/>
  <c r="AB122" i="3"/>
  <c r="AF122" i="3"/>
  <c r="AJ122" i="3"/>
  <c r="AO122" i="3"/>
  <c r="BN7" i="6"/>
  <c r="BN7" i="5"/>
  <c r="BM7" i="6"/>
  <c r="BM7" i="5"/>
  <c r="AQ43" i="7"/>
  <c r="AU40" i="7"/>
  <c r="BT96" i="3"/>
  <c r="B48" i="7"/>
  <c r="B6" i="6"/>
  <c r="AC25" i="3"/>
  <c r="H48" i="3"/>
  <c r="V25" i="3"/>
  <c r="K25" i="3"/>
  <c r="AG81" i="3"/>
  <c r="AG95" i="3" s="1"/>
  <c r="Z25" i="3"/>
  <c r="T95" i="3"/>
  <c r="I48" i="3"/>
  <c r="V48" i="3"/>
  <c r="BK9" i="3"/>
  <c r="BK48" i="3" s="1"/>
  <c r="Y81" i="3"/>
  <c r="Y95" i="3" s="1"/>
  <c r="Q48" i="6"/>
  <c r="W48" i="6"/>
  <c r="G48" i="6"/>
  <c r="M48" i="6"/>
  <c r="U48" i="6"/>
  <c r="AF48" i="6"/>
  <c r="D48" i="6"/>
  <c r="K48" i="6"/>
  <c r="V48" i="6"/>
  <c r="T48" i="6"/>
  <c r="BJ54" i="1"/>
  <c r="BQ6" i="6"/>
  <c r="BQ6" i="5"/>
  <c r="BK6" i="6"/>
  <c r="BK6" i="5"/>
  <c r="BN6" i="6"/>
  <c r="BN6" i="5"/>
  <c r="BR6" i="6"/>
  <c r="BR6" i="5"/>
  <c r="BO6" i="6"/>
  <c r="BO6" i="5"/>
  <c r="BL6" i="6"/>
  <c r="BL6" i="5"/>
  <c r="BM6" i="6"/>
  <c r="BM6" i="5"/>
  <c r="BJ6" i="6"/>
  <c r="BJ6" i="5"/>
  <c r="BP6" i="6"/>
  <c r="BP6" i="5"/>
  <c r="BP48" i="6"/>
  <c r="Z48" i="6"/>
  <c r="P48" i="6"/>
  <c r="H48" i="6"/>
  <c r="R48" i="6"/>
  <c r="BR48" i="6"/>
  <c r="AH48" i="6"/>
  <c r="AB48" i="6"/>
  <c r="AI48" i="6"/>
  <c r="AI32" i="7"/>
  <c r="AI36" i="7" s="1"/>
  <c r="AI43" i="7" s="1"/>
  <c r="X74" i="7"/>
  <c r="X78" i="7" s="1"/>
  <c r="X82" i="7" s="1"/>
  <c r="BJ87" i="7"/>
  <c r="Z54" i="1"/>
  <c r="AN78" i="7"/>
  <c r="AR82" i="7" s="1"/>
  <c r="AD32" i="7"/>
  <c r="AD36" i="7" s="1"/>
  <c r="AD43" i="7" s="1"/>
  <c r="AG74" i="7"/>
  <c r="AG78" i="7" s="1"/>
  <c r="AF74" i="7"/>
  <c r="AF78" i="7" s="1"/>
  <c r="AA32" i="7"/>
  <c r="AA36" i="7" s="1"/>
  <c r="AA40" i="7" s="1"/>
  <c r="AB74" i="7"/>
  <c r="AB78" i="7" s="1"/>
  <c r="AB85" i="7" s="1"/>
  <c r="AB25" i="3"/>
  <c r="N81" i="3"/>
  <c r="N95" i="3" s="1"/>
  <c r="N54" i="1"/>
  <c r="P15" i="1"/>
  <c r="P17" i="1" s="1"/>
  <c r="P22" i="1" s="1"/>
  <c r="P25" i="1" s="1"/>
  <c r="P30" i="1" s="1"/>
  <c r="P34" i="1" s="1"/>
  <c r="P39" i="1" s="1"/>
  <c r="R15" i="1"/>
  <c r="R17" i="1" s="1"/>
  <c r="AC54" i="1"/>
  <c r="BR54" i="1"/>
  <c r="BP15" i="1"/>
  <c r="BQ110" i="3" s="1"/>
  <c r="BQ117" i="3" s="1"/>
  <c r="AQ96" i="3"/>
  <c r="S9" i="3"/>
  <c r="S48" i="3" s="1"/>
  <c r="O9" i="3"/>
  <c r="O48" i="3" s="1"/>
  <c r="AM9" i="3"/>
  <c r="AM48" i="3" s="1"/>
  <c r="AM101" i="3"/>
  <c r="AF54" i="1"/>
  <c r="BJ15" i="1"/>
  <c r="BJ17" i="1" s="1"/>
  <c r="BJ22" i="1" s="1"/>
  <c r="BJ25" i="1" s="1"/>
  <c r="BL45" i="7"/>
  <c r="BJ32" i="7"/>
  <c r="BJ36" i="7" s="1"/>
  <c r="BN40" i="7" s="1"/>
  <c r="X32" i="7"/>
  <c r="X36" i="7" s="1"/>
  <c r="B6" i="5"/>
  <c r="B6" i="3"/>
  <c r="BQ54" i="1"/>
  <c r="O15" i="1"/>
  <c r="O17" i="1" s="1"/>
  <c r="S54" i="1"/>
  <c r="BS54" i="1"/>
  <c r="AC48" i="6"/>
  <c r="AD48" i="6"/>
  <c r="Y48" i="6"/>
  <c r="AA59" i="6"/>
  <c r="S48" i="6"/>
  <c r="F48" i="6"/>
  <c r="AA54" i="1"/>
  <c r="BO15" i="1"/>
  <c r="BP110" i="3" s="1"/>
  <c r="X54" i="1"/>
  <c r="AD54" i="1"/>
  <c r="T54" i="1"/>
  <c r="BS17" i="1"/>
  <c r="BS58" i="1" s="1"/>
  <c r="BT110" i="3"/>
  <c r="AI9" i="3"/>
  <c r="AI48" i="3" s="1"/>
  <c r="O25" i="3"/>
  <c r="AN25" i="3"/>
  <c r="BJ81" i="3"/>
  <c r="BJ95" i="3" s="1"/>
  <c r="AE9" i="3"/>
  <c r="AE48" i="3" s="1"/>
  <c r="AA9" i="3"/>
  <c r="AA48" i="3" s="1"/>
  <c r="Q25" i="3"/>
  <c r="G81" i="3"/>
  <c r="G95" i="3" s="1"/>
  <c r="X81" i="3"/>
  <c r="X95" i="3" s="1"/>
  <c r="BJ9" i="3"/>
  <c r="BJ48" i="3" s="1"/>
  <c r="AF25" i="3"/>
  <c r="Y25" i="3"/>
  <c r="H101" i="3"/>
  <c r="AN9" i="3"/>
  <c r="AN48" i="3" s="1"/>
  <c r="AP9" i="3"/>
  <c r="AP48" i="3" s="1"/>
  <c r="S25" i="3"/>
  <c r="C9" i="3"/>
  <c r="C48" i="3" s="1"/>
  <c r="D9" i="3"/>
  <c r="D48" i="3" s="1"/>
  <c r="AH9" i="3"/>
  <c r="AH48" i="3" s="1"/>
  <c r="Y48" i="3"/>
  <c r="AJ9" i="3"/>
  <c r="AJ48" i="3" s="1"/>
  <c r="K48" i="3"/>
  <c r="AO95" i="3"/>
  <c r="BJ108" i="3"/>
  <c r="AO25" i="3"/>
  <c r="BN25" i="3"/>
  <c r="W25" i="3"/>
  <c r="AM25" i="3"/>
  <c r="AE25" i="3"/>
  <c r="W81" i="3"/>
  <c r="W95" i="3" s="1"/>
  <c r="AM81" i="3"/>
  <c r="AM95" i="3" s="1"/>
  <c r="AL48" i="3"/>
  <c r="Z81" i="3"/>
  <c r="Z95" i="3" s="1"/>
  <c r="BO108" i="3"/>
  <c r="BL81" i="3"/>
  <c r="BL95" i="3" s="1"/>
  <c r="I81" i="3"/>
  <c r="I95" i="3" s="1"/>
  <c r="Z108" i="3"/>
  <c r="AA25" i="3"/>
  <c r="AI25" i="3"/>
  <c r="AA81" i="3"/>
  <c r="AA95" i="3" s="1"/>
  <c r="AJ25" i="3"/>
  <c r="AF81" i="3"/>
  <c r="AF95" i="3" s="1"/>
  <c r="AK25" i="3"/>
  <c r="AD81" i="3"/>
  <c r="AD95" i="3" s="1"/>
  <c r="J81" i="3"/>
  <c r="J95" i="3" s="1"/>
  <c r="AP25" i="3"/>
  <c r="AD108" i="3"/>
  <c r="AH108" i="3"/>
  <c r="BR9" i="3"/>
  <c r="BR48" i="3" s="1"/>
  <c r="BR101" i="3"/>
  <c r="BK25" i="3"/>
  <c r="BM25" i="3"/>
  <c r="BM81" i="3"/>
  <c r="BM95" i="3" s="1"/>
  <c r="BN108" i="3"/>
  <c r="O81" i="3"/>
  <c r="O95" i="3" s="1"/>
  <c r="Z48" i="3"/>
  <c r="L25" i="3"/>
  <c r="AP81" i="3"/>
  <c r="BQ108" i="3"/>
  <c r="D25" i="3"/>
  <c r="R25" i="3"/>
  <c r="N48" i="3"/>
  <c r="X48" i="3"/>
  <c r="V108" i="3"/>
  <c r="BK81" i="3"/>
  <c r="BK95" i="3" s="1"/>
  <c r="BK108" i="3"/>
  <c r="N108" i="3"/>
  <c r="R108" i="3"/>
  <c r="BP108" i="3"/>
  <c r="BQ48" i="6"/>
  <c r="X48" i="6"/>
  <c r="AA50" i="6"/>
  <c r="AL48" i="6"/>
  <c r="AE48" i="6"/>
  <c r="AO48" i="6"/>
  <c r="AM48" i="6"/>
  <c r="U95" i="3"/>
  <c r="I108" i="3"/>
  <c r="J108" i="3"/>
  <c r="Q108" i="3"/>
  <c r="S108" i="3"/>
  <c r="X108" i="3"/>
  <c r="AG108" i="3"/>
  <c r="BR108" i="3"/>
  <c r="BP48" i="3"/>
  <c r="BP81" i="3"/>
  <c r="BP95" i="3" s="1"/>
  <c r="BK101" i="3"/>
  <c r="BJ101" i="3"/>
  <c r="BL108" i="3"/>
  <c r="BM101" i="3"/>
  <c r="AC48" i="3"/>
  <c r="AK48" i="3"/>
  <c r="H25" i="3"/>
  <c r="Q48" i="3"/>
  <c r="R81" i="3"/>
  <c r="R95" i="3" s="1"/>
  <c r="H108" i="3"/>
  <c r="L108" i="3"/>
  <c r="U108" i="3"/>
  <c r="W108" i="3"/>
  <c r="AB108" i="3"/>
  <c r="AI108" i="3"/>
  <c r="AK108" i="3"/>
  <c r="BR81" i="3"/>
  <c r="BR95" i="3" s="1"/>
  <c r="BQ101" i="3"/>
  <c r="BL101" i="3"/>
  <c r="M95" i="3"/>
  <c r="AP101" i="3"/>
  <c r="C108" i="3"/>
  <c r="K108" i="3"/>
  <c r="P108" i="3"/>
  <c r="Y108" i="3"/>
  <c r="AA108" i="3"/>
  <c r="AF108" i="3"/>
  <c r="AN108" i="3"/>
  <c r="BP25" i="3"/>
  <c r="BO25" i="3"/>
  <c r="BJ25" i="3"/>
  <c r="BL25" i="3"/>
  <c r="BM108" i="3"/>
  <c r="R48" i="3"/>
  <c r="AC81" i="3"/>
  <c r="AC95" i="3" s="1"/>
  <c r="Q81" i="3"/>
  <c r="Q95" i="3" s="1"/>
  <c r="AP108" i="3"/>
  <c r="M108" i="3"/>
  <c r="O108" i="3"/>
  <c r="T108" i="3"/>
  <c r="AC108" i="3"/>
  <c r="AE108" i="3"/>
  <c r="BO101" i="3"/>
  <c r="AM115" i="3"/>
  <c r="AM108" i="3"/>
  <c r="AJ108" i="3"/>
  <c r="AJ115" i="3"/>
  <c r="AL108" i="3"/>
  <c r="AL115" i="3"/>
  <c r="AK81" i="3"/>
  <c r="AK95" i="3" s="1"/>
  <c r="AL81" i="3"/>
  <c r="AL95" i="3" s="1"/>
  <c r="H95" i="3"/>
  <c r="L48" i="3"/>
  <c r="I101" i="3"/>
  <c r="M101" i="3"/>
  <c r="Q101" i="3"/>
  <c r="U101" i="3"/>
  <c r="Y101" i="3"/>
  <c r="AC101" i="3"/>
  <c r="AK101" i="3"/>
  <c r="T115" i="3"/>
  <c r="BP101" i="3"/>
  <c r="BL48" i="3"/>
  <c r="BN48" i="3"/>
  <c r="BN81" i="3"/>
  <c r="BN95" i="3" s="1"/>
  <c r="AB48" i="3"/>
  <c r="C95" i="3"/>
  <c r="AN95" i="3"/>
  <c r="AE81" i="3"/>
  <c r="AE95" i="3" s="1"/>
  <c r="J101" i="3"/>
  <c r="N101" i="3"/>
  <c r="R101" i="3"/>
  <c r="V101" i="3"/>
  <c r="Z101" i="3"/>
  <c r="AL101" i="3"/>
  <c r="G108" i="3"/>
  <c r="BQ81" i="3"/>
  <c r="BQ95" i="3" s="1"/>
  <c r="BO48" i="3"/>
  <c r="BO81" i="3"/>
  <c r="BO95" i="3" s="1"/>
  <c r="BM48" i="3"/>
  <c r="BN101" i="3"/>
  <c r="S81" i="3"/>
  <c r="S95" i="3" s="1"/>
  <c r="AI81" i="3"/>
  <c r="AI95" i="3" s="1"/>
  <c r="AB81" i="3"/>
  <c r="AB95" i="3" s="1"/>
  <c r="J48" i="3"/>
  <c r="K81" i="3"/>
  <c r="K95" i="3" s="1"/>
  <c r="G101" i="3"/>
  <c r="K101" i="3"/>
  <c r="O101" i="3"/>
  <c r="S101" i="3"/>
  <c r="W101" i="3"/>
  <c r="AA101" i="3"/>
  <c r="AO101" i="3"/>
  <c r="AO108" i="3"/>
  <c r="BQ25" i="3"/>
  <c r="W9" i="3"/>
  <c r="W48" i="3" s="1"/>
  <c r="L81" i="3"/>
  <c r="L95" i="3" s="1"/>
  <c r="L101" i="3"/>
  <c r="X101" i="3"/>
  <c r="AB101" i="3"/>
  <c r="AN101" i="3"/>
  <c r="T9" i="3"/>
  <c r="T48" i="3" s="1"/>
  <c r="AJ81" i="3"/>
  <c r="AJ95" i="3" s="1"/>
  <c r="AF9" i="3"/>
  <c r="AF48" i="3" s="1"/>
  <c r="AF101" i="3"/>
  <c r="BQ48" i="3"/>
  <c r="AD9" i="3"/>
  <c r="AD48" i="3" s="1"/>
  <c r="AG9" i="3"/>
  <c r="AG48" i="3" s="1"/>
  <c r="AG101" i="3"/>
  <c r="P9" i="3"/>
  <c r="P48" i="3" s="1"/>
  <c r="P101" i="3"/>
  <c r="U54" i="1"/>
  <c r="O54" i="1"/>
  <c r="R54" i="1"/>
  <c r="BK20" i="6"/>
  <c r="N20" i="6"/>
  <c r="AD20" i="6"/>
  <c r="AJ20" i="6"/>
  <c r="AN20" i="6"/>
  <c r="J54" i="1"/>
  <c r="AE15" i="1"/>
  <c r="AE17" i="1" s="1"/>
  <c r="AI15" i="1"/>
  <c r="AI17" i="1" s="1"/>
  <c r="V54" i="1"/>
  <c r="AE54" i="1"/>
  <c r="AI54" i="1"/>
  <c r="AB54" i="1"/>
  <c r="D20" i="6"/>
  <c r="Q54" i="1"/>
  <c r="BM54" i="1"/>
  <c r="S15" i="1"/>
  <c r="S17" i="1" s="1"/>
  <c r="S22" i="1" s="1"/>
  <c r="S25" i="1" s="1"/>
  <c r="S30" i="1" s="1"/>
  <c r="S34" i="1" s="1"/>
  <c r="S39" i="1" s="1"/>
  <c r="U15" i="1"/>
  <c r="U17" i="1" s="1"/>
  <c r="X15" i="1"/>
  <c r="X17" i="1" s="1"/>
  <c r="AA15" i="1"/>
  <c r="AA17" i="1" s="1"/>
  <c r="AD15" i="1"/>
  <c r="AD17" i="1" s="1"/>
  <c r="AH15" i="1"/>
  <c r="AH17" i="1" s="1"/>
  <c r="AK15" i="1"/>
  <c r="AK17" i="1" s="1"/>
  <c r="AG54" i="1"/>
  <c r="BN54" i="1"/>
  <c r="BR45" i="1"/>
  <c r="AM54" i="1"/>
  <c r="AM46" i="1"/>
  <c r="T15" i="1"/>
  <c r="V15" i="1"/>
  <c r="W15" i="1"/>
  <c r="W17" i="1" s="1"/>
  <c r="Y15" i="1"/>
  <c r="Y17" i="1" s="1"/>
  <c r="Y22" i="1" s="1"/>
  <c r="Y25" i="1" s="1"/>
  <c r="Y30" i="1" s="1"/>
  <c r="Y34" i="1" s="1"/>
  <c r="Y39" i="1" s="1"/>
  <c r="Z15" i="1"/>
  <c r="Z17" i="1" s="1"/>
  <c r="AC15" i="1"/>
  <c r="AH20" i="6"/>
  <c r="AL20" i="6"/>
  <c r="AO20" i="6"/>
  <c r="AO25" i="6" s="1"/>
  <c r="AO36" i="6" s="1"/>
  <c r="BL15" i="1"/>
  <c r="BM110" i="3" s="1"/>
  <c r="BM113" i="3" s="1"/>
  <c r="Q15" i="1"/>
  <c r="W54" i="1"/>
  <c r="D30" i="1"/>
  <c r="D34" i="1" s="1"/>
  <c r="D39" i="1" s="1"/>
  <c r="K15" i="1"/>
  <c r="K17" i="1" s="1"/>
  <c r="K22" i="1" s="1"/>
  <c r="K25" i="1" s="1"/>
  <c r="K60" i="1" s="1"/>
  <c r="BN15" i="1"/>
  <c r="BO54" i="1"/>
  <c r="BP54" i="1"/>
  <c r="AK54" i="1"/>
  <c r="I20" i="6"/>
  <c r="L20" i="6"/>
  <c r="V20" i="6"/>
  <c r="AI20" i="6"/>
  <c r="F15" i="1"/>
  <c r="E17" i="1"/>
  <c r="E22" i="1" s="1"/>
  <c r="E25" i="1" s="1"/>
  <c r="E30" i="1" s="1"/>
  <c r="E34" i="1" s="1"/>
  <c r="E39" i="1" s="1"/>
  <c r="AM15" i="1"/>
  <c r="AQ55" i="1" s="1"/>
  <c r="AM20" i="6"/>
  <c r="BM15" i="1"/>
  <c r="BN110" i="3" s="1"/>
  <c r="BQ15" i="1"/>
  <c r="BQ17" i="1" s="1"/>
  <c r="BS20" i="6"/>
  <c r="BS37" i="6" s="1"/>
  <c r="C17" i="1"/>
  <c r="C22" i="1" s="1"/>
  <c r="C25" i="1" s="1"/>
  <c r="C60" i="1" s="1"/>
  <c r="G110" i="3"/>
  <c r="AC74" i="7"/>
  <c r="AC78" i="7" s="1"/>
  <c r="AJ74" i="7"/>
  <c r="AJ78" i="7" s="1"/>
  <c r="BK45" i="7"/>
  <c r="AB32" i="7"/>
  <c r="AB36" i="7" s="1"/>
  <c r="AB43" i="7" s="1"/>
  <c r="AD74" i="7"/>
  <c r="AD78" i="7" s="1"/>
  <c r="BL36" i="7"/>
  <c r="AO32" i="7"/>
  <c r="AO36" i="7" s="1"/>
  <c r="AS40" i="7" s="1"/>
  <c r="AE32" i="7"/>
  <c r="AE36" i="7" s="1"/>
  <c r="Y74" i="7"/>
  <c r="Y78" i="7" s="1"/>
  <c r="BJ78" i="7"/>
  <c r="BL74" i="7"/>
  <c r="BL78" i="7" s="1"/>
  <c r="BK74" i="7"/>
  <c r="BK78" i="7" s="1"/>
  <c r="BK43" i="7"/>
  <c r="AP74" i="7"/>
  <c r="AP78" i="7" s="1"/>
  <c r="AK74" i="7"/>
  <c r="AK78" i="7" s="1"/>
  <c r="AM74" i="7"/>
  <c r="AM78" i="7" s="1"/>
  <c r="AF32" i="7"/>
  <c r="AF36" i="7" s="1"/>
  <c r="Y32" i="7"/>
  <c r="Y36" i="7" s="1"/>
  <c r="Y45" i="7"/>
  <c r="AG32" i="7"/>
  <c r="AG36" i="7" s="1"/>
  <c r="AG43" i="7" s="1"/>
  <c r="AG45" i="7"/>
  <c r="Z74" i="7"/>
  <c r="Z78" i="7" s="1"/>
  <c r="AL74" i="7"/>
  <c r="AL78" i="7" s="1"/>
  <c r="AH32" i="7"/>
  <c r="AH36" i="7" s="1"/>
  <c r="AH45" i="7"/>
  <c r="AN32" i="7"/>
  <c r="AN36" i="7" s="1"/>
  <c r="AL32" i="7"/>
  <c r="AL36" i="7" s="1"/>
  <c r="AA74" i="7"/>
  <c r="AA78" i="7" s="1"/>
  <c r="AO74" i="7"/>
  <c r="AO78" i="7" s="1"/>
  <c r="AS82" i="7" s="1"/>
  <c r="AJ32" i="7"/>
  <c r="AJ36" i="7" s="1"/>
  <c r="AJ43" i="7" s="1"/>
  <c r="AJ45" i="7"/>
  <c r="AP32" i="7"/>
  <c r="AP36" i="7" s="1"/>
  <c r="AT40" i="7" s="1"/>
  <c r="AK32" i="7"/>
  <c r="AK36" i="7" s="1"/>
  <c r="AK45" i="7"/>
  <c r="AE74" i="7"/>
  <c r="AE78" i="7" s="1"/>
  <c r="AI74" i="7"/>
  <c r="AI78" i="7" s="1"/>
  <c r="Z32" i="7"/>
  <c r="Z36" i="7" s="1"/>
  <c r="Z43" i="7" s="1"/>
  <c r="Z45" i="7"/>
  <c r="AM32" i="7"/>
  <c r="AM36" i="7" s="1"/>
  <c r="AH74" i="7"/>
  <c r="AH78" i="7" s="1"/>
  <c r="AC32" i="7"/>
  <c r="AC36" i="7" s="1"/>
  <c r="AI115" i="3"/>
  <c r="L115" i="3"/>
  <c r="T119" i="3"/>
  <c r="H115" i="3"/>
  <c r="R115" i="3"/>
  <c r="M119" i="3"/>
  <c r="V115" i="3"/>
  <c r="X115" i="3"/>
  <c r="P115" i="3"/>
  <c r="BR115" i="3"/>
  <c r="AN119" i="3"/>
  <c r="W119" i="3"/>
  <c r="AM119" i="3"/>
  <c r="BN115" i="3"/>
  <c r="I115" i="3"/>
  <c r="I119" i="3"/>
  <c r="G15" i="1"/>
  <c r="G55" i="1" s="1"/>
  <c r="G54" i="1"/>
  <c r="K54" i="1"/>
  <c r="BK15" i="1"/>
  <c r="BL54" i="1"/>
  <c r="AB15" i="1"/>
  <c r="AB17" i="1" s="1"/>
  <c r="AD119" i="3"/>
  <c r="AD115" i="3"/>
  <c r="AF15" i="1"/>
  <c r="AL15" i="1"/>
  <c r="BK54" i="1"/>
  <c r="AL54" i="1"/>
  <c r="AC115" i="3"/>
  <c r="AP119" i="3"/>
  <c r="BI15" i="1"/>
  <c r="BJ110" i="3" s="1"/>
  <c r="C110" i="3" s="1"/>
  <c r="BR15" i="1"/>
  <c r="AH54" i="1"/>
  <c r="F20" i="6"/>
  <c r="J20" i="6"/>
  <c r="U119" i="3"/>
  <c r="U115" i="3"/>
  <c r="AH115" i="3"/>
  <c r="AH119" i="3"/>
  <c r="BJ115" i="3"/>
  <c r="BJ119" i="3"/>
  <c r="AK20" i="6"/>
  <c r="S20" i="6"/>
  <c r="AO15" i="1"/>
  <c r="H15" i="1"/>
  <c r="H55" i="1" s="1"/>
  <c r="J15" i="1"/>
  <c r="N15" i="1"/>
  <c r="AG15" i="1"/>
  <c r="R20" i="6"/>
  <c r="X20" i="6"/>
  <c r="BP20" i="6"/>
  <c r="BP37" i="6" s="1"/>
  <c r="K20" i="6"/>
  <c r="Q20" i="6"/>
  <c r="BN20" i="6"/>
  <c r="BR20" i="6"/>
  <c r="BR37" i="6" s="1"/>
  <c r="BJ20" i="6"/>
  <c r="Y20" i="6"/>
  <c r="BM20" i="6"/>
  <c r="AA20" i="6"/>
  <c r="W20" i="6"/>
  <c r="Q115" i="3"/>
  <c r="G119" i="3"/>
  <c r="BL115" i="3"/>
  <c r="Z20" i="6"/>
  <c r="M20" i="6"/>
  <c r="O20" i="6"/>
  <c r="AF20" i="6"/>
  <c r="AJ119" i="3"/>
  <c r="BP115" i="3"/>
  <c r="BO115" i="3"/>
  <c r="BO20" i="6"/>
  <c r="AG20" i="6"/>
  <c r="AB20" i="6"/>
  <c r="BQ20" i="6"/>
  <c r="BQ37" i="6" s="1"/>
  <c r="E20" i="6"/>
  <c r="AC20" i="6"/>
  <c r="AA119" i="3"/>
  <c r="BK119" i="3"/>
  <c r="BM115" i="3"/>
  <c r="S46" i="1"/>
  <c r="Z46" i="1"/>
  <c r="AN15" i="1"/>
  <c r="AR55" i="1" s="1"/>
  <c r="AN54" i="1"/>
  <c r="I15" i="1"/>
  <c r="I54" i="1"/>
  <c r="L15" i="1"/>
  <c r="L54" i="1"/>
  <c r="J119" i="3"/>
  <c r="J115" i="3"/>
  <c r="BQ119" i="3"/>
  <c r="BQ115" i="3"/>
  <c r="H20" i="6"/>
  <c r="T20" i="6"/>
  <c r="AO119" i="3"/>
  <c r="AO115" i="3"/>
  <c r="AE119" i="3"/>
  <c r="AE115" i="3"/>
  <c r="AO54" i="1"/>
  <c r="AO46" i="1"/>
  <c r="M15" i="1"/>
  <c r="M54" i="1"/>
  <c r="K119" i="3"/>
  <c r="K115" i="3"/>
  <c r="O115" i="3"/>
  <c r="O119" i="3"/>
  <c r="S115" i="3"/>
  <c r="S119" i="3"/>
  <c r="AB119" i="3"/>
  <c r="AB115" i="3"/>
  <c r="AJ15" i="1"/>
  <c r="AJ54" i="1"/>
  <c r="P54" i="1"/>
  <c r="H54" i="1"/>
  <c r="BL20" i="6"/>
  <c r="U20" i="6"/>
  <c r="AE20" i="6"/>
  <c r="G20" i="6"/>
  <c r="P20" i="6"/>
  <c r="C119" i="3"/>
  <c r="P46" i="1"/>
  <c r="Y119" i="3"/>
  <c r="Y115" i="3"/>
  <c r="AK119" i="3"/>
  <c r="AK115" i="3"/>
  <c r="AP20" i="6"/>
  <c r="Z119" i="3"/>
  <c r="Z115" i="3"/>
  <c r="AF115" i="3"/>
  <c r="AF119" i="3"/>
  <c r="N115" i="3"/>
  <c r="N119" i="3"/>
  <c r="P96" i="3" l="1"/>
  <c r="AK96" i="3"/>
  <c r="BL43" i="7"/>
  <c r="BP40" i="7"/>
  <c r="M96" i="3"/>
  <c r="U96" i="3"/>
  <c r="V96" i="3"/>
  <c r="AN122" i="3"/>
  <c r="G96" i="3"/>
  <c r="AH96" i="3"/>
  <c r="I96" i="3"/>
  <c r="H96" i="3"/>
  <c r="BP96" i="3"/>
  <c r="Y96" i="3"/>
  <c r="AA96" i="3"/>
  <c r="T96" i="3"/>
  <c r="BK110" i="3"/>
  <c r="BK109" i="3" s="1"/>
  <c r="BR96" i="3"/>
  <c r="BJ96" i="3"/>
  <c r="S37" i="1"/>
  <c r="S40" i="1" s="1"/>
  <c r="Y37" i="1"/>
  <c r="Y40" i="1" s="1"/>
  <c r="P61" i="1"/>
  <c r="P37" i="1"/>
  <c r="P40" i="1" s="1"/>
  <c r="E37" i="1"/>
  <c r="E40" i="1" s="1"/>
  <c r="D37" i="1"/>
  <c r="D40" i="1" s="1"/>
  <c r="N96" i="3"/>
  <c r="AJ96" i="3"/>
  <c r="AB96" i="3"/>
  <c r="O96" i="3"/>
  <c r="AS55" i="1"/>
  <c r="AN43" i="7"/>
  <c r="AR40" i="7"/>
  <c r="BJ40" i="7"/>
  <c r="AN85" i="7"/>
  <c r="X85" i="7"/>
  <c r="BP17" i="1"/>
  <c r="BP22" i="1" s="1"/>
  <c r="BP25" i="1" s="1"/>
  <c r="AM17" i="1"/>
  <c r="AM22" i="1" s="1"/>
  <c r="T110" i="3"/>
  <c r="T117" i="3" s="1"/>
  <c r="BQ109" i="3"/>
  <c r="Z40" i="7"/>
  <c r="Z82" i="7"/>
  <c r="Z85" i="7"/>
  <c r="AC82" i="7"/>
  <c r="AC85" i="7"/>
  <c r="AC40" i="7"/>
  <c r="AC43" i="7"/>
  <c r="AF43" i="7"/>
  <c r="AF40" i="7"/>
  <c r="AF85" i="7"/>
  <c r="AF82" i="7"/>
  <c r="AH82" i="7"/>
  <c r="AH85" i="7"/>
  <c r="AH40" i="7"/>
  <c r="AH43" i="7"/>
  <c r="Y85" i="7"/>
  <c r="Y82" i="7"/>
  <c r="AD85" i="7"/>
  <c r="AD82" i="7"/>
  <c r="Y43" i="7"/>
  <c r="Y40" i="7"/>
  <c r="AJ85" i="7"/>
  <c r="AJ82" i="7"/>
  <c r="AN82" i="7"/>
  <c r="AG82" i="7"/>
  <c r="AG85" i="7"/>
  <c r="AG40" i="7"/>
  <c r="AN40" i="7"/>
  <c r="AA43" i="7"/>
  <c r="AB82" i="7"/>
  <c r="AJ40" i="7"/>
  <c r="AD40" i="7"/>
  <c r="AE43" i="7"/>
  <c r="K30" i="1"/>
  <c r="K34" i="1" s="1"/>
  <c r="K39" i="1" s="1"/>
  <c r="X55" i="1"/>
  <c r="T55" i="1"/>
  <c r="BP109" i="3"/>
  <c r="J96" i="3"/>
  <c r="Z96" i="3"/>
  <c r="AO96" i="3"/>
  <c r="BM96" i="3"/>
  <c r="AC96" i="3"/>
  <c r="BQ96" i="3"/>
  <c r="L96" i="3"/>
  <c r="D96" i="3"/>
  <c r="AE96" i="3"/>
  <c r="AG96" i="3"/>
  <c r="K96" i="3"/>
  <c r="AI96" i="3"/>
  <c r="AN96" i="3"/>
  <c r="BN96" i="3"/>
  <c r="AL96" i="3"/>
  <c r="Q96" i="3"/>
  <c r="BK96" i="3"/>
  <c r="BL96" i="3"/>
  <c r="X96" i="3"/>
  <c r="S96" i="3"/>
  <c r="BO96" i="3"/>
  <c r="AD96" i="3"/>
  <c r="R96" i="3"/>
  <c r="AF96" i="3"/>
  <c r="W96" i="3"/>
  <c r="P58" i="1"/>
  <c r="X43" i="7"/>
  <c r="X40" i="7"/>
  <c r="AB40" i="7"/>
  <c r="AP85" i="7"/>
  <c r="AP82" i="7"/>
  <c r="BL40" i="7"/>
  <c r="AO85" i="7"/>
  <c r="AO82" i="7"/>
  <c r="AM85" i="7"/>
  <c r="AM82" i="7"/>
  <c r="BJ43" i="7"/>
  <c r="BK40" i="7"/>
  <c r="BP113" i="3"/>
  <c r="BS110" i="3"/>
  <c r="BS109" i="3" s="1"/>
  <c r="BR55" i="1"/>
  <c r="BS55" i="1"/>
  <c r="BS22" i="1"/>
  <c r="BS25" i="1" s="1"/>
  <c r="BT57" i="1" s="1"/>
  <c r="AL55" i="1"/>
  <c r="AD55" i="1"/>
  <c r="AA48" i="6"/>
  <c r="AP43" i="7"/>
  <c r="AP40" i="7"/>
  <c r="BL82" i="7"/>
  <c r="BL85" i="7"/>
  <c r="AO43" i="7"/>
  <c r="AO40" i="7"/>
  <c r="AM40" i="7"/>
  <c r="AM43" i="7"/>
  <c r="AQ40" i="7"/>
  <c r="AL43" i="7"/>
  <c r="AL40" i="7"/>
  <c r="AE40" i="7"/>
  <c r="BP55" i="1"/>
  <c r="AE55" i="1"/>
  <c r="AO55" i="1"/>
  <c r="BO17" i="1"/>
  <c r="BO22" i="1" s="1"/>
  <c r="BO25" i="1" s="1"/>
  <c r="T17" i="1"/>
  <c r="T22" i="1" s="1"/>
  <c r="T25" i="1" s="1"/>
  <c r="T30" i="1" s="1"/>
  <c r="T34" i="1" s="1"/>
  <c r="T39" i="1" s="1"/>
  <c r="AA55" i="1"/>
  <c r="BN55" i="1"/>
  <c r="AH55" i="1"/>
  <c r="Q17" i="1"/>
  <c r="Q22" i="1" s="1"/>
  <c r="Q25" i="1" s="1"/>
  <c r="Q30" i="1" s="1"/>
  <c r="Q34" i="1" s="1"/>
  <c r="Q39" i="1" s="1"/>
  <c r="BT117" i="3"/>
  <c r="BT113" i="3"/>
  <c r="BT109" i="3"/>
  <c r="AM96" i="3"/>
  <c r="BN109" i="3"/>
  <c r="C96" i="3"/>
  <c r="Y60" i="1"/>
  <c r="Y58" i="1"/>
  <c r="Y55" i="1"/>
  <c r="AB110" i="3"/>
  <c r="AB109" i="3" s="1"/>
  <c r="BJ58" i="1"/>
  <c r="K58" i="1"/>
  <c r="S55" i="1"/>
  <c r="O55" i="1"/>
  <c r="AC55" i="1"/>
  <c r="Z110" i="3"/>
  <c r="Z113" i="3" s="1"/>
  <c r="AA110" i="3"/>
  <c r="AA117" i="3" s="1"/>
  <c r="H17" i="1"/>
  <c r="H22" i="1" s="1"/>
  <c r="H25" i="1" s="1"/>
  <c r="AO17" i="1"/>
  <c r="AO58" i="1" s="1"/>
  <c r="S60" i="1"/>
  <c r="S44" i="1"/>
  <c r="S48" i="1" s="1"/>
  <c r="AI58" i="1"/>
  <c r="AI22" i="1"/>
  <c r="AI25" i="1" s="1"/>
  <c r="AI30" i="1" s="1"/>
  <c r="AI34" i="1" s="1"/>
  <c r="AI39" i="1" s="1"/>
  <c r="C58" i="1"/>
  <c r="P110" i="3"/>
  <c r="P117" i="3" s="1"/>
  <c r="AI55" i="1"/>
  <c r="V55" i="1"/>
  <c r="V110" i="3"/>
  <c r="V113" i="3" s="1"/>
  <c r="AM55" i="1"/>
  <c r="Q110" i="3"/>
  <c r="Q117" i="3" s="1"/>
  <c r="C30" i="1"/>
  <c r="C34" i="1" s="1"/>
  <c r="C39" i="1" s="1"/>
  <c r="S58" i="1"/>
  <c r="BL17" i="1"/>
  <c r="BL58" i="1" s="1"/>
  <c r="Y110" i="3"/>
  <c r="Y109" i="3" s="1"/>
  <c r="W55" i="1"/>
  <c r="BM55" i="1"/>
  <c r="U110" i="3"/>
  <c r="U117" i="3" s="1"/>
  <c r="Z55" i="1"/>
  <c r="S61" i="1"/>
  <c r="V17" i="1"/>
  <c r="V58" i="1" s="1"/>
  <c r="X110" i="3"/>
  <c r="X117" i="3" s="1"/>
  <c r="BJ109" i="3"/>
  <c r="R110" i="3"/>
  <c r="R117" i="3" s="1"/>
  <c r="AH110" i="3"/>
  <c r="U55" i="1"/>
  <c r="BM17" i="1"/>
  <c r="BM22" i="1" s="1"/>
  <c r="BM25" i="1" s="1"/>
  <c r="W110" i="3"/>
  <c r="W113" i="3" s="1"/>
  <c r="S110" i="3"/>
  <c r="S117" i="3" s="1"/>
  <c r="AC17" i="1"/>
  <c r="BO55" i="1"/>
  <c r="BO110" i="3"/>
  <c r="BO117" i="3" s="1"/>
  <c r="AN110" i="3"/>
  <c r="AN109" i="3" s="1"/>
  <c r="BN17" i="1"/>
  <c r="AL17" i="1"/>
  <c r="AP110" i="3"/>
  <c r="AP113" i="3" s="1"/>
  <c r="AB55" i="1"/>
  <c r="AF110" i="3"/>
  <c r="AF109" i="3" s="1"/>
  <c r="K110" i="3"/>
  <c r="K109" i="3" s="1"/>
  <c r="AD110" i="3"/>
  <c r="AD117" i="3" s="1"/>
  <c r="O110" i="3"/>
  <c r="O117" i="3" s="1"/>
  <c r="BR110" i="3"/>
  <c r="BR109" i="3" s="1"/>
  <c r="BQ55" i="1"/>
  <c r="X22" i="1"/>
  <c r="X25" i="1" s="1"/>
  <c r="X58" i="1"/>
  <c r="I110" i="3"/>
  <c r="AE110" i="3"/>
  <c r="AE109" i="3" s="1"/>
  <c r="N110" i="3"/>
  <c r="N113" i="3" s="1"/>
  <c r="AF17" i="1"/>
  <c r="AF22" i="1" s="1"/>
  <c r="AF25" i="1" s="1"/>
  <c r="AJ110" i="3"/>
  <c r="BL55" i="1"/>
  <c r="BL110" i="3"/>
  <c r="BL117" i="3" s="1"/>
  <c r="Z22" i="1"/>
  <c r="Z25" i="1" s="1"/>
  <c r="Z58" i="1"/>
  <c r="AO110" i="3"/>
  <c r="AI110" i="3"/>
  <c r="AI117" i="3" s="1"/>
  <c r="AM110" i="3"/>
  <c r="AM109" i="3" s="1"/>
  <c r="M110" i="3"/>
  <c r="M117" i="3" s="1"/>
  <c r="L110" i="3"/>
  <c r="R55" i="1"/>
  <c r="AC110" i="3"/>
  <c r="AC113" i="3" s="1"/>
  <c r="AL110" i="3"/>
  <c r="AL113" i="3" s="1"/>
  <c r="AE22" i="1"/>
  <c r="AE25" i="1" s="1"/>
  <c r="AE58" i="1"/>
  <c r="AG110" i="3"/>
  <c r="AG117" i="3" s="1"/>
  <c r="AK110" i="3"/>
  <c r="AK113" i="3" s="1"/>
  <c r="AH58" i="1"/>
  <c r="AH22" i="1"/>
  <c r="AH25" i="1" s="1"/>
  <c r="H110" i="3"/>
  <c r="F17" i="1"/>
  <c r="J110" i="3"/>
  <c r="AI40" i="7"/>
  <c r="BJ85" i="7"/>
  <c r="BJ82" i="7"/>
  <c r="BK82" i="7"/>
  <c r="BK85" i="7"/>
  <c r="AK85" i="7"/>
  <c r="AK82" i="7"/>
  <c r="AI82" i="7"/>
  <c r="AI85" i="7"/>
  <c r="AL82" i="7"/>
  <c r="AL85" i="7"/>
  <c r="AE82" i="7"/>
  <c r="AE85" i="7"/>
  <c r="AA82" i="7"/>
  <c r="AA85" i="7"/>
  <c r="AK40" i="7"/>
  <c r="AK43" i="7"/>
  <c r="BP117" i="3"/>
  <c r="BN113" i="3"/>
  <c r="BN117" i="3"/>
  <c r="BQ113" i="3"/>
  <c r="BJ117" i="3"/>
  <c r="BJ113" i="3"/>
  <c r="J55" i="1"/>
  <c r="J17" i="1"/>
  <c r="P44" i="1"/>
  <c r="P48" i="1" s="1"/>
  <c r="P60" i="1"/>
  <c r="BM117" i="3"/>
  <c r="BM109" i="3"/>
  <c r="BJ60" i="1"/>
  <c r="BJ30" i="1"/>
  <c r="BJ34" i="1" s="1"/>
  <c r="BJ37" i="1" s="1"/>
  <c r="R58" i="1"/>
  <c r="R22" i="1"/>
  <c r="R25" i="1" s="1"/>
  <c r="O22" i="1"/>
  <c r="O25" i="1" s="1"/>
  <c r="O58" i="1"/>
  <c r="U22" i="1"/>
  <c r="U25" i="1" s="1"/>
  <c r="U58" i="1"/>
  <c r="BI17" i="1"/>
  <c r="BI55" i="1"/>
  <c r="AG17" i="1"/>
  <c r="AG55" i="1"/>
  <c r="W58" i="1"/>
  <c r="W22" i="1"/>
  <c r="W25" i="1" s="1"/>
  <c r="G17" i="1"/>
  <c r="K55" i="1"/>
  <c r="AF55" i="1"/>
  <c r="N17" i="1"/>
  <c r="N55" i="1"/>
  <c r="AK55" i="1"/>
  <c r="BR17" i="1"/>
  <c r="BR58" i="1" s="1"/>
  <c r="BQ22" i="1"/>
  <c r="BQ25" i="1" s="1"/>
  <c r="BQ58" i="1"/>
  <c r="BK17" i="1"/>
  <c r="BK55" i="1"/>
  <c r="BJ55" i="1"/>
  <c r="AA22" i="1"/>
  <c r="AA25" i="1" s="1"/>
  <c r="AA58" i="1"/>
  <c r="AJ17" i="1"/>
  <c r="AJ55" i="1"/>
  <c r="Y61" i="1"/>
  <c r="Y44" i="1"/>
  <c r="Y48" i="1" s="1"/>
  <c r="Y51" i="1" s="1"/>
  <c r="I17" i="1"/>
  <c r="I55" i="1"/>
  <c r="AD22" i="1"/>
  <c r="AD25" i="1" s="1"/>
  <c r="AD58" i="1"/>
  <c r="AK22" i="1"/>
  <c r="AK25" i="1" s="1"/>
  <c r="AK58" i="1"/>
  <c r="AB22" i="1"/>
  <c r="AB25" i="1" s="1"/>
  <c r="AB58" i="1"/>
  <c r="M55" i="1"/>
  <c r="Q55" i="1"/>
  <c r="M17" i="1"/>
  <c r="L17" i="1"/>
  <c r="L55" i="1"/>
  <c r="P55" i="1"/>
  <c r="AN17" i="1"/>
  <c r="AN55" i="1"/>
  <c r="BK117" i="3" l="1"/>
  <c r="BK113" i="3"/>
  <c r="BS30" i="1"/>
  <c r="BS34" i="1" s="1"/>
  <c r="BS37" i="1" s="1"/>
  <c r="BS40" i="1" s="1"/>
  <c r="BP58" i="1"/>
  <c r="T58" i="1"/>
  <c r="P59" i="1"/>
  <c r="P51" i="1"/>
  <c r="S59" i="1"/>
  <c r="S51" i="1"/>
  <c r="K37" i="1"/>
  <c r="K40" i="1" s="1"/>
  <c r="C44" i="1"/>
  <c r="C48" i="1" s="1"/>
  <c r="C37" i="1"/>
  <c r="C40" i="1" s="1"/>
  <c r="AI37" i="1"/>
  <c r="AI40" i="1" s="1"/>
  <c r="Q37" i="1"/>
  <c r="Q40" i="1" s="1"/>
  <c r="T37" i="1"/>
  <c r="T40" i="1" s="1"/>
  <c r="AE117" i="3"/>
  <c r="BS117" i="3"/>
  <c r="T44" i="1"/>
  <c r="T48" i="1" s="1"/>
  <c r="T51" i="1" s="1"/>
  <c r="T61" i="1"/>
  <c r="T57" i="1"/>
  <c r="T60" i="1"/>
  <c r="T113" i="3"/>
  <c r="T109" i="3"/>
  <c r="AM58" i="1"/>
  <c r="AO22" i="1"/>
  <c r="AO25" i="1" s="1"/>
  <c r="AO57" i="1" s="1"/>
  <c r="U109" i="3"/>
  <c r="Q58" i="1"/>
  <c r="V22" i="1"/>
  <c r="V25" i="1" s="1"/>
  <c r="Z57" i="1" s="1"/>
  <c r="BL22" i="1"/>
  <c r="BL25" i="1" s="1"/>
  <c r="BL60" i="1" s="1"/>
  <c r="Q60" i="1"/>
  <c r="BS113" i="3"/>
  <c r="BO58" i="1"/>
  <c r="BM58" i="1"/>
  <c r="BS60" i="1"/>
  <c r="K113" i="3"/>
  <c r="P109" i="3"/>
  <c r="Z117" i="3"/>
  <c r="N117" i="3"/>
  <c r="AA109" i="3"/>
  <c r="X113" i="3"/>
  <c r="AD109" i="3"/>
  <c r="Z109" i="3"/>
  <c r="AP117" i="3"/>
  <c r="AB113" i="3"/>
  <c r="BR117" i="3"/>
  <c r="Y113" i="3"/>
  <c r="AF117" i="3"/>
  <c r="H58" i="1"/>
  <c r="AB117" i="3"/>
  <c r="V109" i="3"/>
  <c r="M109" i="3"/>
  <c r="P113" i="3"/>
  <c r="AA113" i="3"/>
  <c r="AF113" i="3"/>
  <c r="V117" i="3"/>
  <c r="W117" i="3"/>
  <c r="AC117" i="3"/>
  <c r="AG109" i="3"/>
  <c r="BR113" i="3"/>
  <c r="K117" i="3"/>
  <c r="X109" i="3"/>
  <c r="Q113" i="3"/>
  <c r="R113" i="3"/>
  <c r="AI60" i="1"/>
  <c r="AE113" i="3"/>
  <c r="Y117" i="3"/>
  <c r="Q109" i="3"/>
  <c r="M113" i="3"/>
  <c r="R109" i="3"/>
  <c r="U113" i="3"/>
  <c r="S109" i="3"/>
  <c r="AI57" i="1"/>
  <c r="S113" i="3"/>
  <c r="W109" i="3"/>
  <c r="AC109" i="3"/>
  <c r="AG113" i="3"/>
  <c r="AF58" i="1"/>
  <c r="AC58" i="1"/>
  <c r="AC22" i="1"/>
  <c r="AC25" i="1" s="1"/>
  <c r="AM25" i="1"/>
  <c r="AQ57" i="1" s="1"/>
  <c r="BL113" i="3"/>
  <c r="AK109" i="3"/>
  <c r="AD113" i="3"/>
  <c r="AI113" i="3"/>
  <c r="BO113" i="3"/>
  <c r="BO109" i="3"/>
  <c r="AK117" i="3"/>
  <c r="N109" i="3"/>
  <c r="AI109" i="3"/>
  <c r="BN22" i="1"/>
  <c r="BN25" i="1" s="1"/>
  <c r="BO57" i="1" s="1"/>
  <c r="BN58" i="1"/>
  <c r="AP109" i="3"/>
  <c r="BL109" i="3"/>
  <c r="Y59" i="1"/>
  <c r="F22" i="1"/>
  <c r="F25" i="1" s="1"/>
  <c r="F58" i="1"/>
  <c r="Z30" i="1"/>
  <c r="Z34" i="1" s="1"/>
  <c r="Z39" i="1" s="1"/>
  <c r="Z60" i="1"/>
  <c r="O113" i="3"/>
  <c r="O109" i="3"/>
  <c r="X30" i="1"/>
  <c r="X34" i="1" s="1"/>
  <c r="X39" i="1" s="1"/>
  <c r="X60" i="1"/>
  <c r="X57" i="1"/>
  <c r="AH30" i="1"/>
  <c r="AH34" i="1" s="1"/>
  <c r="AH39" i="1" s="1"/>
  <c r="AH60" i="1"/>
  <c r="AE30" i="1"/>
  <c r="AE34" i="1" s="1"/>
  <c r="AE39" i="1" s="1"/>
  <c r="AE60" i="1"/>
  <c r="AL22" i="1"/>
  <c r="AL25" i="1" s="1"/>
  <c r="AL58" i="1"/>
  <c r="AN117" i="3"/>
  <c r="AL109" i="3"/>
  <c r="AN113" i="3"/>
  <c r="N22" i="1"/>
  <c r="N25" i="1" s="1"/>
  <c r="R57" i="1" s="1"/>
  <c r="N58" i="1"/>
  <c r="BP57" i="1"/>
  <c r="BP30" i="1"/>
  <c r="BP34" i="1" s="1"/>
  <c r="BP37" i="1" s="1"/>
  <c r="BP60" i="1"/>
  <c r="AM117" i="3"/>
  <c r="AL117" i="3"/>
  <c r="BQ60" i="1"/>
  <c r="BQ57" i="1"/>
  <c r="BQ30" i="1"/>
  <c r="BQ34" i="1" s="1"/>
  <c r="BQ37" i="1" s="1"/>
  <c r="W30" i="1"/>
  <c r="W34" i="1" s="1"/>
  <c r="W39" i="1" s="1"/>
  <c r="W60" i="1"/>
  <c r="W57" i="1"/>
  <c r="R30" i="1"/>
  <c r="R34" i="1" s="1"/>
  <c r="R39" i="1" s="1"/>
  <c r="R60" i="1"/>
  <c r="AF30" i="1"/>
  <c r="AF34" i="1" s="1"/>
  <c r="AF39" i="1" s="1"/>
  <c r="AF60" i="1"/>
  <c r="G22" i="1"/>
  <c r="G25" i="1" s="1"/>
  <c r="G58" i="1"/>
  <c r="AM113" i="3"/>
  <c r="AH109" i="3"/>
  <c r="AH117" i="3"/>
  <c r="AH113" i="3"/>
  <c r="AG58" i="1"/>
  <c r="AG22" i="1"/>
  <c r="AG25" i="1" s="1"/>
  <c r="AK57" i="1" s="1"/>
  <c r="BI22" i="1"/>
  <c r="BI25" i="1" s="1"/>
  <c r="BI58" i="1"/>
  <c r="U30" i="1"/>
  <c r="U34" i="1" s="1"/>
  <c r="U39" i="1" s="1"/>
  <c r="Y57" i="1"/>
  <c r="U57" i="1"/>
  <c r="U60" i="1"/>
  <c r="Q61" i="1"/>
  <c r="Q44" i="1"/>
  <c r="Q48" i="1" s="1"/>
  <c r="Q51" i="1" s="1"/>
  <c r="BJ39" i="1"/>
  <c r="BJ44" i="1"/>
  <c r="BJ48" i="1" s="1"/>
  <c r="BJ40" i="1"/>
  <c r="BJ61" i="1"/>
  <c r="J22" i="1"/>
  <c r="J25" i="1" s="1"/>
  <c r="J58" i="1"/>
  <c r="BK58" i="1"/>
  <c r="BK22" i="1"/>
  <c r="BK25" i="1" s="1"/>
  <c r="S57" i="1"/>
  <c r="O60" i="1"/>
  <c r="O30" i="1"/>
  <c r="O34" i="1" s="1"/>
  <c r="O39" i="1" s="1"/>
  <c r="O57" i="1"/>
  <c r="L113" i="3"/>
  <c r="L117" i="3"/>
  <c r="L109" i="3"/>
  <c r="BR22" i="1"/>
  <c r="BO30" i="1"/>
  <c r="BO34" i="1" s="1"/>
  <c r="BO37" i="1" s="1"/>
  <c r="BO60" i="1"/>
  <c r="BM30" i="1"/>
  <c r="BM34" i="1" s="1"/>
  <c r="BM37" i="1" s="1"/>
  <c r="BM60" i="1"/>
  <c r="H117" i="3"/>
  <c r="H109" i="3"/>
  <c r="H113" i="3"/>
  <c r="AF57" i="1"/>
  <c r="AB57" i="1"/>
  <c r="AB60" i="1"/>
  <c r="AB30" i="1"/>
  <c r="I117" i="3"/>
  <c r="I113" i="3"/>
  <c r="I109" i="3"/>
  <c r="L22" i="1"/>
  <c r="L25" i="1" s="1"/>
  <c r="L58" i="1"/>
  <c r="AJ22" i="1"/>
  <c r="AJ25" i="1" s="1"/>
  <c r="AJ58" i="1"/>
  <c r="M22" i="1"/>
  <c r="M25" i="1" s="1"/>
  <c r="M58" i="1"/>
  <c r="AN58" i="1"/>
  <c r="AN22" i="1"/>
  <c r="AN25" i="1" s="1"/>
  <c r="AR57" i="1" s="1"/>
  <c r="G117" i="3"/>
  <c r="G109" i="3"/>
  <c r="G113" i="3"/>
  <c r="AA30" i="1"/>
  <c r="AA57" i="1"/>
  <c r="AA60" i="1"/>
  <c r="AE57" i="1"/>
  <c r="C61" i="1"/>
  <c r="AO117" i="3"/>
  <c r="AO113" i="3"/>
  <c r="AO109" i="3"/>
  <c r="J117" i="3"/>
  <c r="J109" i="3"/>
  <c r="J113" i="3"/>
  <c r="AK30" i="1"/>
  <c r="AK60" i="1"/>
  <c r="AD30" i="1"/>
  <c r="AD57" i="1"/>
  <c r="AD60" i="1"/>
  <c r="AH57" i="1"/>
  <c r="C109" i="3"/>
  <c r="C113" i="3"/>
  <c r="C117" i="3"/>
  <c r="I22" i="1"/>
  <c r="I25" i="1" s="1"/>
  <c r="I58" i="1"/>
  <c r="H30" i="1"/>
  <c r="H60" i="1"/>
  <c r="H57" i="1"/>
  <c r="AJ113" i="3"/>
  <c r="AJ117" i="3"/>
  <c r="AJ109" i="3"/>
  <c r="AI61" i="1"/>
  <c r="AI44" i="1"/>
  <c r="AI48" i="1" s="1"/>
  <c r="AI51" i="1" s="1"/>
  <c r="K61" i="1"/>
  <c r="K44" i="1"/>
  <c r="K48" i="1" s="1"/>
  <c r="K51" i="1" s="1"/>
  <c r="BS44" i="1" l="1"/>
  <c r="BS48" i="1" s="1"/>
  <c r="BS51" i="1" s="1"/>
  <c r="BS61" i="1"/>
  <c r="BS39" i="1"/>
  <c r="BL57" i="1"/>
  <c r="BK103" i="3"/>
  <c r="BK105" i="3" s="1"/>
  <c r="BJ51" i="1"/>
  <c r="T59" i="1"/>
  <c r="C59" i="1"/>
  <c r="C51" i="1"/>
  <c r="T56" i="1"/>
  <c r="X61" i="1"/>
  <c r="X37" i="1"/>
  <c r="X40" i="1" s="1"/>
  <c r="O37" i="1"/>
  <c r="O40" i="1" s="1"/>
  <c r="U37" i="1"/>
  <c r="U40" i="1" s="1"/>
  <c r="AF37" i="1"/>
  <c r="AF40" i="1" s="1"/>
  <c r="BP40" i="1"/>
  <c r="AH37" i="1"/>
  <c r="AH40" i="1" s="1"/>
  <c r="R37" i="1"/>
  <c r="R40" i="1" s="1"/>
  <c r="BQ40" i="1"/>
  <c r="AE37" i="1"/>
  <c r="AE40" i="1" s="1"/>
  <c r="Z37" i="1"/>
  <c r="Z40" i="1" s="1"/>
  <c r="W37" i="1"/>
  <c r="W40" i="1" s="1"/>
  <c r="AO60" i="1"/>
  <c r="AS57" i="1"/>
  <c r="AO30" i="1"/>
  <c r="AO34" i="1" s="1"/>
  <c r="AO39" i="1" s="1"/>
  <c r="V57" i="1"/>
  <c r="AM30" i="1"/>
  <c r="AM34" i="1" s="1"/>
  <c r="AM39" i="1" s="1"/>
  <c r="X44" i="1"/>
  <c r="X48" i="1" s="1"/>
  <c r="V60" i="1"/>
  <c r="V30" i="1"/>
  <c r="V34" i="1" s="1"/>
  <c r="V39" i="1" s="1"/>
  <c r="BM57" i="1"/>
  <c r="BL30" i="1"/>
  <c r="BL34" i="1" s="1"/>
  <c r="BL37" i="1" s="1"/>
  <c r="BT103" i="3"/>
  <c r="BT105" i="3" s="1"/>
  <c r="AM60" i="1"/>
  <c r="BP39" i="1"/>
  <c r="AE61" i="1"/>
  <c r="O44" i="1"/>
  <c r="O48" i="1" s="1"/>
  <c r="BQ44" i="1"/>
  <c r="BQ48" i="1" s="1"/>
  <c r="AE44" i="1"/>
  <c r="AE48" i="1" s="1"/>
  <c r="BQ39" i="1"/>
  <c r="O61" i="1"/>
  <c r="BQ61" i="1"/>
  <c r="BN57" i="1"/>
  <c r="AC60" i="1"/>
  <c r="AC30" i="1"/>
  <c r="AC34" i="1" s="1"/>
  <c r="AC39" i="1" s="1"/>
  <c r="AC57" i="1"/>
  <c r="U44" i="1"/>
  <c r="U48" i="1" s="1"/>
  <c r="AM57" i="1"/>
  <c r="BR25" i="1"/>
  <c r="BN30" i="1"/>
  <c r="BN34" i="1" s="1"/>
  <c r="BN37" i="1" s="1"/>
  <c r="BN60" i="1"/>
  <c r="F30" i="1"/>
  <c r="F34" i="1" s="1"/>
  <c r="F39" i="1" s="1"/>
  <c r="F60" i="1"/>
  <c r="Q59" i="1"/>
  <c r="AL57" i="1"/>
  <c r="AL30" i="1"/>
  <c r="AL34" i="1" s="1"/>
  <c r="AL39" i="1" s="1"/>
  <c r="AL60" i="1"/>
  <c r="AH44" i="1"/>
  <c r="AH48" i="1" s="1"/>
  <c r="AH51" i="1" s="1"/>
  <c r="AH61" i="1"/>
  <c r="Z61" i="1"/>
  <c r="Z44" i="1"/>
  <c r="Z48" i="1" s="1"/>
  <c r="Z51" i="1" s="1"/>
  <c r="J60" i="1"/>
  <c r="J30" i="1"/>
  <c r="J34" i="1" s="1"/>
  <c r="J39" i="1" s="1"/>
  <c r="J57" i="1"/>
  <c r="BP61" i="1"/>
  <c r="U61" i="1"/>
  <c r="BM39" i="1"/>
  <c r="BM40" i="1"/>
  <c r="BM44" i="1"/>
  <c r="BM48" i="1" s="1"/>
  <c r="BM61" i="1"/>
  <c r="BK30" i="1"/>
  <c r="BK34" i="1" s="1"/>
  <c r="BK37" i="1" s="1"/>
  <c r="BK60" i="1"/>
  <c r="BK57" i="1"/>
  <c r="BO61" i="1"/>
  <c r="BO39" i="1"/>
  <c r="BO40" i="1"/>
  <c r="BO44" i="1"/>
  <c r="BO48" i="1" s="1"/>
  <c r="AF44" i="1"/>
  <c r="AF48" i="1" s="1"/>
  <c r="AF51" i="1" s="1"/>
  <c r="AF61" i="1"/>
  <c r="BP44" i="1"/>
  <c r="BP48" i="1" s="1"/>
  <c r="BP51" i="1" s="1"/>
  <c r="BI30" i="1"/>
  <c r="BI34" i="1" s="1"/>
  <c r="BI37" i="1" s="1"/>
  <c r="BI57" i="1"/>
  <c r="BI60" i="1"/>
  <c r="BJ57" i="1"/>
  <c r="G60" i="1"/>
  <c r="G30" i="1"/>
  <c r="G34" i="1" s="1"/>
  <c r="G39" i="1" s="1"/>
  <c r="G57" i="1"/>
  <c r="K57" i="1"/>
  <c r="W44" i="1"/>
  <c r="W48" i="1" s="1"/>
  <c r="W51" i="1" s="1"/>
  <c r="W61" i="1"/>
  <c r="BJ59" i="1"/>
  <c r="AG30" i="1"/>
  <c r="AG34" i="1" s="1"/>
  <c r="AG39" i="1" s="1"/>
  <c r="AG60" i="1"/>
  <c r="AG57" i="1"/>
  <c r="R44" i="1"/>
  <c r="R48" i="1" s="1"/>
  <c r="R51" i="1" s="1"/>
  <c r="R61" i="1"/>
  <c r="N30" i="1"/>
  <c r="N34" i="1" s="1"/>
  <c r="N39" i="1" s="1"/>
  <c r="N57" i="1"/>
  <c r="N60" i="1"/>
  <c r="AJ60" i="1"/>
  <c r="AJ30" i="1"/>
  <c r="AJ57" i="1"/>
  <c r="H34" i="1"/>
  <c r="H39" i="1" s="1"/>
  <c r="AK34" i="1"/>
  <c r="AK39" i="1" s="1"/>
  <c r="AD34" i="1"/>
  <c r="AD39" i="1" s="1"/>
  <c r="AA34" i="1"/>
  <c r="AA39" i="1" s="1"/>
  <c r="M60" i="1"/>
  <c r="M30" i="1"/>
  <c r="M57" i="1"/>
  <c r="Q57" i="1"/>
  <c r="L57" i="1"/>
  <c r="L60" i="1"/>
  <c r="L30" i="1"/>
  <c r="P57" i="1"/>
  <c r="AB34" i="1"/>
  <c r="AB39" i="1" s="1"/>
  <c r="I60" i="1"/>
  <c r="I30" i="1"/>
  <c r="I57" i="1"/>
  <c r="AN30" i="1"/>
  <c r="AN57" i="1"/>
  <c r="AN60" i="1"/>
  <c r="AI59" i="1"/>
  <c r="K59" i="1"/>
  <c r="BT56" i="1" l="1"/>
  <c r="BS59" i="1"/>
  <c r="BK106" i="3"/>
  <c r="BR103" i="3"/>
  <c r="BR105" i="3" s="1"/>
  <c r="BQ51" i="1"/>
  <c r="BP103" i="3"/>
  <c r="BP105" i="3" s="1"/>
  <c r="BO51" i="1"/>
  <c r="BN103" i="3"/>
  <c r="BN105" i="3" s="1"/>
  <c r="BM51" i="1"/>
  <c r="U56" i="1"/>
  <c r="U51" i="1"/>
  <c r="AI56" i="1"/>
  <c r="AE51" i="1"/>
  <c r="X59" i="1"/>
  <c r="X51" i="1"/>
  <c r="O56" i="1"/>
  <c r="O51" i="1"/>
  <c r="AL37" i="1"/>
  <c r="AL40" i="1" s="1"/>
  <c r="AM37" i="1"/>
  <c r="AM40" i="1" s="1"/>
  <c r="AB37" i="1"/>
  <c r="AB40" i="1" s="1"/>
  <c r="H37" i="1"/>
  <c r="H40" i="1" s="1"/>
  <c r="J37" i="1"/>
  <c r="J40" i="1" s="1"/>
  <c r="AC37" i="1"/>
  <c r="AC40" i="1" s="1"/>
  <c r="V61" i="1"/>
  <c r="V37" i="1"/>
  <c r="V40" i="1" s="1"/>
  <c r="AK37" i="1"/>
  <c r="AK40" i="1" s="1"/>
  <c r="AG37" i="1"/>
  <c r="AG40" i="1" s="1"/>
  <c r="AA37" i="1"/>
  <c r="AA40" i="1" s="1"/>
  <c r="G37" i="1"/>
  <c r="G40" i="1" s="1"/>
  <c r="F37" i="1"/>
  <c r="F40" i="1" s="1"/>
  <c r="AO37" i="1"/>
  <c r="AO40" i="1" s="1"/>
  <c r="AD37" i="1"/>
  <c r="AD40" i="1" s="1"/>
  <c r="N37" i="1"/>
  <c r="N40" i="1" s="1"/>
  <c r="X56" i="1"/>
  <c r="AC44" i="1"/>
  <c r="AC48" i="1" s="1"/>
  <c r="AC59" i="1" s="1"/>
  <c r="AC61" i="1"/>
  <c r="V44" i="1"/>
  <c r="V48" i="1" s="1"/>
  <c r="AE59" i="1"/>
  <c r="BL39" i="1"/>
  <c r="BL40" i="1"/>
  <c r="BL44" i="1"/>
  <c r="BL48" i="1" s="1"/>
  <c r="BL51" i="1" s="1"/>
  <c r="BL61" i="1"/>
  <c r="S56" i="1"/>
  <c r="BR30" i="1"/>
  <c r="BR34" i="1" s="1"/>
  <c r="BR37" i="1" s="1"/>
  <c r="BR57" i="1"/>
  <c r="BR60" i="1"/>
  <c r="BS57" i="1"/>
  <c r="BR106" i="3"/>
  <c r="BQ59" i="1"/>
  <c r="O59" i="1"/>
  <c r="BP56" i="1"/>
  <c r="BT106" i="3"/>
  <c r="U59" i="1"/>
  <c r="Y56" i="1"/>
  <c r="BN39" i="1"/>
  <c r="BN44" i="1"/>
  <c r="BN48" i="1" s="1"/>
  <c r="BN40" i="1"/>
  <c r="BN61" i="1"/>
  <c r="BP59" i="1"/>
  <c r="BQ103" i="3"/>
  <c r="AF59" i="1"/>
  <c r="Z59" i="1"/>
  <c r="AA103" i="3"/>
  <c r="AL44" i="1"/>
  <c r="AL48" i="1" s="1"/>
  <c r="AL51" i="1" s="1"/>
  <c r="AL61" i="1"/>
  <c r="AH59" i="1"/>
  <c r="S103" i="3"/>
  <c r="BN104" i="3" s="1"/>
  <c r="T103" i="3"/>
  <c r="U103" i="3"/>
  <c r="V103" i="3"/>
  <c r="V105" i="3" s="1"/>
  <c r="F61" i="1"/>
  <c r="F44" i="1"/>
  <c r="F48" i="1" s="1"/>
  <c r="F51" i="1" s="1"/>
  <c r="G61" i="1"/>
  <c r="G44" i="1"/>
  <c r="G48" i="1" s="1"/>
  <c r="G51" i="1" s="1"/>
  <c r="BQ56" i="1"/>
  <c r="W59" i="1"/>
  <c r="W56" i="1"/>
  <c r="BI44" i="1"/>
  <c r="BI48" i="1" s="1"/>
  <c r="BI39" i="1"/>
  <c r="BI40" i="1"/>
  <c r="BI61" i="1"/>
  <c r="BK39" i="1"/>
  <c r="BK44" i="1"/>
  <c r="BK48" i="1" s="1"/>
  <c r="BK40" i="1"/>
  <c r="BK61" i="1"/>
  <c r="J44" i="1"/>
  <c r="J48" i="1" s="1"/>
  <c r="J51" i="1" s="1"/>
  <c r="J61" i="1"/>
  <c r="AG44" i="1"/>
  <c r="AG48" i="1" s="1"/>
  <c r="AG51" i="1" s="1"/>
  <c r="AG61" i="1"/>
  <c r="N44" i="1"/>
  <c r="N48" i="1" s="1"/>
  <c r="N51" i="1" s="1"/>
  <c r="N61" i="1"/>
  <c r="R59" i="1"/>
  <c r="BO59" i="1"/>
  <c r="BM59" i="1"/>
  <c r="L34" i="1"/>
  <c r="L39" i="1" s="1"/>
  <c r="AO61" i="1"/>
  <c r="AO44" i="1"/>
  <c r="AO48" i="1" s="1"/>
  <c r="H61" i="1"/>
  <c r="H44" i="1"/>
  <c r="H48" i="1" s="1"/>
  <c r="H51" i="1" s="1"/>
  <c r="M34" i="1"/>
  <c r="M39" i="1" s="1"/>
  <c r="AK44" i="1"/>
  <c r="AK48" i="1" s="1"/>
  <c r="AK51" i="1" s="1"/>
  <c r="AK61" i="1"/>
  <c r="AN34" i="1"/>
  <c r="AN39" i="1" s="1"/>
  <c r="I34" i="1"/>
  <c r="I39" i="1" s="1"/>
  <c r="AB44" i="1"/>
  <c r="AB48" i="1" s="1"/>
  <c r="AB51" i="1" s="1"/>
  <c r="AB61" i="1"/>
  <c r="AD61" i="1"/>
  <c r="AD44" i="1"/>
  <c r="AD48" i="1" s="1"/>
  <c r="AD51" i="1" s="1"/>
  <c r="AJ34" i="1"/>
  <c r="AJ39" i="1" s="1"/>
  <c r="AM44" i="1"/>
  <c r="AM61" i="1"/>
  <c r="AA44" i="1"/>
  <c r="AA48" i="1" s="1"/>
  <c r="AA61" i="1"/>
  <c r="BP106" i="3" l="1"/>
  <c r="BN106" i="3"/>
  <c r="BL103" i="3"/>
  <c r="BL106" i="3" s="1"/>
  <c r="BK51" i="1"/>
  <c r="BJ103" i="3"/>
  <c r="C103" i="3" s="1"/>
  <c r="BI51" i="1"/>
  <c r="BN56" i="1"/>
  <c r="BN51" i="1"/>
  <c r="AC56" i="1"/>
  <c r="AC51" i="1"/>
  <c r="AB103" i="3"/>
  <c r="AA51" i="1"/>
  <c r="AS56" i="1"/>
  <c r="AO51" i="1"/>
  <c r="W103" i="3"/>
  <c r="W105" i="3" s="1"/>
  <c r="V51" i="1"/>
  <c r="I37" i="1"/>
  <c r="I40" i="1" s="1"/>
  <c r="M37" i="1"/>
  <c r="M40" i="1" s="1"/>
  <c r="AN37" i="1"/>
  <c r="AN40" i="1" s="1"/>
  <c r="BR61" i="1"/>
  <c r="AJ37" i="1"/>
  <c r="AJ40" i="1" s="1"/>
  <c r="L37" i="1"/>
  <c r="L40" i="1" s="1"/>
  <c r="H103" i="3"/>
  <c r="V56" i="1"/>
  <c r="X103" i="3"/>
  <c r="X105" i="3" s="1"/>
  <c r="V59" i="1"/>
  <c r="Z103" i="3"/>
  <c r="Z105" i="3" s="1"/>
  <c r="Y103" i="3"/>
  <c r="Y105" i="3" s="1"/>
  <c r="Z56" i="1"/>
  <c r="BM103" i="3"/>
  <c r="BL59" i="1"/>
  <c r="BM56" i="1"/>
  <c r="BR44" i="1"/>
  <c r="BR48" i="1" s="1"/>
  <c r="BR51" i="1" s="1"/>
  <c r="BR39" i="1"/>
  <c r="I103" i="3"/>
  <c r="V106" i="3"/>
  <c r="BO56" i="1"/>
  <c r="AD103" i="3"/>
  <c r="AM48" i="1"/>
  <c r="BO103" i="3"/>
  <c r="BN59" i="1"/>
  <c r="AE103" i="3"/>
  <c r="AF103" i="3"/>
  <c r="R103" i="3"/>
  <c r="AH103" i="3"/>
  <c r="AG103" i="3"/>
  <c r="G103" i="3"/>
  <c r="F59" i="1"/>
  <c r="AI103" i="3"/>
  <c r="AL59" i="1"/>
  <c r="AL56" i="1"/>
  <c r="AC103" i="3"/>
  <c r="AJ103" i="3"/>
  <c r="BQ105" i="3"/>
  <c r="BQ106" i="3"/>
  <c r="G59" i="1"/>
  <c r="G56" i="1"/>
  <c r="K56" i="1"/>
  <c r="N59" i="1"/>
  <c r="N56" i="1"/>
  <c r="AG59" i="1"/>
  <c r="BK59" i="1"/>
  <c r="BK56" i="1"/>
  <c r="BL56" i="1"/>
  <c r="AG56" i="1"/>
  <c r="S106" i="3"/>
  <c r="S105" i="3"/>
  <c r="AA105" i="3"/>
  <c r="AA106" i="3"/>
  <c r="R56" i="1"/>
  <c r="BI59" i="1"/>
  <c r="BI56" i="1"/>
  <c r="BJ56" i="1"/>
  <c r="T106" i="3"/>
  <c r="T105" i="3"/>
  <c r="U105" i="3"/>
  <c r="U106" i="3"/>
  <c r="J59" i="1"/>
  <c r="J56" i="1"/>
  <c r="AJ61" i="1"/>
  <c r="AJ44" i="1"/>
  <c r="AJ48" i="1" s="1"/>
  <c r="AO59" i="1"/>
  <c r="AO56" i="1"/>
  <c r="AE56" i="1"/>
  <c r="AA56" i="1"/>
  <c r="AA59" i="1"/>
  <c r="AD56" i="1"/>
  <c r="AH56" i="1"/>
  <c r="AD59" i="1"/>
  <c r="AN44" i="1"/>
  <c r="AN48" i="1" s="1"/>
  <c r="AN61" i="1"/>
  <c r="I44" i="1"/>
  <c r="I48" i="1" s="1"/>
  <c r="I61" i="1"/>
  <c r="M61" i="1"/>
  <c r="M44" i="1"/>
  <c r="M48" i="1" s="1"/>
  <c r="M51" i="1" s="1"/>
  <c r="AB56" i="1"/>
  <c r="AF56" i="1"/>
  <c r="AB59" i="1"/>
  <c r="AK59" i="1"/>
  <c r="AK56" i="1"/>
  <c r="H59" i="1"/>
  <c r="H56" i="1"/>
  <c r="L44" i="1"/>
  <c r="L48" i="1" s="1"/>
  <c r="L51" i="1" s="1"/>
  <c r="L61" i="1"/>
  <c r="BL105" i="3" l="1"/>
  <c r="W106" i="3"/>
  <c r="BJ106" i="3"/>
  <c r="BJ105" i="3"/>
  <c r="AR56" i="1"/>
  <c r="AN51" i="1"/>
  <c r="AK103" i="3"/>
  <c r="AJ51" i="1"/>
  <c r="AQ56" i="1"/>
  <c r="AM51" i="1"/>
  <c r="J103" i="3"/>
  <c r="I51" i="1"/>
  <c r="X106" i="3"/>
  <c r="Y106" i="3"/>
  <c r="Z106" i="3"/>
  <c r="BM106" i="3"/>
  <c r="BM105" i="3"/>
  <c r="BR59" i="1"/>
  <c r="BR56" i="1"/>
  <c r="BS56" i="1"/>
  <c r="BS103" i="3"/>
  <c r="M103" i="3"/>
  <c r="AM56" i="1"/>
  <c r="N103" i="3"/>
  <c r="AM59" i="1"/>
  <c r="AO103" i="3"/>
  <c r="BR40" i="1"/>
  <c r="BO105" i="3"/>
  <c r="BO106" i="3"/>
  <c r="AM103" i="3"/>
  <c r="AM105" i="3" s="1"/>
  <c r="O103" i="3"/>
  <c r="AN103" i="3"/>
  <c r="AN106" i="3" s="1"/>
  <c r="AI105" i="3"/>
  <c r="AI106" i="3"/>
  <c r="P103" i="3"/>
  <c r="AL103" i="3"/>
  <c r="AL106" i="3" s="1"/>
  <c r="AP103" i="3"/>
  <c r="AP106" i="3" s="1"/>
  <c r="L103" i="3"/>
  <c r="Q103" i="3"/>
  <c r="K103" i="3"/>
  <c r="BL104" i="3" s="1"/>
  <c r="BK104" i="3"/>
  <c r="G105" i="3"/>
  <c r="G106" i="3"/>
  <c r="AE105" i="3"/>
  <c r="AE106" i="3"/>
  <c r="AJ105" i="3"/>
  <c r="AJ106" i="3"/>
  <c r="R105" i="3"/>
  <c r="R106" i="3"/>
  <c r="H105" i="3"/>
  <c r="H106" i="3"/>
  <c r="C105" i="3"/>
  <c r="C106" i="3"/>
  <c r="AG105" i="3"/>
  <c r="AG106" i="3"/>
  <c r="AC105" i="3"/>
  <c r="AC106" i="3"/>
  <c r="M59" i="1"/>
  <c r="Q56" i="1"/>
  <c r="M56" i="1"/>
  <c r="AH105" i="3"/>
  <c r="AH106" i="3"/>
  <c r="AD105" i="3"/>
  <c r="AD106" i="3"/>
  <c r="AB106" i="3"/>
  <c r="AB105" i="3"/>
  <c r="I59" i="1"/>
  <c r="I56" i="1"/>
  <c r="AN59" i="1"/>
  <c r="AN56" i="1"/>
  <c r="AJ59" i="1"/>
  <c r="AJ56" i="1"/>
  <c r="L56" i="1"/>
  <c r="L59" i="1"/>
  <c r="P56" i="1"/>
  <c r="I106" i="3"/>
  <c r="I105" i="3"/>
  <c r="AF105" i="3"/>
  <c r="AF106" i="3"/>
  <c r="K106" i="3" l="1"/>
  <c r="AL105" i="3"/>
  <c r="AN105" i="3"/>
  <c r="BS106" i="3"/>
  <c r="BS105" i="3"/>
  <c r="AP105" i="3"/>
  <c r="K105" i="3"/>
  <c r="AM106" i="3"/>
  <c r="BM104" i="3"/>
  <c r="O105" i="3"/>
  <c r="O106" i="3"/>
  <c r="Q105" i="3"/>
  <c r="Q106" i="3"/>
  <c r="AO105" i="3"/>
  <c r="AO106" i="3"/>
  <c r="L106" i="3"/>
  <c r="L105" i="3"/>
  <c r="P106" i="3"/>
  <c r="P105" i="3"/>
  <c r="M105" i="3"/>
  <c r="M106" i="3"/>
  <c r="AK106" i="3"/>
  <c r="AK105" i="3"/>
  <c r="J105" i="3"/>
  <c r="J106" i="3"/>
  <c r="N106" i="3"/>
  <c r="N105" i="3"/>
  <c r="AP15" i="1" l="1"/>
  <c r="AR110" i="3" s="1"/>
  <c r="AR117" i="3" s="1"/>
  <c r="AT54" i="1"/>
  <c r="AP54" i="1"/>
  <c r="AQ77" i="7"/>
  <c r="AQ78" i="7" s="1"/>
  <c r="AU82" i="7" s="1"/>
  <c r="AP17" i="1" l="1"/>
  <c r="AP58" i="1" s="1"/>
  <c r="AP55" i="1"/>
  <c r="AQ110" i="3"/>
  <c r="AQ117" i="3" s="1"/>
  <c r="AS110" i="3"/>
  <c r="AS113" i="3" s="1"/>
  <c r="AT110" i="3"/>
  <c r="AT55" i="1"/>
  <c r="AR113" i="3"/>
  <c r="AR109" i="3"/>
  <c r="AQ82" i="7"/>
  <c r="AQ85" i="7"/>
  <c r="AP22" i="1" l="1"/>
  <c r="AQ113" i="3"/>
  <c r="AS109" i="3"/>
  <c r="AQ109" i="3"/>
  <c r="AS117" i="3"/>
  <c r="AT113" i="3"/>
  <c r="AT117" i="3"/>
  <c r="AT109" i="3"/>
  <c r="AP25" i="1"/>
  <c r="AT57" i="1" s="1"/>
  <c r="AP57" i="1" l="1"/>
  <c r="AP60" i="1"/>
  <c r="AP26" i="1"/>
  <c r="AP45" i="1" l="1"/>
  <c r="AP30" i="1"/>
  <c r="AP34" i="1" l="1"/>
  <c r="AP39" i="1" s="1"/>
  <c r="AP37" i="1" l="1"/>
  <c r="AP40" i="1" s="1"/>
  <c r="AP61" i="1"/>
  <c r="AP44" i="1"/>
  <c r="AP48" i="1" l="1"/>
  <c r="AT103" i="3" l="1"/>
  <c r="AT105" i="3" s="1"/>
  <c r="AP51" i="1"/>
  <c r="AT56" i="1"/>
  <c r="AS103" i="3"/>
  <c r="AS105" i="3" s="1"/>
  <c r="AP59" i="1"/>
  <c r="AR103" i="3"/>
  <c r="AP56" i="1"/>
  <c r="AQ103" i="3"/>
  <c r="AT106" i="3" l="1"/>
  <c r="AS106" i="3"/>
  <c r="AR105" i="3"/>
  <c r="AR106" i="3"/>
  <c r="AQ105" i="3"/>
  <c r="AQ106" i="3"/>
  <c r="AP95" i="3" l="1"/>
  <c r="AP96" i="3" s="1"/>
  <c r="AT77" i="7" l="1"/>
  <c r="AT78" i="7" s="1"/>
  <c r="AX82" i="7" s="1"/>
  <c r="AT82" i="7" l="1"/>
  <c r="AT85" i="7"/>
  <c r="AV35" i="7" l="1"/>
  <c r="AV36" i="7" s="1"/>
  <c r="AZ40" i="7" s="1"/>
  <c r="AV43" i="7" l="1"/>
  <c r="AV40" i="7"/>
  <c r="AV116" i="3" l="1"/>
  <c r="AV117" i="3" s="1"/>
  <c r="AV27" i="3"/>
  <c r="AV25" i="3" s="1"/>
  <c r="BV32" i="3" l="1"/>
  <c r="BV31" i="3"/>
  <c r="BV18" i="3"/>
  <c r="AZ27" i="3" l="1"/>
  <c r="AZ25" i="3" s="1"/>
  <c r="AZ114" i="3"/>
  <c r="AZ9" i="3"/>
  <c r="AV114" i="3"/>
  <c r="AV9" i="3"/>
  <c r="AV48" i="3" s="1"/>
  <c r="AV96" i="3" s="1"/>
  <c r="AY116" i="3"/>
  <c r="BV17" i="3"/>
  <c r="BV30" i="3"/>
  <c r="AY27" i="3"/>
  <c r="AZ116" i="3"/>
  <c r="AZ117" i="3" s="1"/>
  <c r="AZ48" i="3" l="1"/>
  <c r="AZ96" i="3" s="1"/>
  <c r="BV27" i="3"/>
  <c r="AY25" i="3"/>
  <c r="BV25" i="3" s="1"/>
  <c r="AY114" i="3"/>
  <c r="BV16" i="3"/>
  <c r="AY9" i="3"/>
  <c r="AV115" i="3"/>
  <c r="AV108" i="3"/>
  <c r="AV109" i="3" s="1"/>
  <c r="AV122" i="3"/>
  <c r="BV116" i="3"/>
  <c r="BV117" i="3" s="1"/>
  <c r="AY117" i="3"/>
  <c r="AZ108" i="3"/>
  <c r="AZ109" i="3" s="1"/>
  <c r="AZ122" i="3"/>
  <c r="AZ115" i="3"/>
  <c r="BV114" i="3" l="1"/>
  <c r="AY108" i="3"/>
  <c r="AY109" i="3" s="1"/>
  <c r="AY122" i="3"/>
  <c r="AY115" i="3"/>
  <c r="BV9" i="3"/>
  <c r="BV48" i="3" s="1"/>
  <c r="BV96" i="3" s="1"/>
  <c r="AY48" i="3"/>
  <c r="AY96" i="3" s="1"/>
  <c r="BV122" i="3" l="1"/>
  <c r="BV115" i="3"/>
  <c r="BV108" i="3"/>
  <c r="BV109" i="3" s="1"/>
  <c r="BU45" i="5" l="1"/>
  <c r="BU71" i="5"/>
  <c r="BA120" i="3" l="1"/>
  <c r="BA108" i="3" s="1"/>
  <c r="BA109" i="3" s="1"/>
  <c r="BA48" i="3"/>
  <c r="BA96" i="3" s="1"/>
  <c r="BA122" i="3" l="1"/>
  <c r="BR35" i="7" l="1"/>
  <c r="BR36" i="7" s="1"/>
  <c r="BR40" i="7" l="1"/>
  <c r="BR43" i="7"/>
  <c r="BG28" i="5"/>
  <c r="BG45" i="5" s="1"/>
  <c r="BG71" i="5" s="1"/>
</calcChain>
</file>

<file path=xl/sharedStrings.xml><?xml version="1.0" encoding="utf-8"?>
<sst xmlns="http://schemas.openxmlformats.org/spreadsheetml/2006/main" count="3061" uniqueCount="22">
  <si>
    <t>Camil Alimentos S.A.</t>
  </si>
  <si>
    <t>R$</t>
  </si>
  <si>
    <t>n.a.</t>
  </si>
  <si>
    <t>n.a</t>
  </si>
  <si>
    <t xml:space="preserve">--  </t>
  </si>
  <si>
    <t>12M16</t>
  </si>
  <si>
    <t>2T08</t>
  </si>
  <si>
    <t>3T08</t>
  </si>
  <si>
    <t>12M17</t>
  </si>
  <si>
    <t>Incentivos Fiscais</t>
  </si>
  <si>
    <t>Gastos com emissão de ações</t>
  </si>
  <si>
    <t>2T18</t>
  </si>
  <si>
    <t>12M18</t>
  </si>
  <si>
    <t>Adiantamento a Clientes</t>
  </si>
  <si>
    <t>Retenção de lucros</t>
  </si>
  <si>
    <t>Pagamentos de passivo de arrendamento</t>
  </si>
  <si>
    <t>12M19</t>
  </si>
  <si>
    <t>12M20</t>
  </si>
  <si>
    <t>4T20</t>
  </si>
  <si>
    <r>
      <rPr>
        <b/>
        <sz val="11"/>
        <rFont val="Calibri"/>
        <family val="2"/>
        <scheme val="minor"/>
      </rPr>
      <t>Relações com Investidores Camil/IR</t>
    </r>
    <r>
      <rPr>
        <sz val="11"/>
        <rFont val="Calibri"/>
        <family val="2"/>
        <scheme val="minor"/>
      </rPr>
      <t xml:space="preserve">
Ph.: +55 11 3039-9200
E-mail: ri@camil.com.br</t>
    </r>
  </si>
  <si>
    <t>12M21</t>
  </si>
  <si>
    <t>Baixa - ativo de direito de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</si>
</sst>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#,##0.0%_);\(#,##0.0%\)"/>
    <numFmt numFmtId="167" formatCode="mm/dd/yy;@"/>
    <numFmt numFmtId="168" formatCode="#,##0.0000_);\(#,##0.0000\)"/>
    <numFmt numFmtId="169" formatCode="[$-409]d\-mmm\-yy;@"/>
    <numFmt numFmtId="170" formatCode="#,##0.000_);\(#,##0.000\)"/>
    <numFmt numFmtId="171" formatCode="#,##0.00000_);\(#,##0.00000\)"/>
    <numFmt numFmtId="172" formatCode="#,##0.0_x;&quot;NM&quot;_x"/>
    <numFmt numFmtId="173" formatCode="&quot;R$&quot;#,##0.0_);\(&quot;R$&quot;#,##0.0\)"/>
    <numFmt numFmtId="174" formatCode="_-* #,##0.0_-;\-* #,##0.0_-;_-* &quot;-&quot;??_-;_-@_-"/>
    <numFmt numFmtId="175" formatCode="_(* #,##0.0_);_(* \(#,##0.0\);_(* &quot;-&quot;??_);_(@_)"/>
    <numFmt numFmtId="176" formatCode="0.0%"/>
    <numFmt numFmtId="177" formatCode="_-* #,##0.0_-;\-* #,##0.0_-;_-* &quot;-&quot;?_-;_-@_-"/>
    <numFmt numFmtId="178" formatCode="_(* #,##0_);_(* \(#,##0\);_(* &quot;-&quot;??_);_(@_)"/>
    <numFmt numFmtId="179" formatCode="0.0"/>
    <numFmt numFmtId="180" formatCode="0.0000"/>
    <numFmt numFmtId="181" formatCode="_-* #,##0.000_-;\-* #,##0.000_-;_-* &quot;-&quot;?_-;_-@_-"/>
    <numFmt numFmtId="182" formatCode="_-* #,##0.000_-;\-* #,##0.000_-;_-* &quot;-&quot;???_-;_-@_-"/>
    <numFmt numFmtId="183" formatCode="0.00\x"/>
    <numFmt numFmtId="184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sz val="10"/>
      <name val="Trebuchet MS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432FF"/>
      <name val="Calibri"/>
      <family val="2"/>
      <scheme val="minor"/>
    </font>
    <font>
      <sz val="11"/>
      <color rgb="FF0532F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hair">
        <color rgb="FF4472C4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theme="0" tint="-0.14996795556505021"/>
      </top>
      <bottom/>
      <diagonal/>
    </border>
    <border>
      <left style="hair">
        <color theme="0" tint="-0.14993743705557422"/>
      </left>
      <right/>
      <top style="hair">
        <color theme="0" tint="-0.14996795556505021"/>
      </top>
      <bottom/>
      <diagonal/>
    </border>
    <border>
      <left/>
      <right style="hair">
        <color theme="0" tint="-0.14993743705557422"/>
      </right>
      <top style="hair">
        <color theme="0" tint="-0.14996795556505021"/>
      </top>
      <bottom/>
      <diagonal/>
    </border>
    <border>
      <left style="hair">
        <color theme="0" tint="-0.14993743705557422"/>
      </left>
      <right/>
      <top/>
      <bottom/>
      <diagonal/>
    </border>
    <border>
      <left/>
      <right style="hair">
        <color theme="0" tint="-0.14993743705557422"/>
      </right>
      <top/>
      <bottom/>
      <diagonal/>
    </border>
    <border>
      <left style="hair">
        <color theme="0" tint="-0.14993743705557422"/>
      </left>
      <right/>
      <top/>
      <bottom style="hair">
        <color theme="0" tint="-0.14990691854609822"/>
      </bottom>
      <diagonal/>
    </border>
    <border>
      <left/>
      <right/>
      <top/>
      <bottom style="hair">
        <color theme="0" tint="-0.14990691854609822"/>
      </bottom>
      <diagonal/>
    </border>
    <border>
      <left/>
      <right style="hair">
        <color theme="0" tint="-0.14993743705557422"/>
      </right>
      <top/>
      <bottom style="hair">
        <color theme="0" tint="-0.14990691854609822"/>
      </bottom>
      <diagonal/>
    </border>
    <border>
      <left/>
      <right/>
      <top/>
      <bottom style="thin">
        <color rgb="FFB6B6B6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164" fontId="19" fillId="0" borderId="0" applyFont="0" applyFill="0" applyBorder="0" applyAlignment="0" applyProtection="0"/>
    <xf numFmtId="0" fontId="1" fillId="4" borderId="15" applyNumberFormat="0" applyFont="0" applyFill="0" applyAlignment="0" applyProtection="0"/>
    <xf numFmtId="0" fontId="4" fillId="4" borderId="16" applyNumberFormat="0" applyFill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7" fillId="0" borderId="0" xfId="2" applyFont="1" applyFill="1"/>
    <xf numFmtId="0" fontId="7" fillId="0" borderId="0" xfId="2" applyFont="1"/>
    <xf numFmtId="0" fontId="7" fillId="0" borderId="0" xfId="2" applyFont="1" applyBorder="1"/>
    <xf numFmtId="0" fontId="8" fillId="0" borderId="1" xfId="2" applyFont="1" applyBorder="1"/>
    <xf numFmtId="0" fontId="7" fillId="0" borderId="1" xfId="2" applyFont="1" applyBorder="1"/>
    <xf numFmtId="165" fontId="7" fillId="0" borderId="1" xfId="2" applyNumberFormat="1" applyFont="1" applyBorder="1"/>
    <xf numFmtId="0" fontId="10" fillId="0" borderId="0" xfId="2" applyFont="1" applyFill="1"/>
    <xf numFmtId="0" fontId="10" fillId="0" borderId="0" xfId="2" applyFont="1"/>
    <xf numFmtId="0" fontId="10" fillId="0" borderId="0" xfId="2" applyFont="1" applyBorder="1"/>
    <xf numFmtId="0" fontId="10" fillId="0" borderId="0" xfId="2" applyFont="1" applyFill="1" applyBorder="1"/>
    <xf numFmtId="0" fontId="12" fillId="0" borderId="0" xfId="2" applyFont="1" applyBorder="1"/>
    <xf numFmtId="0" fontId="2" fillId="2" borderId="2" xfId="2" applyFont="1" applyFill="1" applyBorder="1"/>
    <xf numFmtId="0" fontId="5" fillId="2" borderId="3" xfId="2" applyFont="1" applyFill="1" applyBorder="1"/>
    <xf numFmtId="0" fontId="5" fillId="2" borderId="4" xfId="2" applyFont="1" applyFill="1" applyBorder="1"/>
    <xf numFmtId="0" fontId="13" fillId="0" borderId="0" xfId="2" applyFont="1"/>
    <xf numFmtId="0" fontId="13" fillId="0" borderId="0" xfId="2" applyFont="1" applyBorder="1"/>
    <xf numFmtId="167" fontId="16" fillId="0" borderId="0" xfId="2" applyNumberFormat="1" applyFont="1"/>
    <xf numFmtId="0" fontId="2" fillId="2" borderId="10" xfId="3" applyFont="1" applyFill="1" applyBorder="1" applyAlignment="1">
      <alignment vertical="center"/>
    </xf>
    <xf numFmtId="0" fontId="17" fillId="2" borderId="11" xfId="3" applyFont="1" applyFill="1" applyBorder="1" applyAlignment="1">
      <alignment vertical="center"/>
    </xf>
    <xf numFmtId="0" fontId="20" fillId="0" borderId="0" xfId="2" applyFont="1"/>
    <xf numFmtId="0" fontId="21" fillId="0" borderId="1" xfId="2" applyFont="1" applyBorder="1"/>
    <xf numFmtId="0" fontId="20" fillId="0" borderId="1" xfId="2" applyFont="1" applyBorder="1"/>
    <xf numFmtId="0" fontId="12" fillId="0" borderId="0" xfId="2" applyFont="1"/>
    <xf numFmtId="165" fontId="12" fillId="0" borderId="0" xfId="2" applyNumberFormat="1" applyFont="1"/>
    <xf numFmtId="165" fontId="10" fillId="0" borderId="0" xfId="2" applyNumberFormat="1" applyFont="1"/>
    <xf numFmtId="37" fontId="10" fillId="0" borderId="0" xfId="2" applyNumberFormat="1" applyFont="1"/>
    <xf numFmtId="37" fontId="10" fillId="0" borderId="0" xfId="2" applyNumberFormat="1" applyFont="1" applyFill="1"/>
    <xf numFmtId="166" fontId="10" fillId="0" borderId="0" xfId="2" applyNumberFormat="1" applyFont="1"/>
    <xf numFmtId="0" fontId="23" fillId="0" borderId="0" xfId="2" applyFont="1"/>
    <xf numFmtId="0" fontId="2" fillId="2" borderId="0" xfId="2" applyFont="1" applyFill="1"/>
    <xf numFmtId="169" fontId="2" fillId="2" borderId="0" xfId="2" applyNumberFormat="1" applyFont="1" applyFill="1"/>
    <xf numFmtId="165" fontId="18" fillId="0" borderId="0" xfId="2" applyNumberFormat="1" applyFont="1"/>
    <xf numFmtId="165" fontId="13" fillId="0" borderId="0" xfId="2" quotePrefix="1" applyNumberFormat="1" applyFont="1" applyAlignment="1">
      <alignment horizontal="left"/>
    </xf>
    <xf numFmtId="165" fontId="13" fillId="0" borderId="0" xfId="2" applyNumberFormat="1" applyFont="1"/>
    <xf numFmtId="37" fontId="13" fillId="0" borderId="0" xfId="2" applyNumberFormat="1" applyFont="1"/>
    <xf numFmtId="37" fontId="15" fillId="0" borderId="0" xfId="2" applyNumberFormat="1" applyFont="1"/>
    <xf numFmtId="0" fontId="18" fillId="0" borderId="0" xfId="2" applyFont="1"/>
    <xf numFmtId="165" fontId="13" fillId="0" borderId="0" xfId="2" quotePrefix="1" applyNumberFormat="1" applyFont="1"/>
    <xf numFmtId="165" fontId="13" fillId="0" borderId="0" xfId="2" quotePrefix="1" applyNumberFormat="1" applyFont="1" applyAlignment="1">
      <alignment horizontal="left" indent="1"/>
    </xf>
    <xf numFmtId="0" fontId="18" fillId="0" borderId="1" xfId="2" applyFont="1" applyBorder="1"/>
    <xf numFmtId="0" fontId="18" fillId="0" borderId="12" xfId="2" applyFont="1" applyBorder="1"/>
    <xf numFmtId="0" fontId="18" fillId="0" borderId="13" xfId="2" applyFont="1" applyBorder="1"/>
    <xf numFmtId="166" fontId="13" fillId="0" borderId="0" xfId="2" applyNumberFormat="1" applyFont="1"/>
    <xf numFmtId="166" fontId="13" fillId="0" borderId="0" xfId="2" applyNumberFormat="1" applyFont="1" applyAlignment="1">
      <alignment horizontal="right"/>
    </xf>
    <xf numFmtId="0" fontId="13" fillId="0" borderId="14" xfId="2" applyFont="1" applyBorder="1"/>
    <xf numFmtId="166" fontId="13" fillId="0" borderId="14" xfId="2" applyNumberFormat="1" applyFont="1" applyBorder="1" applyAlignment="1">
      <alignment horizontal="right"/>
    </xf>
    <xf numFmtId="173" fontId="12" fillId="0" borderId="0" xfId="2" applyNumberFormat="1" applyFont="1"/>
    <xf numFmtId="165" fontId="22" fillId="0" borderId="0" xfId="2" applyNumberFormat="1" applyFont="1"/>
    <xf numFmtId="171" fontId="25" fillId="0" borderId="0" xfId="2" applyNumberFormat="1" applyFont="1" applyAlignment="1">
      <alignment horizontal="right"/>
    </xf>
    <xf numFmtId="37" fontId="25" fillId="0" borderId="0" xfId="2" applyNumberFormat="1" applyFont="1" applyAlignment="1">
      <alignment horizontal="right"/>
    </xf>
    <xf numFmtId="0" fontId="13" fillId="0" borderId="0" xfId="2" applyFont="1" applyAlignment="1">
      <alignment horizontal="left" indent="1"/>
    </xf>
    <xf numFmtId="0" fontId="13" fillId="0" borderId="0" xfId="2" applyFont="1" applyAlignment="1">
      <alignment horizontal="left" indent="2"/>
    </xf>
    <xf numFmtId="0" fontId="18" fillId="0" borderId="12" xfId="2" applyFont="1" applyBorder="1" applyAlignment="1">
      <alignment horizontal="left"/>
    </xf>
    <xf numFmtId="0" fontId="2" fillId="3" borderId="12" xfId="2" applyFont="1" applyFill="1" applyBorder="1"/>
    <xf numFmtId="175" fontId="13" fillId="0" borderId="0" xfId="1" applyNumberFormat="1" applyFont="1" applyFill="1"/>
    <xf numFmtId="0" fontId="13" fillId="0" borderId="0" xfId="2" applyFont="1" applyFill="1"/>
    <xf numFmtId="175" fontId="13" fillId="0" borderId="0" xfId="4" applyNumberFormat="1" applyFont="1" applyFill="1" applyAlignment="1">
      <alignment horizontal="right"/>
    </xf>
    <xf numFmtId="0" fontId="13" fillId="0" borderId="0" xfId="2" applyFont="1" applyAlignment="1">
      <alignment horizontal="left"/>
    </xf>
    <xf numFmtId="37" fontId="13" fillId="0" borderId="0" xfId="2" quotePrefix="1" applyNumberFormat="1" applyFont="1" applyAlignment="1">
      <alignment horizontal="left" indent="1"/>
    </xf>
    <xf numFmtId="0" fontId="5" fillId="0" borderId="0" xfId="2" applyFont="1"/>
    <xf numFmtId="0" fontId="26" fillId="0" borderId="0" xfId="2" applyFont="1"/>
    <xf numFmtId="0" fontId="27" fillId="0" borderId="0" xfId="2" applyFont="1" applyAlignment="1">
      <alignment horizontal="right"/>
    </xf>
    <xf numFmtId="37" fontId="26" fillId="0" borderId="0" xfId="2" applyNumberFormat="1" applyFont="1"/>
    <xf numFmtId="175" fontId="1" fillId="0" borderId="0" xfId="1" applyNumberFormat="1" applyFont="1" applyFill="1"/>
    <xf numFmtId="0" fontId="20" fillId="0" borderId="0" xfId="2" applyFont="1" applyBorder="1"/>
    <xf numFmtId="170" fontId="20" fillId="0" borderId="0" xfId="2" applyNumberFormat="1" applyFont="1" applyBorder="1"/>
    <xf numFmtId="169" fontId="2" fillId="2" borderId="0" xfId="2" applyNumberFormat="1" applyFont="1" applyFill="1" applyBorder="1"/>
    <xf numFmtId="37" fontId="13" fillId="0" borderId="0" xfId="2" applyNumberFormat="1" applyFont="1" applyBorder="1"/>
    <xf numFmtId="175" fontId="13" fillId="0" borderId="0" xfId="4" applyNumberFormat="1" applyFont="1" applyFill="1" applyBorder="1" applyAlignment="1">
      <alignment horizontal="right"/>
    </xf>
    <xf numFmtId="175" fontId="0" fillId="0" borderId="0" xfId="1" applyNumberFormat="1" applyFont="1" applyFill="1" applyAlignment="1">
      <alignment horizontal="right"/>
    </xf>
    <xf numFmtId="0" fontId="20" fillId="0" borderId="0" xfId="2" applyFont="1" applyBorder="1" applyAlignment="1">
      <alignment horizontal="right"/>
    </xf>
    <xf numFmtId="0" fontId="20" fillId="0" borderId="1" xfId="2" applyFont="1" applyBorder="1" applyAlignment="1">
      <alignment horizontal="right"/>
    </xf>
    <xf numFmtId="170" fontId="20" fillId="0" borderId="0" xfId="2" applyNumberFormat="1" applyFont="1" applyBorder="1" applyAlignment="1">
      <alignment horizontal="right"/>
    </xf>
    <xf numFmtId="169" fontId="2" fillId="2" borderId="0" xfId="2" applyNumberFormat="1" applyFont="1" applyFill="1" applyAlignment="1">
      <alignment horizontal="right"/>
    </xf>
    <xf numFmtId="37" fontId="13" fillId="0" borderId="0" xfId="2" applyNumberFormat="1" applyFont="1" applyAlignment="1">
      <alignment horizontal="right"/>
    </xf>
    <xf numFmtId="175" fontId="1" fillId="0" borderId="0" xfId="1" applyNumberFormat="1" applyFont="1" applyFill="1" applyAlignment="1">
      <alignment horizontal="right"/>
    </xf>
    <xf numFmtId="0" fontId="13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28" fillId="0" borderId="0" xfId="2" applyFont="1"/>
    <xf numFmtId="0" fontId="12" fillId="0" borderId="0" xfId="2" applyFont="1" applyFill="1"/>
    <xf numFmtId="0" fontId="21" fillId="0" borderId="1" xfId="2" applyFont="1" applyBorder="1" applyAlignment="1">
      <alignment horizontal="right"/>
    </xf>
    <xf numFmtId="37" fontId="15" fillId="0" borderId="0" xfId="2" applyNumberFormat="1" applyFont="1" applyAlignment="1">
      <alignment horizontal="right"/>
    </xf>
    <xf numFmtId="0" fontId="13" fillId="0" borderId="0" xfId="2" applyFont="1" applyBorder="1" applyAlignment="1">
      <alignment horizontal="right"/>
    </xf>
    <xf numFmtId="175" fontId="18" fillId="0" borderId="0" xfId="1" applyNumberFormat="1" applyFont="1" applyAlignment="1">
      <alignment horizontal="right"/>
    </xf>
    <xf numFmtId="175" fontId="18" fillId="0" borderId="1" xfId="1" applyNumberFormat="1" applyFont="1" applyFill="1" applyBorder="1" applyAlignment="1">
      <alignment horizontal="right"/>
    </xf>
    <xf numFmtId="37" fontId="15" fillId="0" borderId="0" xfId="2" applyNumberFormat="1" applyFont="1" applyFill="1" applyAlignment="1">
      <alignment horizontal="right"/>
    </xf>
    <xf numFmtId="0" fontId="13" fillId="0" borderId="0" xfId="2" applyFont="1" applyFill="1" applyBorder="1" applyAlignment="1">
      <alignment horizontal="right"/>
    </xf>
    <xf numFmtId="175" fontId="13" fillId="0" borderId="0" xfId="1" applyNumberFormat="1" applyFont="1" applyAlignment="1">
      <alignment horizontal="right"/>
    </xf>
    <xf numFmtId="175" fontId="13" fillId="0" borderId="0" xfId="2" applyNumberFormat="1" applyFont="1" applyBorder="1" applyAlignment="1">
      <alignment horizontal="right"/>
    </xf>
    <xf numFmtId="0" fontId="18" fillId="0" borderId="13" xfId="2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175" fontId="0" fillId="0" borderId="0" xfId="1" applyNumberFormat="1" applyFont="1" applyFill="1" applyAlignment="1">
      <alignment horizontal="right" vertical="center"/>
    </xf>
    <xf numFmtId="175" fontId="18" fillId="0" borderId="0" xfId="1" applyNumberFormat="1" applyFont="1" applyFill="1" applyAlignment="1">
      <alignment horizontal="right"/>
    </xf>
    <xf numFmtId="175" fontId="13" fillId="0" borderId="0" xfId="1" applyNumberFormat="1" applyFont="1" applyFill="1" applyAlignment="1">
      <alignment horizontal="right"/>
    </xf>
    <xf numFmtId="175" fontId="13" fillId="0" borderId="0" xfId="1" applyNumberFormat="1" applyFont="1" applyFill="1" applyAlignment="1">
      <alignment horizontal="right" vertical="center"/>
    </xf>
    <xf numFmtId="0" fontId="18" fillId="0" borderId="0" xfId="2" applyFont="1" applyFill="1"/>
    <xf numFmtId="0" fontId="9" fillId="0" borderId="17" xfId="2" applyFont="1" applyBorder="1"/>
    <xf numFmtId="0" fontId="13" fillId="5" borderId="5" xfId="2" applyFont="1" applyFill="1" applyBorder="1"/>
    <xf numFmtId="0" fontId="13" fillId="5" borderId="0" xfId="2" applyFont="1" applyFill="1" applyBorder="1"/>
    <xf numFmtId="0" fontId="14" fillId="5" borderId="6" xfId="2" applyFont="1" applyFill="1" applyBorder="1" applyAlignment="1">
      <alignment horizontal="left"/>
    </xf>
    <xf numFmtId="0" fontId="5" fillId="5" borderId="0" xfId="2" applyFont="1" applyFill="1" applyBorder="1" applyAlignment="1">
      <alignment horizontal="left"/>
    </xf>
    <xf numFmtId="0" fontId="1" fillId="5" borderId="6" xfId="2" applyFont="1" applyFill="1" applyBorder="1" applyAlignment="1">
      <alignment horizontal="left"/>
    </xf>
    <xf numFmtId="169" fontId="14" fillId="5" borderId="6" xfId="2" applyNumberFormat="1" applyFont="1" applyFill="1" applyBorder="1" applyAlignment="1">
      <alignment horizontal="left"/>
    </xf>
    <xf numFmtId="0" fontId="13" fillId="5" borderId="7" xfId="2" applyFont="1" applyFill="1" applyBorder="1"/>
    <xf numFmtId="0" fontId="13" fillId="5" borderId="8" xfId="2" applyFont="1" applyFill="1" applyBorder="1"/>
    <xf numFmtId="169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0" borderId="0" xfId="2" applyFont="1" applyAlignment="1">
      <alignment horizontal="right"/>
    </xf>
    <xf numFmtId="0" fontId="7" fillId="0" borderId="0" xfId="2" applyFont="1" applyBorder="1" applyAlignment="1">
      <alignment horizontal="right"/>
    </xf>
    <xf numFmtId="0" fontId="23" fillId="0" borderId="0" xfId="2" applyFont="1" applyAlignment="1">
      <alignment horizontal="right"/>
    </xf>
    <xf numFmtId="169" fontId="2" fillId="2" borderId="0" xfId="2" applyNumberFormat="1" applyFont="1" applyFill="1" applyBorder="1" applyAlignment="1">
      <alignment horizontal="right"/>
    </xf>
    <xf numFmtId="37" fontId="13" fillId="0" borderId="0" xfId="2" applyNumberFormat="1" applyFont="1" applyBorder="1" applyAlignment="1">
      <alignment horizontal="right"/>
    </xf>
    <xf numFmtId="175" fontId="18" fillId="0" borderId="0" xfId="1" applyNumberFormat="1" applyFont="1" applyBorder="1" applyAlignment="1">
      <alignment horizontal="right"/>
    </xf>
    <xf numFmtId="175" fontId="13" fillId="0" borderId="0" xfId="1" applyNumberFormat="1" applyFont="1" applyBorder="1" applyAlignment="1">
      <alignment horizontal="right"/>
    </xf>
    <xf numFmtId="175" fontId="13" fillId="0" borderId="0" xfId="1" applyNumberFormat="1" applyFont="1" applyFill="1" applyBorder="1" applyAlignment="1">
      <alignment horizontal="right"/>
    </xf>
    <xf numFmtId="175" fontId="13" fillId="0" borderId="0" xfId="2" applyNumberFormat="1" applyFont="1" applyFill="1" applyBorder="1" applyAlignment="1">
      <alignment horizontal="right"/>
    </xf>
    <xf numFmtId="172" fontId="10" fillId="0" borderId="0" xfId="2" applyNumberFormat="1" applyFont="1" applyBorder="1" applyAlignment="1">
      <alignment horizontal="right"/>
    </xf>
    <xf numFmtId="172" fontId="10" fillId="0" borderId="0" xfId="2" applyNumberFormat="1" applyFont="1" applyAlignment="1">
      <alignment horizontal="right"/>
    </xf>
    <xf numFmtId="168" fontId="10" fillId="0" borderId="0" xfId="2" applyNumberFormat="1" applyFont="1" applyBorder="1" applyAlignment="1">
      <alignment horizontal="right"/>
    </xf>
    <xf numFmtId="168" fontId="10" fillId="0" borderId="0" xfId="2" applyNumberFormat="1" applyFont="1" applyAlignment="1">
      <alignment horizontal="right"/>
    </xf>
    <xf numFmtId="37" fontId="10" fillId="0" borderId="0" xfId="2" applyNumberFormat="1" applyFont="1" applyBorder="1" applyAlignment="1">
      <alignment horizontal="right"/>
    </xf>
    <xf numFmtId="37" fontId="10" fillId="0" borderId="0" xfId="2" applyNumberFormat="1" applyFont="1" applyAlignment="1">
      <alignment horizontal="right"/>
    </xf>
    <xf numFmtId="37" fontId="13" fillId="0" borderId="0" xfId="2" applyNumberFormat="1" applyFont="1" applyFill="1" applyAlignment="1">
      <alignment horizontal="right"/>
    </xf>
    <xf numFmtId="175" fontId="4" fillId="0" borderId="0" xfId="1" applyNumberFormat="1" applyFont="1" applyFill="1" applyAlignment="1">
      <alignment horizontal="right"/>
    </xf>
    <xf numFmtId="168" fontId="10" fillId="0" borderId="0" xfId="2" applyNumberFormat="1" applyFont="1" applyFill="1"/>
    <xf numFmtId="165" fontId="13" fillId="0" borderId="0" xfId="2" quotePrefix="1" applyNumberFormat="1" applyFont="1" applyFill="1"/>
    <xf numFmtId="165" fontId="10" fillId="0" borderId="0" xfId="2" applyNumberFormat="1" applyFont="1" applyFill="1"/>
    <xf numFmtId="165" fontId="13" fillId="0" borderId="0" xfId="2" quotePrefix="1" applyNumberFormat="1" applyFont="1" applyFill="1" applyAlignment="1">
      <alignment horizontal="left" indent="1"/>
    </xf>
    <xf numFmtId="0" fontId="18" fillId="0" borderId="1" xfId="2" applyFont="1" applyFill="1" applyBorder="1"/>
    <xf numFmtId="0" fontId="12" fillId="0" borderId="0" xfId="2" applyFont="1" applyFill="1" applyBorder="1"/>
    <xf numFmtId="175" fontId="18" fillId="0" borderId="1" xfId="2" applyNumberFormat="1" applyFont="1" applyFill="1" applyBorder="1" applyAlignment="1">
      <alignment horizontal="right"/>
    </xf>
    <xf numFmtId="0" fontId="13" fillId="0" borderId="0" xfId="2" applyFont="1" applyFill="1" applyBorder="1"/>
    <xf numFmtId="0" fontId="18" fillId="0" borderId="13" xfId="2" applyFont="1" applyFill="1" applyBorder="1" applyAlignment="1">
      <alignment horizontal="right"/>
    </xf>
    <xf numFmtId="166" fontId="13" fillId="0" borderId="0" xfId="2" applyNumberFormat="1" applyFont="1" applyFill="1" applyAlignment="1">
      <alignment horizontal="right"/>
    </xf>
    <xf numFmtId="166" fontId="13" fillId="0" borderId="14" xfId="2" applyNumberFormat="1" applyFont="1" applyFill="1" applyBorder="1" applyAlignment="1">
      <alignment horizontal="right"/>
    </xf>
    <xf numFmtId="166" fontId="13" fillId="0" borderId="1" xfId="2" applyNumberFormat="1" applyFont="1" applyFill="1" applyBorder="1" applyAlignment="1">
      <alignment horizontal="right"/>
    </xf>
    <xf numFmtId="180" fontId="10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4" fillId="0" borderId="0" xfId="1" applyNumberFormat="1" applyFont="1" applyFill="1" applyAlignment="1">
      <alignment horizontal="right"/>
    </xf>
    <xf numFmtId="181" fontId="10" fillId="0" borderId="0" xfId="2" applyNumberFormat="1" applyFont="1" applyFill="1" applyAlignment="1">
      <alignment horizontal="right"/>
    </xf>
    <xf numFmtId="181" fontId="10" fillId="0" borderId="0" xfId="2" applyNumberFormat="1" applyFont="1" applyAlignment="1">
      <alignment horizontal="right"/>
    </xf>
    <xf numFmtId="182" fontId="10" fillId="0" borderId="0" xfId="2" applyNumberFormat="1" applyFont="1" applyAlignment="1">
      <alignment horizontal="right"/>
    </xf>
    <xf numFmtId="165" fontId="18" fillId="0" borderId="0" xfId="2" applyNumberFormat="1" applyFont="1" applyFill="1"/>
    <xf numFmtId="175" fontId="4" fillId="0" borderId="0" xfId="1" applyNumberFormat="1" applyFont="1" applyFill="1"/>
    <xf numFmtId="175" fontId="18" fillId="0" borderId="0" xfId="1" applyNumberFormat="1" applyFont="1" applyFill="1"/>
    <xf numFmtId="165" fontId="12" fillId="0" borderId="0" xfId="2" applyNumberFormat="1" applyFont="1" applyFill="1"/>
    <xf numFmtId="165" fontId="13" fillId="0" borderId="0" xfId="2" applyNumberFormat="1" applyFont="1" applyFill="1" applyAlignment="1">
      <alignment horizontal="left"/>
    </xf>
    <xf numFmtId="37" fontId="15" fillId="0" borderId="0" xfId="2" applyNumberFormat="1" applyFont="1" applyFill="1"/>
    <xf numFmtId="37" fontId="13" fillId="0" borderId="0" xfId="2" applyNumberFormat="1" applyFont="1" applyFill="1"/>
    <xf numFmtId="37" fontId="13" fillId="0" borderId="0" xfId="2" applyNumberFormat="1" applyFont="1" applyFill="1" applyBorder="1"/>
    <xf numFmtId="37" fontId="13" fillId="0" borderId="0" xfId="2" quotePrefix="1" applyNumberFormat="1" applyFont="1" applyFill="1" applyAlignment="1">
      <alignment horizontal="left" indent="1"/>
    </xf>
    <xf numFmtId="175" fontId="0" fillId="0" borderId="0" xfId="1" applyNumberFormat="1" applyFont="1" applyFill="1"/>
    <xf numFmtId="0" fontId="5" fillId="0" borderId="0" xfId="2" applyFont="1" applyFill="1"/>
    <xf numFmtId="0" fontId="25" fillId="0" borderId="0" xfId="2" applyFont="1" applyFill="1" applyAlignment="1">
      <alignment horizontal="right"/>
    </xf>
    <xf numFmtId="0" fontId="24" fillId="0" borderId="0" xfId="2" applyFont="1" applyFill="1"/>
    <xf numFmtId="0" fontId="18" fillId="0" borderId="0" xfId="2" applyFont="1" applyFill="1" applyAlignment="1">
      <alignment horizontal="right"/>
    </xf>
    <xf numFmtId="0" fontId="13" fillId="0" borderId="0" xfId="2" applyFont="1" applyFill="1" applyAlignment="1">
      <alignment horizontal="right"/>
    </xf>
    <xf numFmtId="175" fontId="13" fillId="0" borderId="0" xfId="1" applyNumberFormat="1" applyFont="1" applyFill="1" applyBorder="1"/>
    <xf numFmtId="175" fontId="4" fillId="0" borderId="12" xfId="1" applyNumberFormat="1" applyFont="1" applyBorder="1" applyAlignment="1">
      <alignment horizontal="right"/>
    </xf>
    <xf numFmtId="0" fontId="23" fillId="0" borderId="0" xfId="2" applyFont="1" applyBorder="1" applyAlignment="1">
      <alignment horizontal="right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 applyAlignment="1">
      <alignment horizontal="right"/>
    </xf>
    <xf numFmtId="174" fontId="1" fillId="0" borderId="0" xfId="1" applyNumberFormat="1" applyFont="1" applyAlignment="1">
      <alignment horizontal="right"/>
    </xf>
    <xf numFmtId="175" fontId="4" fillId="0" borderId="12" xfId="1" applyNumberFormat="1" applyFont="1" applyFill="1" applyBorder="1" applyAlignment="1">
      <alignment horizontal="right"/>
    </xf>
    <xf numFmtId="175" fontId="1" fillId="0" borderId="0" xfId="1" applyNumberFormat="1" applyFont="1" applyAlignment="1">
      <alignment horizontal="right"/>
    </xf>
    <xf numFmtId="175" fontId="0" fillId="0" borderId="0" xfId="1" applyNumberFormat="1" applyFont="1" applyAlignment="1">
      <alignment horizontal="right"/>
    </xf>
    <xf numFmtId="175" fontId="2" fillId="3" borderId="12" xfId="1" applyNumberFormat="1" applyFont="1" applyFill="1" applyBorder="1" applyAlignment="1">
      <alignment horizontal="right"/>
    </xf>
    <xf numFmtId="183" fontId="13" fillId="0" borderId="0" xfId="1" applyNumberFormat="1" applyFont="1" applyAlignment="1">
      <alignment horizontal="right"/>
    </xf>
    <xf numFmtId="0" fontId="20" fillId="0" borderId="0" xfId="2" applyFont="1" applyFill="1" applyAlignment="1">
      <alignment horizontal="right"/>
    </xf>
    <xf numFmtId="0" fontId="21" fillId="0" borderId="1" xfId="2" applyFont="1" applyFill="1" applyBorder="1" applyAlignment="1">
      <alignment horizontal="right"/>
    </xf>
    <xf numFmtId="0" fontId="23" fillId="0" borderId="0" xfId="2" applyFont="1" applyFill="1" applyAlignment="1">
      <alignment horizontal="right"/>
    </xf>
    <xf numFmtId="37" fontId="13" fillId="0" borderId="0" xfId="2" applyNumberFormat="1" applyFont="1" applyFill="1" applyBorder="1" applyAlignment="1">
      <alignment horizontal="right"/>
    </xf>
    <xf numFmtId="175" fontId="18" fillId="0" borderId="0" xfId="1" applyNumberFormat="1" applyFont="1" applyFill="1" applyBorder="1" applyAlignment="1">
      <alignment horizontal="right"/>
    </xf>
    <xf numFmtId="175" fontId="18" fillId="0" borderId="12" xfId="1" applyNumberFormat="1" applyFont="1" applyFill="1" applyBorder="1" applyAlignment="1">
      <alignment horizontal="right"/>
    </xf>
    <xf numFmtId="172" fontId="10" fillId="0" borderId="0" xfId="2" applyNumberFormat="1" applyFont="1" applyFill="1" applyBorder="1" applyAlignment="1">
      <alignment horizontal="right"/>
    </xf>
    <xf numFmtId="168" fontId="10" fillId="0" borderId="0" xfId="2" applyNumberFormat="1" applyFont="1" applyFill="1" applyBorder="1" applyAlignment="1">
      <alignment horizontal="right"/>
    </xf>
    <xf numFmtId="37" fontId="10" fillId="0" borderId="0" xfId="2" applyNumberFormat="1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31" fillId="0" borderId="0" xfId="2" applyFont="1" applyFill="1" applyAlignment="1">
      <alignment horizontal="right"/>
    </xf>
    <xf numFmtId="0" fontId="20" fillId="0" borderId="0" xfId="2" applyFont="1" applyFill="1"/>
    <xf numFmtId="0" fontId="7" fillId="0" borderId="0" xfId="2" applyFont="1" applyFill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0" fontId="21" fillId="0" borderId="1" xfId="2" applyFont="1" applyFill="1" applyBorder="1"/>
    <xf numFmtId="0" fontId="8" fillId="0" borderId="1" xfId="2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20" fillId="0" borderId="1" xfId="2" applyFont="1" applyFill="1" applyBorder="1" applyAlignment="1">
      <alignment horizontal="right"/>
    </xf>
    <xf numFmtId="0" fontId="23" fillId="0" borderId="0" xfId="2" applyFont="1" applyFill="1"/>
    <xf numFmtId="170" fontId="7" fillId="0" borderId="0" xfId="2" applyNumberFormat="1" applyFont="1" applyFill="1" applyBorder="1" applyAlignment="1">
      <alignment horizontal="right"/>
    </xf>
    <xf numFmtId="170" fontId="20" fillId="0" borderId="0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171" fontId="13" fillId="0" borderId="0" xfId="2" applyNumberFormat="1" applyFont="1" applyFill="1" applyAlignment="1">
      <alignment horizontal="right"/>
    </xf>
    <xf numFmtId="172" fontId="10" fillId="0" borderId="0" xfId="2" applyNumberFormat="1" applyFont="1" applyFill="1" applyAlignment="1">
      <alignment horizontal="right"/>
    </xf>
    <xf numFmtId="168" fontId="10" fillId="0" borderId="0" xfId="2" applyNumberFormat="1" applyFont="1" applyFill="1" applyAlignment="1">
      <alignment horizontal="right"/>
    </xf>
    <xf numFmtId="37" fontId="10" fillId="0" borderId="0" xfId="2" applyNumberFormat="1" applyFont="1" applyFill="1" applyAlignment="1">
      <alignment horizontal="right"/>
    </xf>
    <xf numFmtId="179" fontId="29" fillId="0" borderId="0" xfId="2" applyNumberFormat="1" applyFont="1" applyAlignment="1">
      <alignment horizontal="right"/>
    </xf>
    <xf numFmtId="179" fontId="29" fillId="0" borderId="0" xfId="2" applyNumberFormat="1" applyFont="1" applyBorder="1" applyAlignment="1">
      <alignment horizontal="right"/>
    </xf>
    <xf numFmtId="179" fontId="29" fillId="0" borderId="0" xfId="2" applyNumberFormat="1" applyFont="1" applyFill="1" applyAlignment="1">
      <alignment horizontal="right"/>
    </xf>
    <xf numFmtId="179" fontId="29" fillId="0" borderId="0" xfId="2" applyNumberFormat="1" applyFont="1" applyFill="1" applyBorder="1" applyAlignment="1">
      <alignment horizontal="right"/>
    </xf>
    <xf numFmtId="175" fontId="17" fillId="0" borderId="0" xfId="2" applyNumberFormat="1" applyFont="1" applyFill="1" applyBorder="1" applyAlignment="1">
      <alignment horizontal="right"/>
    </xf>
    <xf numFmtId="175" fontId="17" fillId="0" borderId="0" xfId="2" applyNumberFormat="1" applyFont="1" applyFill="1" applyAlignment="1">
      <alignment horizontal="right"/>
    </xf>
    <xf numFmtId="175" fontId="17" fillId="0" borderId="0" xfId="4" applyNumberFormat="1" applyFont="1" applyFill="1" applyAlignment="1">
      <alignment horizontal="right"/>
    </xf>
    <xf numFmtId="175" fontId="17" fillId="0" borderId="0" xfId="4" applyNumberFormat="1" applyFont="1" applyFill="1" applyBorder="1" applyAlignment="1">
      <alignment horizontal="right"/>
    </xf>
    <xf numFmtId="175" fontId="32" fillId="0" borderId="0" xfId="1" applyNumberFormat="1" applyFont="1" applyFill="1"/>
    <xf numFmtId="179" fontId="10" fillId="0" borderId="0" xfId="2" applyNumberFormat="1" applyFont="1" applyAlignment="1">
      <alignment horizontal="right"/>
    </xf>
    <xf numFmtId="179" fontId="10" fillId="0" borderId="0" xfId="2" applyNumberFormat="1" applyFont="1" applyBorder="1" applyAlignment="1">
      <alignment horizontal="right"/>
    </xf>
    <xf numFmtId="0" fontId="33" fillId="0" borderId="0" xfId="2" applyFont="1"/>
    <xf numFmtId="0" fontId="35" fillId="0" borderId="0" xfId="0" applyFont="1"/>
    <xf numFmtId="175" fontId="35" fillId="0" borderId="0" xfId="1" applyNumberFormat="1" applyFont="1" applyAlignment="1">
      <alignment horizontal="right"/>
    </xf>
    <xf numFmtId="37" fontId="34" fillId="0" borderId="0" xfId="2" applyNumberFormat="1" applyFont="1"/>
    <xf numFmtId="175" fontId="36" fillId="0" borderId="0" xfId="1" applyNumberFormat="1" applyFont="1"/>
    <xf numFmtId="175" fontId="2" fillId="3" borderId="12" xfId="2" applyNumberFormat="1" applyFont="1" applyFill="1" applyBorder="1"/>
    <xf numFmtId="175" fontId="18" fillId="0" borderId="12" xfId="2" applyNumberFormat="1" applyFont="1" applyBorder="1"/>
    <xf numFmtId="175" fontId="13" fillId="0" borderId="0" xfId="2" applyNumberFormat="1" applyFont="1" applyAlignment="1">
      <alignment horizontal="left" indent="1"/>
    </xf>
    <xf numFmtId="0" fontId="13" fillId="0" borderId="1" xfId="2" applyFont="1" applyFill="1" applyBorder="1"/>
    <xf numFmtId="176" fontId="10" fillId="0" borderId="0" xfId="7" applyNumberFormat="1" applyFont="1" applyFill="1" applyBorder="1"/>
    <xf numFmtId="175" fontId="30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 horizontal="right"/>
    </xf>
    <xf numFmtId="0" fontId="18" fillId="0" borderId="1" xfId="2" applyFont="1" applyFill="1" applyBorder="1" applyAlignment="1">
      <alignment horizontal="right"/>
    </xf>
    <xf numFmtId="175" fontId="17" fillId="0" borderId="0" xfId="1" applyNumberFormat="1" applyFont="1" applyFill="1" applyAlignment="1">
      <alignment horizontal="right"/>
    </xf>
    <xf numFmtId="0" fontId="18" fillId="0" borderId="12" xfId="2" applyFont="1" applyFill="1" applyBorder="1"/>
    <xf numFmtId="0" fontId="18" fillId="0" borderId="13" xfId="2" applyFont="1" applyFill="1" applyBorder="1"/>
    <xf numFmtId="0" fontId="13" fillId="0" borderId="14" xfId="2" applyFont="1" applyFill="1" applyBorder="1"/>
    <xf numFmtId="0" fontId="18" fillId="0" borderId="12" xfId="2" applyFont="1" applyFill="1" applyBorder="1" applyAlignment="1">
      <alignment horizontal="right"/>
    </xf>
    <xf numFmtId="0" fontId="13" fillId="0" borderId="14" xfId="2" applyFont="1" applyFill="1" applyBorder="1" applyAlignment="1">
      <alignment horizontal="right"/>
    </xf>
    <xf numFmtId="166" fontId="13" fillId="0" borderId="1" xfId="2" applyNumberFormat="1" applyFont="1" applyBorder="1"/>
    <xf numFmtId="183" fontId="13" fillId="0" borderId="1" xfId="1" applyNumberFormat="1" applyFont="1" applyBorder="1" applyAlignment="1">
      <alignment horizontal="right"/>
    </xf>
    <xf numFmtId="169" fontId="14" fillId="5" borderId="9" xfId="2" applyNumberFormat="1" applyFont="1" applyFill="1" applyBorder="1" applyAlignment="1">
      <alignment horizontal="left"/>
    </xf>
    <xf numFmtId="0" fontId="13" fillId="5" borderId="19" xfId="3" applyFont="1" applyFill="1" applyBorder="1" applyAlignment="1">
      <alignment vertical="top" wrapText="1"/>
    </xf>
    <xf numFmtId="0" fontId="13" fillId="5" borderId="0" xfId="3" applyFont="1" applyFill="1" applyBorder="1" applyAlignment="1">
      <alignment vertical="top" wrapText="1"/>
    </xf>
    <xf numFmtId="0" fontId="13" fillId="5" borderId="22" xfId="3" applyFont="1" applyFill="1" applyBorder="1" applyAlignment="1">
      <alignment vertical="top" wrapText="1"/>
    </xf>
    <xf numFmtId="0" fontId="13" fillId="5" borderId="23" xfId="3" applyFont="1" applyFill="1" applyBorder="1" applyAlignment="1">
      <alignment vertical="top" wrapText="1"/>
    </xf>
    <xf numFmtId="0" fontId="13" fillId="5" borderId="24" xfId="3" applyFont="1" applyFill="1" applyBorder="1" applyAlignment="1">
      <alignment vertical="top" wrapText="1"/>
    </xf>
    <xf numFmtId="0" fontId="13" fillId="5" borderId="25" xfId="3" applyFont="1" applyFill="1" applyBorder="1" applyAlignment="1">
      <alignment vertical="top" wrapText="1"/>
    </xf>
    <xf numFmtId="0" fontId="0" fillId="0" borderId="0" xfId="0" applyBorder="1"/>
    <xf numFmtId="37" fontId="26" fillId="0" borderId="0" xfId="2" applyNumberFormat="1" applyFont="1" applyBorder="1"/>
    <xf numFmtId="0" fontId="13" fillId="0" borderId="1" xfId="2" applyFont="1" applyBorder="1" applyAlignment="1">
      <alignment horizontal="left"/>
    </xf>
    <xf numFmtId="175" fontId="1" fillId="0" borderId="1" xfId="1" applyNumberFormat="1" applyFont="1" applyBorder="1" applyAlignment="1">
      <alignment horizontal="right"/>
    </xf>
    <xf numFmtId="0" fontId="0" fillId="0" borderId="0" xfId="1" applyNumberFormat="1" applyFont="1" applyFill="1" applyAlignment="1">
      <alignment horizontal="right" vertical="center"/>
    </xf>
    <xf numFmtId="175" fontId="10" fillId="0" borderId="0" xfId="2" applyNumberFormat="1" applyFont="1" applyAlignment="1">
      <alignment horizontal="right"/>
    </xf>
    <xf numFmtId="175" fontId="10" fillId="0" borderId="0" xfId="2" applyNumberFormat="1" applyFont="1" applyBorder="1" applyAlignment="1">
      <alignment horizontal="right"/>
    </xf>
    <xf numFmtId="175" fontId="2" fillId="3" borderId="12" xfId="2" applyNumberFormat="1" applyFont="1" applyFill="1" applyBorder="1" applyAlignment="1">
      <alignment horizontal="right"/>
    </xf>
    <xf numFmtId="175" fontId="37" fillId="0" borderId="12" xfId="2" applyNumberFormat="1" applyFont="1" applyBorder="1" applyAlignment="1">
      <alignment horizontal="right"/>
    </xf>
    <xf numFmtId="175" fontId="23" fillId="0" borderId="0" xfId="2" applyNumberFormat="1" applyFont="1" applyAlignment="1">
      <alignment horizontal="right"/>
    </xf>
    <xf numFmtId="175" fontId="35" fillId="0" borderId="1" xfId="1" applyNumberFormat="1" applyFont="1" applyBorder="1" applyAlignment="1">
      <alignment horizontal="right"/>
    </xf>
    <xf numFmtId="177" fontId="20" fillId="0" borderId="0" xfId="2" applyNumberFormat="1" applyFont="1" applyBorder="1" applyAlignment="1">
      <alignment horizontal="right"/>
    </xf>
    <xf numFmtId="0" fontId="28" fillId="0" borderId="0" xfId="2" applyFont="1" applyFill="1"/>
    <xf numFmtId="175" fontId="1" fillId="0" borderId="0" xfId="1" applyNumberFormat="1" applyFont="1" applyFill="1" applyBorder="1" applyAlignment="1">
      <alignment horizontal="right"/>
    </xf>
    <xf numFmtId="0" fontId="0" fillId="0" borderId="0" xfId="0" applyFill="1"/>
    <xf numFmtId="166" fontId="10" fillId="0" borderId="0" xfId="2" applyNumberFormat="1" applyFont="1" applyFill="1"/>
    <xf numFmtId="164" fontId="18" fillId="0" borderId="0" xfId="1" applyNumberFormat="1" applyFont="1" applyFill="1" applyAlignment="1">
      <alignment horizontal="right"/>
    </xf>
    <xf numFmtId="0" fontId="39" fillId="0" borderId="0" xfId="2" applyFont="1" applyFill="1"/>
    <xf numFmtId="0" fontId="23" fillId="0" borderId="26" xfId="2" applyFont="1" applyBorder="1" applyAlignment="1">
      <alignment horizontal="left" indent="1"/>
    </xf>
    <xf numFmtId="175" fontId="35" fillId="0" borderId="26" xfId="1" applyNumberFormat="1" applyFont="1" applyBorder="1" applyAlignment="1">
      <alignment horizontal="right"/>
    </xf>
    <xf numFmtId="170" fontId="40" fillId="0" borderId="0" xfId="2" applyNumberFormat="1" applyFont="1" applyBorder="1" applyAlignment="1">
      <alignment horizontal="right"/>
    </xf>
    <xf numFmtId="0" fontId="13" fillId="0" borderId="27" xfId="2" applyFont="1" applyBorder="1" applyAlignment="1">
      <alignment horizontal="left" indent="1"/>
    </xf>
    <xf numFmtId="175" fontId="13" fillId="0" borderId="27" xfId="2" applyNumberFormat="1" applyFont="1" applyBorder="1" applyAlignment="1">
      <alignment horizontal="left" indent="1"/>
    </xf>
    <xf numFmtId="175" fontId="23" fillId="0" borderId="27" xfId="2" applyNumberFormat="1" applyFont="1" applyBorder="1" applyAlignment="1">
      <alignment horizontal="right"/>
    </xf>
    <xf numFmtId="0" fontId="18" fillId="0" borderId="28" xfId="2" applyFont="1" applyBorder="1" applyAlignment="1">
      <alignment horizontal="left"/>
    </xf>
    <xf numFmtId="175" fontId="4" fillId="0" borderId="28" xfId="1" applyNumberFormat="1" applyFont="1" applyBorder="1" applyAlignment="1">
      <alignment horizontal="right"/>
    </xf>
    <xf numFmtId="175" fontId="38" fillId="0" borderId="28" xfId="1" applyNumberFormat="1" applyFont="1" applyBorder="1" applyAlignment="1">
      <alignment horizontal="right"/>
    </xf>
    <xf numFmtId="0" fontId="23" fillId="0" borderId="27" xfId="2" applyFont="1" applyBorder="1" applyAlignment="1">
      <alignment horizontal="left" indent="1"/>
    </xf>
    <xf numFmtId="175" fontId="35" fillId="0" borderId="27" xfId="1" applyNumberFormat="1" applyFont="1" applyBorder="1" applyAlignment="1">
      <alignment horizontal="right"/>
    </xf>
    <xf numFmtId="0" fontId="13" fillId="0" borderId="0" xfId="2" applyFont="1" applyFill="1" applyAlignment="1">
      <alignment horizontal="left" indent="1"/>
    </xf>
    <xf numFmtId="177" fontId="12" fillId="0" borderId="0" xfId="2" applyNumberFormat="1" applyFont="1" applyFill="1"/>
    <xf numFmtId="165" fontId="13" fillId="0" borderId="0" xfId="2" applyNumberFormat="1" applyFont="1" applyFill="1" applyAlignment="1">
      <alignment horizontal="left" indent="1"/>
    </xf>
    <xf numFmtId="165" fontId="13" fillId="0" borderId="0" xfId="2" applyNumberFormat="1" applyFont="1" applyFill="1"/>
    <xf numFmtId="37" fontId="26" fillId="0" borderId="0" xfId="2" applyNumberFormat="1" applyFont="1" applyFill="1"/>
    <xf numFmtId="176" fontId="1" fillId="0" borderId="0" xfId="7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174" fontId="13" fillId="0" borderId="0" xfId="1" applyNumberFormat="1" applyFont="1" applyFill="1" applyAlignment="1">
      <alignment horizontal="right"/>
    </xf>
    <xf numFmtId="175" fontId="13" fillId="0" borderId="0" xfId="2" applyNumberFormat="1" applyFont="1" applyFill="1" applyAlignment="1">
      <alignment horizontal="right"/>
    </xf>
    <xf numFmtId="175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Alignment="1">
      <alignment horizontal="right"/>
    </xf>
    <xf numFmtId="178" fontId="13" fillId="0" borderId="0" xfId="2" applyNumberFormat="1" applyFont="1" applyFill="1" applyBorder="1" applyAlignment="1">
      <alignment horizontal="right"/>
    </xf>
    <xf numFmtId="178" fontId="13" fillId="0" borderId="0" xfId="1" applyNumberFormat="1" applyFont="1" applyFill="1" applyAlignment="1">
      <alignment horizontal="right"/>
    </xf>
    <xf numFmtId="178" fontId="10" fillId="0" borderId="0" xfId="2" applyNumberFormat="1" applyFont="1" applyFill="1"/>
    <xf numFmtId="9" fontId="13" fillId="0" borderId="0" xfId="7" applyFont="1" applyFill="1" applyBorder="1" applyAlignment="1">
      <alignment horizontal="right"/>
    </xf>
    <xf numFmtId="175" fontId="1" fillId="0" borderId="0" xfId="1" applyNumberFormat="1" applyFont="1" applyFill="1" applyAlignment="1">
      <alignment horizontal="right" vertical="center"/>
    </xf>
    <xf numFmtId="175" fontId="0" fillId="0" borderId="0" xfId="1" applyNumberFormat="1" applyFont="1" applyFill="1" applyBorder="1" applyAlignment="1">
      <alignment horizontal="right"/>
    </xf>
    <xf numFmtId="0" fontId="18" fillId="0" borderId="12" xfId="2" applyFont="1" applyFill="1" applyBorder="1" applyAlignment="1">
      <alignment horizontal="left" indent="1"/>
    </xf>
    <xf numFmtId="175" fontId="18" fillId="0" borderId="12" xfId="2" applyNumberFormat="1" applyFont="1" applyFill="1" applyBorder="1" applyAlignment="1">
      <alignment horizontal="right"/>
    </xf>
    <xf numFmtId="175" fontId="18" fillId="0" borderId="0" xfId="2" applyNumberFormat="1" applyFont="1" applyFill="1" applyBorder="1" applyAlignment="1">
      <alignment horizontal="right"/>
    </xf>
    <xf numFmtId="175" fontId="18" fillId="0" borderId="0" xfId="2" applyNumberFormat="1" applyFont="1" applyFill="1" applyAlignment="1">
      <alignment horizontal="right"/>
    </xf>
    <xf numFmtId="0" fontId="13" fillId="0" borderId="0" xfId="2" applyFont="1" applyFill="1" applyAlignment="1">
      <alignment horizontal="left"/>
    </xf>
    <xf numFmtId="177" fontId="13" fillId="0" borderId="0" xfId="2" applyNumberFormat="1" applyFont="1" applyFill="1" applyAlignment="1">
      <alignment horizontal="right"/>
    </xf>
    <xf numFmtId="0" fontId="1" fillId="0" borderId="0" xfId="2" applyFont="1" applyFill="1"/>
    <xf numFmtId="0" fontId="13" fillId="0" borderId="0" xfId="2" quotePrefix="1" applyFont="1" applyFill="1"/>
    <xf numFmtId="175" fontId="18" fillId="0" borderId="0" xfId="1" applyNumberFormat="1" applyFont="1" applyFill="1" applyBorder="1"/>
    <xf numFmtId="165" fontId="13" fillId="0" borderId="1" xfId="2" quotePrefix="1" applyNumberFormat="1" applyFont="1" applyFill="1" applyBorder="1"/>
    <xf numFmtId="175" fontId="13" fillId="0" borderId="1" xfId="1" applyNumberFormat="1" applyFont="1" applyFill="1" applyBorder="1" applyAlignment="1">
      <alignment horizontal="right" vertical="center"/>
    </xf>
    <xf numFmtId="175" fontId="0" fillId="0" borderId="1" xfId="1" applyNumberFormat="1" applyFont="1" applyFill="1" applyBorder="1" applyAlignment="1">
      <alignment horizontal="right" vertical="center"/>
    </xf>
    <xf numFmtId="175" fontId="1" fillId="0" borderId="1" xfId="1" applyNumberFormat="1" applyFont="1" applyFill="1" applyBorder="1"/>
    <xf numFmtId="0" fontId="13" fillId="5" borderId="21" xfId="3" applyFont="1" applyFill="1" applyBorder="1" applyAlignment="1">
      <alignment vertical="top" wrapText="1"/>
    </xf>
    <xf numFmtId="177" fontId="1" fillId="0" borderId="0" xfId="1" applyNumberFormat="1" applyFont="1" applyFill="1" applyAlignment="1">
      <alignment horizontal="right"/>
    </xf>
    <xf numFmtId="175" fontId="41" fillId="0" borderId="0" xfId="2" applyNumberFormat="1" applyFont="1" applyFill="1" applyBorder="1" applyAlignment="1">
      <alignment horizontal="right"/>
    </xf>
    <xf numFmtId="175" fontId="41" fillId="0" borderId="0" xfId="2" applyNumberFormat="1" applyFont="1" applyBorder="1" applyAlignment="1">
      <alignment horizontal="right"/>
    </xf>
    <xf numFmtId="175" fontId="36" fillId="0" borderId="0" xfId="1" applyNumberFormat="1" applyFont="1" applyFill="1" applyAlignment="1">
      <alignment horizontal="right" vertical="center"/>
    </xf>
    <xf numFmtId="175" fontId="7" fillId="0" borderId="0" xfId="1" applyNumberFormat="1" applyFont="1" applyFill="1" applyAlignment="1">
      <alignment horizontal="right" vertical="center"/>
    </xf>
    <xf numFmtId="177" fontId="10" fillId="0" borderId="0" xfId="2" applyNumberFormat="1" applyFont="1" applyAlignment="1">
      <alignment horizontal="right"/>
    </xf>
    <xf numFmtId="175" fontId="42" fillId="0" borderId="0" xfId="1" applyNumberFormat="1" applyFont="1" applyFill="1" applyBorder="1" applyAlignment="1">
      <alignment horizontal="right" vertical="center"/>
    </xf>
    <xf numFmtId="177" fontId="0" fillId="0" borderId="0" xfId="0" applyNumberFormat="1" applyFill="1"/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170" fontId="13" fillId="0" borderId="0" xfId="2" applyNumberFormat="1" applyFont="1" applyBorder="1"/>
    <xf numFmtId="170" fontId="13" fillId="0" borderId="0" xfId="2" applyNumberFormat="1" applyFont="1" applyBorder="1" applyAlignment="1">
      <alignment horizontal="right"/>
    </xf>
    <xf numFmtId="175" fontId="1" fillId="0" borderId="1" xfId="1" applyNumberFormat="1" applyFont="1" applyFill="1" applyBorder="1" applyAlignment="1">
      <alignment horizontal="right" vertical="center"/>
    </xf>
    <xf numFmtId="177" fontId="13" fillId="0" borderId="0" xfId="2" applyNumberFormat="1" applyFont="1" applyFill="1"/>
    <xf numFmtId="184" fontId="20" fillId="0" borderId="0" xfId="1" applyNumberFormat="1" applyFont="1" applyFill="1" applyBorder="1" applyAlignment="1">
      <alignment horizontal="right"/>
    </xf>
    <xf numFmtId="184" fontId="20" fillId="0" borderId="0" xfId="2" applyNumberFormat="1" applyFont="1" applyFill="1" applyBorder="1" applyAlignment="1">
      <alignment horizontal="right"/>
    </xf>
    <xf numFmtId="178" fontId="1" fillId="0" borderId="0" xfId="1" applyNumberFormat="1" applyFont="1" applyFill="1" applyAlignment="1">
      <alignment horizontal="right"/>
    </xf>
    <xf numFmtId="175" fontId="42" fillId="0" borderId="0" xfId="1" applyNumberFormat="1" applyFont="1" applyFill="1" applyBorder="1" applyAlignment="1">
      <alignment horizontal="right"/>
    </xf>
    <xf numFmtId="176" fontId="12" fillId="0" borderId="0" xfId="7" applyNumberFormat="1" applyFont="1" applyFill="1"/>
    <xf numFmtId="177" fontId="13" fillId="0" borderId="0" xfId="2" applyNumberFormat="1" applyFont="1" applyAlignment="1">
      <alignment horizontal="right"/>
    </xf>
    <xf numFmtId="177" fontId="10" fillId="0" borderId="0" xfId="2" applyNumberFormat="1" applyFont="1" applyFill="1"/>
    <xf numFmtId="43" fontId="0" fillId="0" borderId="0" xfId="0" applyNumberFormat="1" applyFill="1"/>
    <xf numFmtId="175" fontId="7" fillId="0" borderId="0" xfId="1" applyNumberFormat="1" applyFont="1" applyFill="1" applyAlignment="1">
      <alignment horizontal="right"/>
    </xf>
    <xf numFmtId="0" fontId="13" fillId="5" borderId="19" xfId="3" applyFont="1" applyFill="1" applyBorder="1" applyAlignment="1">
      <alignment horizontal="left" vertical="top" wrapText="1"/>
    </xf>
    <xf numFmtId="0" fontId="13" fillId="5" borderId="18" xfId="3" applyFont="1" applyFill="1" applyBorder="1" applyAlignment="1">
      <alignment horizontal="left" vertical="top" wrapText="1"/>
    </xf>
    <xf numFmtId="0" fontId="13" fillId="5" borderId="20" xfId="3" applyFont="1" applyFill="1" applyBorder="1" applyAlignment="1">
      <alignment horizontal="left" vertical="top" wrapText="1"/>
    </xf>
    <xf numFmtId="0" fontId="13" fillId="5" borderId="21" xfId="3" applyFont="1" applyFill="1" applyBorder="1" applyAlignment="1">
      <alignment horizontal="left" vertical="top" wrapText="1"/>
    </xf>
    <xf numFmtId="0" fontId="13" fillId="5" borderId="0" xfId="3" applyFont="1" applyFill="1" applyBorder="1" applyAlignment="1">
      <alignment horizontal="left" vertical="top" wrapText="1"/>
    </xf>
    <xf numFmtId="0" fontId="13" fillId="5" borderId="22" xfId="3" applyFont="1" applyFill="1" applyBorder="1" applyAlignment="1">
      <alignment horizontal="left" vertical="top" wrapText="1"/>
    </xf>
    <xf numFmtId="0" fontId="13" fillId="5" borderId="23" xfId="3" applyFont="1" applyFill="1" applyBorder="1" applyAlignment="1">
      <alignment horizontal="left" vertical="top" wrapText="1"/>
    </xf>
    <xf numFmtId="0" fontId="13" fillId="5" borderId="24" xfId="3" applyFont="1" applyFill="1" applyBorder="1" applyAlignment="1">
      <alignment horizontal="left" vertical="top" wrapText="1"/>
    </xf>
    <xf numFmtId="0" fontId="13" fillId="5" borderId="25" xfId="3" applyFont="1" applyFill="1" applyBorder="1" applyAlignment="1">
      <alignment horizontal="left" vertical="top" wrapText="1"/>
    </xf>
  </cellXfs>
  <cellStyles count="8">
    <cellStyle name="Bordas divisórias" xfId="5" xr:uid="{00000000-0005-0000-0000-000000000000}"/>
    <cellStyle name="Comma 2" xfId="4" xr:uid="{00000000-0005-0000-0000-000001000000}"/>
    <cellStyle name="Normal" xfId="0" builtinId="0"/>
    <cellStyle name="Normal 3" xfId="2" xr:uid="{00000000-0005-0000-0000-000003000000}"/>
    <cellStyle name="Normal_Multiples" xfId="3" xr:uid="{00000000-0005-0000-0000-000004000000}"/>
    <cellStyle name="Porcentagem" xfId="7" builtinId="5"/>
    <cellStyle name="Total Máscara" xfId="6" xr:uid="{00000000-0005-0000-0000-000006000000}"/>
    <cellStyle name="Vírgula" xfId="1" builtinId="3"/>
  </cellStyles>
  <dxfs count="0"/>
  <tableStyles count="0" defaultTableStyle="TableStyleMedium2" defaultPivotStyle="PivotStyleLight16"/>
  <colors>
    <mruColors>
      <color rgb="FFB6B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44536</xdr:colOff>
      <xdr:row>0</xdr:row>
      <xdr:rowOff>100852</xdr:rowOff>
    </xdr:from>
    <xdr:to>
      <xdr:col>9</xdr:col>
      <xdr:colOff>746039</xdr:colOff>
      <xdr:row>1</xdr:row>
      <xdr:rowOff>179294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8" t="30484" r="17651" b="31063"/>
        <a:stretch/>
      </xdr:blipFill>
      <xdr:spPr>
        <a:xfrm>
          <a:off x="8717889" y="100852"/>
          <a:ext cx="701503" cy="23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74</xdr:col>
      <xdr:colOff>73036</xdr:colOff>
      <xdr:row>0</xdr:row>
      <xdr:rowOff>68813</xdr:rowOff>
    </xdr:from>
    <xdr:ext cx="827486" cy="280707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8" t="30484" r="17651" b="31063"/>
        <a:stretch/>
      </xdr:blipFill>
      <xdr:spPr>
        <a:xfrm>
          <a:off x="65378817" y="68813"/>
          <a:ext cx="827486" cy="28070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74</xdr:col>
      <xdr:colOff>627530</xdr:colOff>
      <xdr:row>0</xdr:row>
      <xdr:rowOff>72837</xdr:rowOff>
    </xdr:from>
    <xdr:ext cx="878556" cy="275664"/>
    <xdr:pic>
      <xdr:nvPicPr>
        <xdr:cNvPr id="4" name="Imagem 3">
          <a:extLst>
            <a:ext uri="{FF2B5EF4-FFF2-40B4-BE49-F238E27FC236}">
              <a16:creationId xmlns:a16="http://schemas.microsoft.com/office/drawing/2014/main" id="{87CC3057-DD62-492A-A086-48FC5DB311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8" t="30484" r="17651" b="31063"/>
        <a:stretch/>
      </xdr:blipFill>
      <xdr:spPr>
        <a:xfrm>
          <a:off x="57519795" y="72837"/>
          <a:ext cx="878556" cy="27566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739589</xdr:colOff>
      <xdr:row>0</xdr:row>
      <xdr:rowOff>44325</xdr:rowOff>
    </xdr:from>
    <xdr:ext cx="811507" cy="28070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8" t="30484" r="17651" b="31063"/>
        <a:stretch/>
      </xdr:blipFill>
      <xdr:spPr>
        <a:xfrm>
          <a:off x="55200177" y="44325"/>
          <a:ext cx="811507" cy="28070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74</xdr:col>
      <xdr:colOff>683556</xdr:colOff>
      <xdr:row>0</xdr:row>
      <xdr:rowOff>52856</xdr:rowOff>
    </xdr:from>
    <xdr:ext cx="805690" cy="281371"/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8" t="30484" r="17651" b="31063"/>
        <a:stretch/>
      </xdr:blipFill>
      <xdr:spPr>
        <a:xfrm>
          <a:off x="59648909" y="52856"/>
          <a:ext cx="805690" cy="2813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74</xdr:col>
      <xdr:colOff>526679</xdr:colOff>
      <xdr:row>0</xdr:row>
      <xdr:rowOff>94555</xdr:rowOff>
    </xdr:from>
    <xdr:ext cx="819911" cy="28070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8" t="30484" r="17651" b="31063"/>
        <a:stretch/>
      </xdr:blipFill>
      <xdr:spPr>
        <a:xfrm>
          <a:off x="59267914" y="94555"/>
          <a:ext cx="819911" cy="280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J60"/>
  <sheetViews>
    <sheetView showGridLines="0" tabSelected="1" zoomScale="85" zoomScaleNormal="85" workbookViewId="0"/>
  </sheetViews>
  <sheetFormatPr defaultColWidth="11.7265625" defaultRowHeight="13" x14ac:dyDescent="0.3"/>
  <cols>
    <col min="1" max="1" width="2.26953125" style="7" customWidth="1"/>
    <col min="2" max="2" width="34" style="2" customWidth="1"/>
    <col min="3" max="3" width="5.1796875" style="2" customWidth="1"/>
    <col min="4" max="4" width="34" style="2" customWidth="1"/>
    <col min="5" max="5" width="3.54296875" style="2" customWidth="1"/>
    <col min="6" max="6" width="2" style="2" customWidth="1"/>
    <col min="7" max="7" width="10.7265625" style="2" customWidth="1"/>
    <col min="8" max="8" width="26.453125" style="2" customWidth="1"/>
    <col min="9" max="9" width="12" style="3" bestFit="1" customWidth="1"/>
    <col min="10" max="16384" width="11.7265625" style="3"/>
  </cols>
  <sheetData>
    <row r="2" spans="1:10" ht="18.5" x14ac:dyDescent="0.45">
      <c r="A2" s="1"/>
      <c r="B2" s="4" t="str">
        <f>IF(Control!$D$5=1,"Control Panel","Painel de Controle")</f>
        <v>Control Panel</v>
      </c>
      <c r="C2" s="5"/>
      <c r="D2" s="5"/>
      <c r="E2" s="5"/>
      <c r="F2" s="5"/>
      <c r="G2" s="5"/>
      <c r="H2" s="6"/>
      <c r="I2" s="6"/>
      <c r="J2" s="6"/>
    </row>
    <row r="3" spans="1:10" x14ac:dyDescent="0.3">
      <c r="A3" s="1"/>
      <c r="H3" s="97" t="str">
        <f>IF(Control!$D$5=1,"Consolidated Financials","Consolidado")</f>
        <v>Consolidated Financials</v>
      </c>
    </row>
    <row r="4" spans="1:10" ht="14.5" x14ac:dyDescent="0.35">
      <c r="A4" s="1"/>
      <c r="B4" s="12" t="str">
        <f>IF(Control!$D$5=1,"Essential Data","Dados Básicos")</f>
        <v>Essential Data</v>
      </c>
      <c r="C4" s="13"/>
      <c r="D4" s="14"/>
      <c r="E4" s="15"/>
      <c r="F4" s="15"/>
      <c r="G4" s="15"/>
      <c r="H4" s="15"/>
      <c r="I4" s="15"/>
      <c r="J4" s="15"/>
    </row>
    <row r="5" spans="1:10" ht="14.5" x14ac:dyDescent="0.35">
      <c r="A5" s="1"/>
      <c r="B5" s="98" t="str">
        <f>IF(Control!$D$5=1,"Language (1 = Eng. / 2 = Port.)","Idioma (1 = Ing. / 2 = Port.)")</f>
        <v>Language (1 = Eng. / 2 = Port.)</v>
      </c>
      <c r="C5" s="99"/>
      <c r="D5" s="100">
        <v>1</v>
      </c>
      <c r="E5" s="15"/>
      <c r="F5" s="15"/>
      <c r="G5" s="15"/>
      <c r="H5" s="15"/>
      <c r="I5" s="15"/>
      <c r="J5" s="15"/>
    </row>
    <row r="6" spans="1:10" s="9" customFormat="1" ht="14.5" x14ac:dyDescent="0.35">
      <c r="A6" s="7"/>
      <c r="B6" s="98" t="str">
        <f>IF(Control!$D$5=1,"Company Name","Nome da Companhia")</f>
        <v>Company Name</v>
      </c>
      <c r="C6" s="99"/>
      <c r="D6" s="100" t="s">
        <v>0</v>
      </c>
      <c r="E6" s="15"/>
      <c r="F6" s="15"/>
      <c r="G6" s="15"/>
      <c r="H6" s="15"/>
      <c r="I6" s="15"/>
      <c r="J6" s="15"/>
    </row>
    <row r="7" spans="1:10" s="9" customFormat="1" ht="14.5" x14ac:dyDescent="0.35">
      <c r="A7" s="7"/>
      <c r="B7" s="98" t="str">
        <f>IF(Control!$D$5=1,"Currency","Moeda")</f>
        <v>Currency</v>
      </c>
      <c r="C7" s="99"/>
      <c r="D7" s="100" t="s">
        <v>1</v>
      </c>
      <c r="E7" s="15"/>
      <c r="F7" s="15"/>
      <c r="G7" s="15"/>
      <c r="H7" s="15"/>
      <c r="I7" s="15"/>
      <c r="J7" s="15"/>
    </row>
    <row r="8" spans="1:10" s="9" customFormat="1" ht="14.5" x14ac:dyDescent="0.35">
      <c r="A8" s="7"/>
      <c r="B8" s="98" t="str">
        <f>IF(Control!$D$5=1,"Currency Units","Unidades da Moeda")</f>
        <v>Currency Units</v>
      </c>
      <c r="C8" s="101"/>
      <c r="D8" s="102" t="str">
        <f>IF(Control!$D$5=1,"millions","milhões")</f>
        <v>millions</v>
      </c>
      <c r="E8" s="15"/>
      <c r="F8" s="15"/>
      <c r="G8" s="15"/>
      <c r="H8" s="15"/>
      <c r="I8" s="15"/>
      <c r="J8" s="15"/>
    </row>
    <row r="9" spans="1:10" s="9" customFormat="1" ht="14.5" x14ac:dyDescent="0.35">
      <c r="A9" s="7"/>
      <c r="B9" s="98" t="str">
        <f>IF(Control!$D$5=1,"Last Date of Full Year Financials","Data de Últimos Demonstr. Anuais")</f>
        <v>Last Date of Full Year Financials</v>
      </c>
      <c r="C9" s="101"/>
      <c r="D9" s="103">
        <v>44620</v>
      </c>
      <c r="E9" s="15"/>
      <c r="F9" s="15"/>
      <c r="G9" s="15"/>
      <c r="H9" s="15"/>
      <c r="I9" s="15"/>
      <c r="J9" s="15"/>
    </row>
    <row r="10" spans="1:10" s="9" customFormat="1" ht="14.5" x14ac:dyDescent="0.35">
      <c r="A10" s="7"/>
      <c r="B10" s="98" t="str">
        <f>IF(Control!$D$5=1,"Last Date of YTD Financials","Data de Últimos Demonstr. Trim.")</f>
        <v>Last Date of YTD Financials</v>
      </c>
      <c r="C10" s="99"/>
      <c r="D10" s="103">
        <v>44712</v>
      </c>
      <c r="E10" s="15"/>
      <c r="F10" s="15"/>
      <c r="G10" s="15"/>
      <c r="H10" s="15"/>
      <c r="I10" s="15"/>
      <c r="J10" s="15"/>
    </row>
    <row r="11" spans="1:10" s="9" customFormat="1" ht="14.5" x14ac:dyDescent="0.35">
      <c r="A11" s="7"/>
      <c r="B11" s="104" t="str">
        <f>IF(Control!$D$5=1,"Last update on","Última atualização em")</f>
        <v>Last update on</v>
      </c>
      <c r="C11" s="105"/>
      <c r="D11" s="228">
        <v>44760</v>
      </c>
      <c r="E11" s="15"/>
      <c r="F11" s="15"/>
      <c r="G11" s="15"/>
      <c r="H11" s="15"/>
      <c r="I11" s="15"/>
      <c r="J11" s="15"/>
    </row>
    <row r="12" spans="1:10" s="9" customFormat="1" ht="14.5" x14ac:dyDescent="0.35">
      <c r="A12" s="7"/>
      <c r="B12" s="15"/>
      <c r="C12" s="15"/>
      <c r="D12" s="17"/>
      <c r="E12" s="15"/>
      <c r="F12" s="15"/>
      <c r="G12" s="15"/>
      <c r="H12" s="15"/>
      <c r="I12" s="15"/>
      <c r="J12" s="15"/>
    </row>
    <row r="13" spans="1:10" s="9" customFormat="1" ht="14.5" x14ac:dyDescent="0.35">
      <c r="A13" s="7"/>
      <c r="B13" s="12" t="str">
        <f>IF(Control!$D$5=1,"Information about financial data","Informações sobre as dados financeiros")</f>
        <v>Information about financial data</v>
      </c>
      <c r="C13" s="13"/>
      <c r="D13" s="14"/>
      <c r="E13" s="15"/>
      <c r="F13" s="15"/>
      <c r="G13" s="15"/>
      <c r="H13" s="15"/>
      <c r="I13" s="15"/>
      <c r="J13" s="15"/>
    </row>
    <row r="14" spans="1:10" s="9" customFormat="1" ht="15" customHeight="1" x14ac:dyDescent="0.35">
      <c r="A14" s="7"/>
      <c r="B14" s="318" t="str">
        <f>IF(Control!$D$5=1,"Certain percentages and other amounts included in this document have been rounded. Thus, it may differ from those presented in the financial statements.","Certas porcentagens e outros valores incluídos neste documento foram arredondados. Dessa forma, podem diferir daqueles apresentados nas demonstrações financeiras.")</f>
        <v>Certain percentages and other amounts included in this document have been rounded. Thus, it may differ from those presented in the financial statements.</v>
      </c>
      <c r="C14" s="319"/>
      <c r="D14" s="320"/>
      <c r="E14" s="15"/>
      <c r="F14" s="15"/>
      <c r="G14" s="15"/>
      <c r="H14" s="15"/>
      <c r="I14" s="15"/>
      <c r="J14" s="15"/>
    </row>
    <row r="15" spans="1:10" s="9" customFormat="1" ht="14.5" x14ac:dyDescent="0.35">
      <c r="A15" s="7"/>
      <c r="B15" s="321"/>
      <c r="C15" s="322"/>
      <c r="D15" s="323"/>
      <c r="E15" s="15"/>
      <c r="F15" s="15"/>
      <c r="G15" s="15"/>
      <c r="H15" s="15"/>
      <c r="I15" s="15"/>
      <c r="J15" s="15"/>
    </row>
    <row r="16" spans="1:10" s="9" customFormat="1" ht="15" customHeight="1" x14ac:dyDescent="0.35">
      <c r="A16" s="15"/>
      <c r="B16" s="321"/>
      <c r="C16" s="322"/>
      <c r="D16" s="323"/>
      <c r="E16" s="15"/>
      <c r="F16" s="15"/>
      <c r="G16" s="15"/>
      <c r="H16" s="15"/>
      <c r="I16" s="15"/>
      <c r="J16" s="15"/>
    </row>
    <row r="17" spans="1:10" s="9" customFormat="1" ht="14.5" x14ac:dyDescent="0.35">
      <c r="A17" s="15"/>
      <c r="B17" s="321"/>
      <c r="C17" s="322"/>
      <c r="D17" s="323"/>
      <c r="E17" s="15"/>
      <c r="F17" s="15"/>
      <c r="G17" s="15"/>
      <c r="H17" s="15"/>
      <c r="I17" s="15"/>
      <c r="J17" s="15"/>
    </row>
    <row r="18" spans="1:10" s="9" customFormat="1" ht="14.5" x14ac:dyDescent="0.35">
      <c r="A18" s="15"/>
      <c r="B18" s="321"/>
      <c r="C18" s="322"/>
      <c r="D18" s="323"/>
      <c r="E18" s="15"/>
      <c r="F18" s="15"/>
      <c r="G18" s="15"/>
      <c r="H18" s="15"/>
      <c r="I18" s="15"/>
      <c r="J18" s="15"/>
    </row>
    <row r="19" spans="1:10" s="9" customFormat="1" ht="14.5" x14ac:dyDescent="0.35">
      <c r="A19" s="15"/>
      <c r="B19" s="229" t="str">
        <f>IF(Control!$D$5=1,"Unaudited data.","Dados não auditados.")</f>
        <v>Unaudited data.</v>
      </c>
      <c r="C19" s="230"/>
      <c r="D19" s="231"/>
      <c r="E19" s="15"/>
      <c r="F19" s="15"/>
      <c r="G19" s="15"/>
      <c r="H19" s="15"/>
      <c r="I19" s="15"/>
      <c r="J19" s="15"/>
    </row>
    <row r="20" spans="1:10" s="9" customFormat="1" ht="14.25" customHeight="1" x14ac:dyDescent="0.35">
      <c r="A20" s="15"/>
      <c r="B20" s="232"/>
      <c r="C20" s="233"/>
      <c r="D20" s="234"/>
      <c r="E20" s="15"/>
      <c r="F20" s="15"/>
      <c r="G20" s="15"/>
      <c r="H20" s="15"/>
      <c r="I20" s="15"/>
      <c r="J20" s="15"/>
    </row>
    <row r="21" spans="1:10" s="9" customFormat="1" ht="14.25" customHeight="1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9" customFormat="1" ht="14.5" x14ac:dyDescent="0.35">
      <c r="A22" s="15"/>
      <c r="B22" s="18" t="str">
        <f>IF(Control!$D$5=1,"Contacts","Contatos")</f>
        <v>Contacts</v>
      </c>
      <c r="C22" s="19"/>
      <c r="D22" s="19"/>
      <c r="E22" s="15"/>
      <c r="F22" s="15"/>
      <c r="G22" s="15"/>
      <c r="H22" s="15"/>
      <c r="I22" s="15"/>
      <c r="J22" s="15"/>
    </row>
    <row r="23" spans="1:10" s="9" customFormat="1" ht="15" customHeight="1" x14ac:dyDescent="0.35">
      <c r="A23" s="15"/>
      <c r="B23" s="318" t="s">
        <v>19</v>
      </c>
      <c r="C23" s="319"/>
      <c r="D23" s="320"/>
      <c r="E23" s="15"/>
      <c r="F23" s="15"/>
      <c r="G23" s="15"/>
      <c r="H23" s="15"/>
      <c r="I23" s="15"/>
      <c r="J23" s="15"/>
    </row>
    <row r="24" spans="1:10" s="9" customFormat="1" ht="15" customHeight="1" x14ac:dyDescent="0.35">
      <c r="A24" s="15"/>
      <c r="B24" s="321"/>
      <c r="C24" s="322"/>
      <c r="D24" s="323"/>
      <c r="E24" s="15"/>
      <c r="F24" s="15"/>
      <c r="G24" s="15"/>
      <c r="H24" s="15"/>
      <c r="I24" s="15"/>
      <c r="J24" s="15"/>
    </row>
    <row r="25" spans="1:10" s="9" customFormat="1" ht="14.5" x14ac:dyDescent="0.35">
      <c r="A25" s="15"/>
      <c r="B25" s="321"/>
      <c r="C25" s="322"/>
      <c r="D25" s="323"/>
      <c r="E25" s="15"/>
      <c r="F25" s="15"/>
      <c r="G25" s="15"/>
      <c r="H25" s="15"/>
      <c r="I25" s="15"/>
      <c r="J25" s="15"/>
    </row>
    <row r="26" spans="1:10" s="9" customFormat="1" ht="15" customHeight="1" x14ac:dyDescent="0.35">
      <c r="A26" s="15"/>
      <c r="B26" s="324"/>
      <c r="C26" s="325"/>
      <c r="D26" s="326"/>
      <c r="E26" s="15"/>
      <c r="F26" s="15"/>
      <c r="G26" s="15"/>
      <c r="H26" s="15"/>
      <c r="I26" s="15"/>
      <c r="J26" s="15"/>
    </row>
    <row r="27" spans="1:10" s="9" customFormat="1" ht="13.5" customHeight="1" x14ac:dyDescent="0.35">
      <c r="A27" s="15"/>
      <c r="B27" s="16"/>
      <c r="C27" s="16"/>
      <c r="D27" s="16"/>
      <c r="E27" s="15"/>
      <c r="F27" s="15"/>
      <c r="G27" s="15"/>
      <c r="H27" s="15"/>
      <c r="I27" s="15"/>
      <c r="J27" s="15"/>
    </row>
    <row r="28" spans="1:10" s="9" customFormat="1" ht="13.5" customHeight="1" x14ac:dyDescent="0.35">
      <c r="A28" s="16"/>
      <c r="B28" s="18" t="str">
        <f>IF(Control!$D$5=1,"Recent Developments","Últimas Atualizações")</f>
        <v>Recent Developments</v>
      </c>
      <c r="C28" s="19"/>
      <c r="D28" s="19"/>
      <c r="E28" s="15"/>
      <c r="F28" s="15"/>
      <c r="G28" s="15"/>
      <c r="H28" s="15"/>
      <c r="I28" s="15"/>
      <c r="J28" s="15"/>
    </row>
    <row r="29" spans="1:10" s="9" customFormat="1" ht="15" customHeight="1" x14ac:dyDescent="0.35">
      <c r="A29" s="16"/>
      <c r="B29" s="318" t="str">
        <f>IF(Control!$D$5=1,"1Q22 update","Atualização 1T22")</f>
        <v>1Q22 update</v>
      </c>
      <c r="C29" s="319"/>
      <c r="D29" s="320"/>
      <c r="E29" s="15"/>
      <c r="F29" s="15"/>
      <c r="G29" s="15"/>
      <c r="H29" s="15"/>
      <c r="I29" s="15"/>
      <c r="J29" s="15"/>
    </row>
    <row r="30" spans="1:10" s="9" customFormat="1" ht="14.5" x14ac:dyDescent="0.35">
      <c r="A30" s="16"/>
      <c r="B30" s="294"/>
      <c r="C30" s="230"/>
      <c r="D30" s="231"/>
      <c r="E30" s="15"/>
      <c r="F30" s="15"/>
      <c r="G30" s="15"/>
      <c r="H30" s="15"/>
      <c r="I30" s="15"/>
      <c r="J30" s="15"/>
    </row>
    <row r="31" spans="1:10" s="9" customFormat="1" ht="14.5" x14ac:dyDescent="0.35">
      <c r="A31" s="16"/>
      <c r="B31" s="294"/>
      <c r="C31" s="230"/>
      <c r="D31" s="231"/>
      <c r="E31" s="15"/>
      <c r="F31" s="15"/>
      <c r="G31" s="15"/>
      <c r="H31" s="15"/>
      <c r="I31" s="15"/>
      <c r="J31" s="15"/>
    </row>
    <row r="32" spans="1:10" s="9" customFormat="1" ht="14.5" x14ac:dyDescent="0.35">
      <c r="A32" s="10"/>
      <c r="B32" s="232"/>
      <c r="C32" s="233"/>
      <c r="D32" s="234"/>
      <c r="E32" s="15"/>
      <c r="F32" s="15"/>
      <c r="G32" s="15"/>
      <c r="H32" s="15"/>
      <c r="I32" s="15"/>
      <c r="J32" s="15"/>
    </row>
    <row r="33" spans="1:10" s="9" customFormat="1" ht="14.5" x14ac:dyDescent="0.35">
      <c r="A33" s="10"/>
      <c r="B33" s="2"/>
      <c r="C33" s="2"/>
      <c r="D33" s="2"/>
      <c r="E33" s="15"/>
      <c r="F33" s="15"/>
      <c r="G33" s="15"/>
      <c r="H33" s="15"/>
      <c r="I33" s="15"/>
      <c r="J33" s="15"/>
    </row>
    <row r="34" spans="1:10" ht="14.5" x14ac:dyDescent="0.35">
      <c r="E34" s="15"/>
      <c r="F34" s="15"/>
      <c r="G34" s="15"/>
      <c r="H34" s="15"/>
      <c r="I34" s="15"/>
      <c r="J34" s="15"/>
    </row>
    <row r="35" spans="1:10" ht="14.5" x14ac:dyDescent="0.35">
      <c r="E35" s="15"/>
      <c r="F35" s="15"/>
      <c r="G35" s="15"/>
      <c r="H35" s="15"/>
      <c r="I35" s="15"/>
      <c r="J35" s="15"/>
    </row>
    <row r="36" spans="1:10" ht="14.5" x14ac:dyDescent="0.35">
      <c r="E36" s="15"/>
      <c r="F36" s="15"/>
      <c r="G36" s="15"/>
      <c r="H36" s="15"/>
      <c r="I36" s="15"/>
      <c r="J36" s="15"/>
    </row>
    <row r="37" spans="1:10" ht="14.5" x14ac:dyDescent="0.35">
      <c r="E37" s="15"/>
      <c r="F37" s="15"/>
      <c r="G37" s="15"/>
      <c r="H37" s="15"/>
      <c r="I37" s="15"/>
      <c r="J37" s="15"/>
    </row>
    <row r="38" spans="1:10" ht="14.5" x14ac:dyDescent="0.35">
      <c r="E38" s="15"/>
      <c r="F38" s="15"/>
      <c r="G38" s="15"/>
      <c r="H38" s="15"/>
      <c r="I38" s="15"/>
      <c r="J38" s="15"/>
    </row>
    <row r="39" spans="1:10" ht="14.5" x14ac:dyDescent="0.35">
      <c r="E39" s="15"/>
      <c r="F39" s="15"/>
      <c r="G39" s="15"/>
      <c r="H39" s="15"/>
      <c r="I39" s="15"/>
      <c r="J39" s="15"/>
    </row>
    <row r="40" spans="1:10" ht="14.5" x14ac:dyDescent="0.35">
      <c r="E40" s="15"/>
      <c r="F40" s="15"/>
      <c r="G40" s="15"/>
      <c r="H40" s="15"/>
      <c r="I40" s="15"/>
      <c r="J40" s="15"/>
    </row>
    <row r="41" spans="1:10" ht="14.5" x14ac:dyDescent="0.35">
      <c r="E41" s="15"/>
      <c r="F41" s="15"/>
      <c r="G41" s="15"/>
      <c r="H41" s="15"/>
      <c r="I41" s="15"/>
      <c r="J41" s="15"/>
    </row>
    <row r="42" spans="1:10" ht="14.5" x14ac:dyDescent="0.35">
      <c r="E42" s="15"/>
      <c r="F42" s="15"/>
      <c r="G42" s="15"/>
      <c r="H42" s="15"/>
      <c r="I42" s="15"/>
      <c r="J42" s="15"/>
    </row>
    <row r="43" spans="1:10" ht="14.5" x14ac:dyDescent="0.35">
      <c r="E43" s="15"/>
      <c r="F43" s="15"/>
      <c r="G43" s="15"/>
      <c r="H43" s="15"/>
      <c r="I43" s="15"/>
      <c r="J43" s="15"/>
    </row>
    <row r="44" spans="1:10" ht="14.5" x14ac:dyDescent="0.35">
      <c r="E44" s="15"/>
      <c r="F44" s="15"/>
      <c r="G44" s="15"/>
      <c r="H44" s="15"/>
      <c r="I44" s="15"/>
      <c r="J44" s="15"/>
    </row>
    <row r="45" spans="1:10" ht="14.5" x14ac:dyDescent="0.35">
      <c r="E45" s="15"/>
      <c r="F45" s="15"/>
      <c r="G45" s="15"/>
      <c r="H45" s="15"/>
      <c r="I45" s="15"/>
      <c r="J45" s="15"/>
    </row>
    <row r="46" spans="1:10" ht="14.5" x14ac:dyDescent="0.35">
      <c r="E46" s="15"/>
      <c r="F46" s="15"/>
      <c r="G46" s="15"/>
      <c r="H46" s="15"/>
      <c r="I46" s="15"/>
      <c r="J46" s="15"/>
    </row>
    <row r="47" spans="1:10" ht="14.5" x14ac:dyDescent="0.35">
      <c r="E47" s="15"/>
      <c r="F47" s="15"/>
      <c r="G47" s="15"/>
      <c r="H47" s="15"/>
      <c r="I47" s="15"/>
      <c r="J47" s="15"/>
    </row>
    <row r="48" spans="1:10" ht="14.5" x14ac:dyDescent="0.35">
      <c r="E48" s="15"/>
      <c r="F48" s="15"/>
      <c r="G48" s="15"/>
      <c r="H48" s="15"/>
      <c r="I48" s="15"/>
      <c r="J48" s="15"/>
    </row>
    <row r="49" spans="5:10" ht="14.5" x14ac:dyDescent="0.35">
      <c r="E49" s="15"/>
      <c r="F49" s="15"/>
      <c r="G49" s="15"/>
      <c r="H49" s="15"/>
      <c r="I49" s="15"/>
      <c r="J49" s="15"/>
    </row>
    <row r="50" spans="5:10" ht="14.5" x14ac:dyDescent="0.35">
      <c r="E50" s="15"/>
      <c r="F50" s="15"/>
      <c r="G50" s="15"/>
      <c r="H50" s="15"/>
      <c r="I50" s="15"/>
      <c r="J50" s="15"/>
    </row>
    <row r="51" spans="5:10" ht="14.5" x14ac:dyDescent="0.35">
      <c r="E51" s="15"/>
      <c r="F51" s="15"/>
      <c r="G51" s="15"/>
      <c r="H51" s="15"/>
      <c r="I51" s="15"/>
      <c r="J51" s="15"/>
    </row>
    <row r="52" spans="5:10" ht="14.5" x14ac:dyDescent="0.35">
      <c r="E52" s="15"/>
      <c r="F52" s="15"/>
      <c r="G52" s="15"/>
      <c r="H52" s="15"/>
      <c r="I52" s="15"/>
      <c r="J52" s="15"/>
    </row>
    <row r="53" spans="5:10" ht="14.5" x14ac:dyDescent="0.35">
      <c r="E53" s="15"/>
      <c r="F53" s="15"/>
      <c r="G53" s="15"/>
      <c r="H53" s="15"/>
      <c r="I53" s="15"/>
      <c r="J53" s="15"/>
    </row>
    <row r="54" spans="5:10" ht="14.5" x14ac:dyDescent="0.35">
      <c r="E54" s="15"/>
      <c r="F54" s="15"/>
      <c r="G54" s="15"/>
      <c r="H54" s="15"/>
      <c r="I54" s="15"/>
      <c r="J54" s="15"/>
    </row>
    <row r="55" spans="5:10" ht="14.5" x14ac:dyDescent="0.35">
      <c r="E55" s="15"/>
      <c r="F55" s="15"/>
      <c r="G55" s="15"/>
      <c r="H55" s="15"/>
      <c r="I55" s="15"/>
      <c r="J55" s="15"/>
    </row>
    <row r="56" spans="5:10" ht="14.5" x14ac:dyDescent="0.35">
      <c r="E56" s="15"/>
      <c r="F56" s="15"/>
      <c r="G56" s="15"/>
      <c r="H56" s="15"/>
      <c r="I56" s="15"/>
      <c r="J56" s="15"/>
    </row>
    <row r="57" spans="5:10" ht="14.5" x14ac:dyDescent="0.35">
      <c r="E57" s="15"/>
      <c r="F57" s="15"/>
      <c r="G57" s="15"/>
      <c r="H57" s="15"/>
      <c r="I57" s="15"/>
      <c r="J57" s="15"/>
    </row>
    <row r="58" spans="5:10" ht="14.5" x14ac:dyDescent="0.35">
      <c r="E58" s="15"/>
      <c r="F58" s="15"/>
      <c r="G58" s="15"/>
      <c r="H58" s="15"/>
      <c r="I58" s="15"/>
      <c r="J58" s="15"/>
    </row>
    <row r="59" spans="5:10" ht="14.5" x14ac:dyDescent="0.35">
      <c r="E59" s="15"/>
      <c r="F59" s="15"/>
      <c r="G59" s="15"/>
      <c r="H59" s="15"/>
      <c r="I59" s="15"/>
      <c r="J59" s="15"/>
    </row>
    <row r="60" spans="5:10" ht="14.5" x14ac:dyDescent="0.35">
      <c r="E60" s="15"/>
      <c r="F60" s="15"/>
      <c r="G60" s="15"/>
      <c r="H60" s="15"/>
      <c r="I60" s="15"/>
      <c r="J60" s="15"/>
    </row>
  </sheetData>
  <mergeCells count="3">
    <mergeCell ref="B14:D18"/>
    <mergeCell ref="B23:D26"/>
    <mergeCell ref="B29:D29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BZ115"/>
  <sheetViews>
    <sheetView showGridLines="0" zoomScale="80" zoomScaleNormal="80" zoomScalePageLayoutView="85" workbookViewId="0">
      <pane xSplit="2" ySplit="7" topLeftCell="AZ8" activePane="bottomRight" state="frozen"/>
      <selection activeCell="AI67" sqref="AI67"/>
      <selection pane="topRight" activeCell="AI67" sqref="AI67"/>
      <selection pane="bottomLeft" activeCell="AI67" sqref="AI67"/>
      <selection pane="bottomRight" activeCell="B28" sqref="B28"/>
    </sheetView>
  </sheetViews>
  <sheetFormatPr defaultColWidth="11.7265625" defaultRowHeight="14.5" outlineLevelRow="1" x14ac:dyDescent="0.35"/>
  <cols>
    <col min="1" max="1" width="5.26953125" style="7" customWidth="1"/>
    <col min="2" max="2" width="36" style="8" customWidth="1"/>
    <col min="3" max="3" width="11.54296875" style="78" customWidth="1"/>
    <col min="4" max="5" width="11.54296875" style="138" customWidth="1"/>
    <col min="6" max="10" width="11.54296875" style="78" customWidth="1"/>
    <col min="11" max="13" width="11.54296875" style="138" customWidth="1"/>
    <col min="14" max="14" width="11.54296875" style="78" customWidth="1"/>
    <col min="15" max="15" width="13.453125" style="78" customWidth="1"/>
    <col min="16" max="18" width="11.54296875" style="78" customWidth="1"/>
    <col min="19" max="19" width="12.54296875" style="78" customWidth="1"/>
    <col min="20" max="22" width="11.54296875" style="78" customWidth="1"/>
    <col min="23" max="23" width="13.453125" style="91" customWidth="1"/>
    <col min="24" max="25" width="12.54296875" style="138" customWidth="1"/>
    <col min="26" max="30" width="12.54296875" style="78" customWidth="1"/>
    <col min="31" max="31" width="13.453125" style="78" customWidth="1"/>
    <col min="32" max="34" width="12.54296875" style="78" customWidth="1"/>
    <col min="35" max="35" width="13.453125" style="78" customWidth="1"/>
    <col min="36" max="38" width="12.54296875" style="78" customWidth="1"/>
    <col min="39" max="59" width="13.453125" style="78" customWidth="1"/>
    <col min="60" max="60" width="8.453125" style="249" customWidth="1"/>
    <col min="61" max="62" width="11.54296875" style="78" customWidth="1"/>
    <col min="63" max="63" width="11.54296875" style="138" customWidth="1"/>
    <col min="64" max="64" width="11.54296875" style="78" customWidth="1"/>
    <col min="65" max="69" width="12.54296875" style="78" customWidth="1"/>
    <col min="70" max="74" width="13.453125" style="78" customWidth="1"/>
    <col min="75" max="75" width="14.453125" style="78" customWidth="1"/>
    <col min="76" max="16384" width="11.7265625" style="8"/>
  </cols>
  <sheetData>
    <row r="1" spans="1:75" s="181" customFormat="1" ht="13" x14ac:dyDescent="0.3"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9"/>
      <c r="P1" s="170"/>
      <c r="Q1" s="170"/>
      <c r="R1" s="170"/>
      <c r="S1" s="170"/>
      <c r="T1" s="170"/>
      <c r="U1" s="170"/>
      <c r="V1" s="170"/>
      <c r="W1" s="182"/>
      <c r="X1" s="170"/>
      <c r="Y1" s="170"/>
      <c r="Z1" s="170"/>
      <c r="AA1" s="182"/>
      <c r="AB1" s="170"/>
      <c r="AC1" s="170"/>
      <c r="AD1" s="170"/>
      <c r="AE1" s="182"/>
      <c r="AF1" s="183"/>
      <c r="AG1" s="183"/>
      <c r="AH1" s="183"/>
      <c r="AI1" s="182"/>
      <c r="AJ1" s="183"/>
      <c r="AK1" s="183"/>
      <c r="AL1" s="183"/>
      <c r="AM1" s="183"/>
      <c r="AN1" s="183"/>
      <c r="AO1" s="183"/>
      <c r="AP1" s="183"/>
      <c r="AQ1" s="309"/>
      <c r="AR1" s="309"/>
      <c r="AS1" s="310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I1" s="170"/>
      <c r="BJ1" s="179"/>
      <c r="BK1" s="170"/>
      <c r="BL1" s="170"/>
      <c r="BM1" s="170"/>
      <c r="BN1" s="170"/>
      <c r="BO1" s="170"/>
      <c r="BP1" s="183"/>
      <c r="BQ1" s="183"/>
      <c r="BR1" s="183"/>
      <c r="BS1" s="183"/>
      <c r="BT1" s="183"/>
      <c r="BU1" s="183"/>
      <c r="BV1" s="183"/>
      <c r="BW1" s="183"/>
    </row>
    <row r="2" spans="1:75" s="181" customFormat="1" ht="18.5" x14ac:dyDescent="0.45">
      <c r="B2" s="184" t="str">
        <f>IF(Control!$D$5=1,"Income Statement","Demonstrativo de Resultados")</f>
        <v>Income Statement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85"/>
      <c r="P2" s="171"/>
      <c r="Q2" s="171"/>
      <c r="R2" s="171"/>
      <c r="S2" s="171"/>
      <c r="T2" s="171"/>
      <c r="U2" s="171"/>
      <c r="V2" s="171"/>
      <c r="W2" s="186"/>
      <c r="X2" s="171"/>
      <c r="Y2" s="171"/>
      <c r="Z2" s="171"/>
      <c r="AA2" s="186"/>
      <c r="AB2" s="171"/>
      <c r="AC2" s="171"/>
      <c r="AD2" s="171"/>
      <c r="AE2" s="186"/>
      <c r="AF2" s="187"/>
      <c r="AG2" s="187"/>
      <c r="AH2" s="187"/>
      <c r="AI2" s="186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71"/>
      <c r="BJ2" s="185"/>
      <c r="BK2" s="171"/>
      <c r="BL2" s="171"/>
      <c r="BM2" s="171"/>
      <c r="BN2" s="171"/>
      <c r="BO2" s="171"/>
      <c r="BP2" s="187"/>
      <c r="BQ2" s="187"/>
      <c r="BR2" s="187"/>
      <c r="BS2" s="187"/>
      <c r="BT2" s="187"/>
      <c r="BU2" s="187"/>
      <c r="BV2" s="187"/>
      <c r="BW2" s="187"/>
    </row>
    <row r="3" spans="1:75" s="181" customFormat="1" x14ac:dyDescent="0.35">
      <c r="B3" s="188" t="str">
        <f>IF(Control!$D$5=1,"Consolidated Financials","Consolidado")</f>
        <v>Consolidated Financials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82"/>
      <c r="X3" s="172"/>
      <c r="Y3" s="172"/>
      <c r="Z3" s="172"/>
      <c r="AA3" s="182"/>
      <c r="AB3" s="172"/>
      <c r="AC3" s="172"/>
      <c r="AD3" s="172"/>
      <c r="AE3" s="182"/>
      <c r="AF3" s="183"/>
      <c r="AG3" s="183"/>
      <c r="AH3" s="183"/>
      <c r="AI3" s="182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72"/>
      <c r="BJ3" s="172"/>
      <c r="BK3" s="172"/>
      <c r="BL3" s="172"/>
      <c r="BM3" s="172"/>
      <c r="BN3" s="172"/>
      <c r="BO3" s="172"/>
      <c r="BP3" s="183"/>
      <c r="BQ3" s="183"/>
      <c r="BR3" s="183"/>
      <c r="BS3" s="183"/>
      <c r="BT3" s="183"/>
      <c r="BU3" s="183"/>
      <c r="BV3" s="183"/>
      <c r="BW3" s="183"/>
    </row>
    <row r="4" spans="1:75" s="181" customFormat="1" ht="21" x14ac:dyDescent="0.5">
      <c r="C4" s="170"/>
      <c r="D4" s="18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9"/>
      <c r="P4" s="170"/>
      <c r="Q4" s="170"/>
      <c r="R4" s="170"/>
      <c r="S4" s="170"/>
      <c r="T4" s="170"/>
      <c r="U4" s="170"/>
      <c r="V4" s="170"/>
      <c r="W4" s="189"/>
      <c r="X4" s="170"/>
      <c r="Y4" s="170"/>
      <c r="Z4" s="170"/>
      <c r="AA4" s="189"/>
      <c r="AB4" s="170"/>
      <c r="AC4" s="170"/>
      <c r="AD4" s="170"/>
      <c r="AE4" s="189"/>
      <c r="AF4" s="190"/>
      <c r="AG4" s="190"/>
      <c r="AH4" s="190"/>
      <c r="AI4" s="189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I4" s="170"/>
      <c r="BJ4" s="179"/>
      <c r="BK4" s="170"/>
      <c r="BL4" s="170"/>
      <c r="BM4" s="170"/>
      <c r="BN4" s="170"/>
      <c r="BO4" s="170"/>
      <c r="BP4" s="190"/>
      <c r="BQ4" s="190"/>
      <c r="BR4" s="190"/>
      <c r="BS4" s="190"/>
      <c r="BT4" s="190"/>
      <c r="BU4" s="190"/>
      <c r="BV4" s="190"/>
      <c r="BW4" s="190"/>
    </row>
    <row r="5" spans="1:75" s="23" customFormat="1" x14ac:dyDescent="0.35">
      <c r="A5" s="80"/>
      <c r="B5" s="30" t="str">
        <f>IF(Control!$D$5=1,"FINANCIAL STATEMENTS","DEMONSTRATIVOS FINANCEIROS")</f>
        <v>FINANCIAL STATEMENTS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30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</row>
    <row r="6" spans="1:75" s="23" customFormat="1" x14ac:dyDescent="0.35">
      <c r="A6" s="80"/>
      <c r="B6" s="30" t="str">
        <f>IF(Control!D4=1,"In "&amp;TEXT(Control!D8,0)&amp;" "&amp;TEXT(Control!D9,0)&amp;", except where noted","Em "&amp;TEXT(Control!D8,0)&amp;" "&amp;TEXT(Control!D7,0)&amp;", exceto se especificado")</f>
        <v>Em millions R$, exceto se especificado</v>
      </c>
      <c r="C6" s="74" t="str">
        <f>IF(Control!$D$5=1,"1Q08","1T08")</f>
        <v>1Q08</v>
      </c>
      <c r="D6" s="111" t="s">
        <v>6</v>
      </c>
      <c r="E6" s="111" t="s">
        <v>7</v>
      </c>
      <c r="F6" s="111" t="str">
        <f>IF(Control!$D$5=1,"4Q08","4T08")</f>
        <v>4Q08</v>
      </c>
      <c r="G6" s="74" t="str">
        <f>IF(Control!$D$5=1,"1Q09","1T09")</f>
        <v>1Q09</v>
      </c>
      <c r="H6" s="111" t="str">
        <f>IF(Control!$D$5=1,"2Q09","2T09")</f>
        <v>2Q09</v>
      </c>
      <c r="I6" s="111" t="str">
        <f>IF(Control!$D$5=1,"3Q09","3T09")</f>
        <v>3Q09</v>
      </c>
      <c r="J6" s="111" t="str">
        <f>IF(Control!$D$5=1,"4Q09","4T09")</f>
        <v>4Q09</v>
      </c>
      <c r="K6" s="111" t="str">
        <f>IF(Control!$D$5=1,"1Q10","1T10")</f>
        <v>1Q10</v>
      </c>
      <c r="L6" s="111" t="str">
        <f>IF(Control!$D$5=1,"2Q10","2T10")</f>
        <v>2Q10</v>
      </c>
      <c r="M6" s="111" t="str">
        <f>IF(Control!$D$5=1,"3Q10","3T10")</f>
        <v>3Q10</v>
      </c>
      <c r="N6" s="111" t="str">
        <f>IF(Control!$D$5=1,"4Q10","4T10")</f>
        <v>4Q10</v>
      </c>
      <c r="O6" s="74" t="str">
        <f>IF(Control!$D$5=1,"1Q11","1T11")</f>
        <v>1Q11</v>
      </c>
      <c r="P6" s="111" t="str">
        <f>IF(Control!$D$5=1,"2Q11","2T11")</f>
        <v>2Q11</v>
      </c>
      <c r="Q6" s="111" t="str">
        <f>IF(Control!$D$5=1,"3Q11","3T11")</f>
        <v>3Q11</v>
      </c>
      <c r="R6" s="111" t="str">
        <f>IF(Control!$D$5=1,"4Q11","4T11")</f>
        <v>4Q11</v>
      </c>
      <c r="S6" s="74" t="str">
        <f>IF(Control!$D$5=1,"1Q12","1T12")</f>
        <v>1Q12</v>
      </c>
      <c r="T6" s="111" t="str">
        <f>IF(Control!$D$5=1,"2Q12","2T12")</f>
        <v>2Q12</v>
      </c>
      <c r="U6" s="111" t="str">
        <f>IF(Control!$D$5=1,"3Q12","3T12")</f>
        <v>3Q12</v>
      </c>
      <c r="V6" s="111" t="str">
        <f>IF(Control!$D$5=1,"4Q12","4T12")</f>
        <v>4Q12</v>
      </c>
      <c r="W6" s="74" t="str">
        <f>IF(Control!$D$5=1,"1Q13","1T13")</f>
        <v>1Q13</v>
      </c>
      <c r="X6" s="111" t="str">
        <f>IF(Control!$D$5=1,"2Q13","2T13")</f>
        <v>2Q13</v>
      </c>
      <c r="Y6" s="111" t="str">
        <f>IF(Control!$D$5=1,"3Q13","3T13")</f>
        <v>3Q13</v>
      </c>
      <c r="Z6" s="111" t="str">
        <f>IF(Control!$D$5=1,"4Q13","4T13")</f>
        <v>4Q13</v>
      </c>
      <c r="AA6" s="74" t="str">
        <f>IF(Control!$D$5=1,"1Q14","1T14")</f>
        <v>1Q14</v>
      </c>
      <c r="AB6" s="111" t="str">
        <f>IF(Control!$D$5=1,"2Q14","2T14")</f>
        <v>2Q14</v>
      </c>
      <c r="AC6" s="111" t="str">
        <f>IF(Control!$D$5=1,"3Q14","3T14")</f>
        <v>3Q14</v>
      </c>
      <c r="AD6" s="111" t="str">
        <f>IF(Control!$D$5=1,"4Q14","4T14")</f>
        <v>4Q14</v>
      </c>
      <c r="AE6" s="111" t="str">
        <f>IF(Control!$D$5=1,"1Q15","1T15")</f>
        <v>1Q15</v>
      </c>
      <c r="AF6" s="111" t="str">
        <f>IF(Control!$D$5=1,"2Q15","2T15")</f>
        <v>2Q15</v>
      </c>
      <c r="AG6" s="111" t="str">
        <f>IF(Control!$D$5=1,"3Q15","3T15")</f>
        <v>3Q15</v>
      </c>
      <c r="AH6" s="111" t="str">
        <f>IF(Control!$D$5=1,"4Q15","4T15")</f>
        <v>4Q15</v>
      </c>
      <c r="AI6" s="111" t="str">
        <f>IF(Control!$D$5=1,"1Q16","1T16")</f>
        <v>1Q16</v>
      </c>
      <c r="AJ6" s="111" t="str">
        <f>IF(Control!$D$5=1,"2Q16","2T16")</f>
        <v>2Q16</v>
      </c>
      <c r="AK6" s="111" t="str">
        <f>IF(Control!$D$5=1,"3Q16","3T16")</f>
        <v>3Q16</v>
      </c>
      <c r="AL6" s="111" t="str">
        <f>IF(Control!$D$5=1,"4Q16","4T16")</f>
        <v>4Q16</v>
      </c>
      <c r="AM6" s="111" t="str">
        <f>IF(Control!$D$5=1,"1Q17","1T17")</f>
        <v>1Q17</v>
      </c>
      <c r="AN6" s="111" t="str">
        <f>IF(Control!$D$5=1,"2Q17","2T17")</f>
        <v>2Q17</v>
      </c>
      <c r="AO6" s="111" t="str">
        <f>IF(Control!$D$5=1,"3Q17","3T17")</f>
        <v>3Q17</v>
      </c>
      <c r="AP6" s="111" t="str">
        <f>IF(Control!$D$5=1,"4Q17","4T17")</f>
        <v>4Q17</v>
      </c>
      <c r="AQ6" s="111" t="str">
        <f>IF(Control!$D$5=1,"1Q18","1T18")</f>
        <v>1Q18</v>
      </c>
      <c r="AR6" s="111" t="str">
        <f>IF(Control!$D$5=1,"2Q18","2T18")</f>
        <v>2Q18</v>
      </c>
      <c r="AS6" s="111" t="str">
        <f>IF(Control!$D$5=1,"3Q18","3T18")</f>
        <v>3Q18</v>
      </c>
      <c r="AT6" s="111" t="str">
        <f>IF(Control!$D$5=1,"4Q18","4T18")</f>
        <v>4Q18</v>
      </c>
      <c r="AU6" s="111" t="str">
        <f>IF(Control!$D$5=1,"1Q19","1T19")</f>
        <v>1Q19</v>
      </c>
      <c r="AV6" s="111" t="str">
        <f>IF(Control!$D$5=1,"2Q19","2T19")</f>
        <v>2Q19</v>
      </c>
      <c r="AW6" s="111" t="str">
        <f>IF(Control!$D$5=1,"3Q19","3T19")</f>
        <v>3Q19</v>
      </c>
      <c r="AX6" s="111" t="str">
        <f>IF(Control!$D$5=1,"4Q19","4T19")</f>
        <v>4Q19</v>
      </c>
      <c r="AY6" s="111" t="str">
        <f>IF(Control!$D$5=1,"1Q20","1T20")</f>
        <v>1Q20</v>
      </c>
      <c r="AZ6" s="111" t="str">
        <f>IF(Control!$D$5=1,"2Q20","2T20")</f>
        <v>2Q20</v>
      </c>
      <c r="BA6" s="111" t="str">
        <f>IF(Control!$D$5=1,"3Q20","3T20")</f>
        <v>3Q20</v>
      </c>
      <c r="BB6" s="111" t="str">
        <f>IF(Control!$D$5=1,"4Q20","4T20")</f>
        <v>4Q20</v>
      </c>
      <c r="BC6" s="111" t="str">
        <f>IF(Control!$D$5=1,"1Q21","1T21")</f>
        <v>1Q21</v>
      </c>
      <c r="BD6" s="111" t="str">
        <f>IF(Control!$D$5=1,"2Q21","2T21")</f>
        <v>2Q21</v>
      </c>
      <c r="BE6" s="111" t="str">
        <f>IF(Control!$D$5=1,"3Q21","3T21")</f>
        <v>3Q21</v>
      </c>
      <c r="BF6" s="111" t="str">
        <f>IF(Control!$D$5=1,"4Q21","4T21")</f>
        <v>4Q21</v>
      </c>
      <c r="BG6" s="111" t="str">
        <f>IF(Control!$D$5=1,"1Q22","1T22")</f>
        <v>1Q22</v>
      </c>
      <c r="BH6" s="80"/>
      <c r="BI6" s="111" t="str">
        <f>IF(Control!$D$5=1,"12M07","12M07")</f>
        <v>12M07</v>
      </c>
      <c r="BJ6" s="111" t="str">
        <f>IF(Control!$D$5=1,"12M08","12M08")</f>
        <v>12M08</v>
      </c>
      <c r="BK6" s="111" t="str">
        <f>IF(Control!$D$5=1,"12M09","12M09")</f>
        <v>12M09</v>
      </c>
      <c r="BL6" s="111" t="str">
        <f>IF(Control!$D$5=1,"12M10","12M10")</f>
        <v>12M10</v>
      </c>
      <c r="BM6" s="111" t="str">
        <f>IF(Control!$D$5=1,"11M11","11M11")</f>
        <v>11M11</v>
      </c>
      <c r="BN6" s="111" t="str">
        <f>IF(Control!$D$5=1,"12M12","12M12")</f>
        <v>12M12</v>
      </c>
      <c r="BO6" s="111" t="str">
        <f>IF(Control!$D$5=1,"12M13","12M13")</f>
        <v>12M13</v>
      </c>
      <c r="BP6" s="111" t="str">
        <f>IF(Control!$D$5=1,"12M14","12M14")</f>
        <v>12M14</v>
      </c>
      <c r="BQ6" s="111" t="str">
        <f>IF(Control!$D$5=1,"12M15","12M15")</f>
        <v>12M15</v>
      </c>
      <c r="BR6" s="111" t="s">
        <v>5</v>
      </c>
      <c r="BS6" s="111" t="s">
        <v>8</v>
      </c>
      <c r="BT6" s="111" t="s">
        <v>12</v>
      </c>
      <c r="BU6" s="111" t="s">
        <v>16</v>
      </c>
      <c r="BV6" s="111" t="s">
        <v>17</v>
      </c>
      <c r="BW6" s="111" t="s">
        <v>20</v>
      </c>
    </row>
    <row r="7" spans="1:75" s="79" customFormat="1" x14ac:dyDescent="0.35">
      <c r="A7" s="247"/>
      <c r="B7" s="30" t="str">
        <f>IF(Control!$D$5=1,"Closing Date","Data Fechamento")</f>
        <v>Closing Date</v>
      </c>
      <c r="C7" s="74">
        <v>39599</v>
      </c>
      <c r="D7" s="74">
        <v>39691</v>
      </c>
      <c r="E7" s="74">
        <v>39782</v>
      </c>
      <c r="F7" s="74">
        <f>BJ7</f>
        <v>39872</v>
      </c>
      <c r="G7" s="74">
        <v>39964</v>
      </c>
      <c r="H7" s="74">
        <v>40056</v>
      </c>
      <c r="I7" s="74">
        <v>40147</v>
      </c>
      <c r="J7" s="74">
        <f>BK7</f>
        <v>40237</v>
      </c>
      <c r="K7" s="74">
        <v>40329</v>
      </c>
      <c r="L7" s="74">
        <v>40421</v>
      </c>
      <c r="M7" s="74">
        <v>40512</v>
      </c>
      <c r="N7" s="74">
        <v>40602</v>
      </c>
      <c r="O7" s="74">
        <v>40694</v>
      </c>
      <c r="P7" s="74">
        <v>40786</v>
      </c>
      <c r="Q7" s="74">
        <v>40877</v>
      </c>
      <c r="R7" s="74">
        <v>40967</v>
      </c>
      <c r="S7" s="74">
        <v>41060</v>
      </c>
      <c r="T7" s="74">
        <v>41152</v>
      </c>
      <c r="U7" s="74">
        <v>41243</v>
      </c>
      <c r="V7" s="74">
        <v>41333</v>
      </c>
      <c r="W7" s="74">
        <v>41425</v>
      </c>
      <c r="X7" s="74">
        <v>41517</v>
      </c>
      <c r="Y7" s="74">
        <v>41608</v>
      </c>
      <c r="Z7" s="74">
        <v>41698</v>
      </c>
      <c r="AA7" s="74">
        <v>41790</v>
      </c>
      <c r="AB7" s="74">
        <v>41882</v>
      </c>
      <c r="AC7" s="74">
        <v>41973</v>
      </c>
      <c r="AD7" s="74">
        <v>42063</v>
      </c>
      <c r="AE7" s="74">
        <v>42155</v>
      </c>
      <c r="AF7" s="74">
        <v>42247</v>
      </c>
      <c r="AG7" s="74">
        <v>42338</v>
      </c>
      <c r="AH7" s="74">
        <v>42428</v>
      </c>
      <c r="AI7" s="74">
        <v>42521</v>
      </c>
      <c r="AJ7" s="74">
        <v>42613</v>
      </c>
      <c r="AK7" s="74">
        <v>42704</v>
      </c>
      <c r="AL7" s="74">
        <v>42794</v>
      </c>
      <c r="AM7" s="74">
        <v>42886</v>
      </c>
      <c r="AN7" s="74">
        <v>42978</v>
      </c>
      <c r="AO7" s="74">
        <v>43069</v>
      </c>
      <c r="AP7" s="74">
        <v>43159</v>
      </c>
      <c r="AQ7" s="74">
        <v>43251</v>
      </c>
      <c r="AR7" s="74">
        <v>43343</v>
      </c>
      <c r="AS7" s="74">
        <v>43434</v>
      </c>
      <c r="AT7" s="74">
        <v>43524</v>
      </c>
      <c r="AU7" s="74">
        <v>43616</v>
      </c>
      <c r="AV7" s="74">
        <v>43708</v>
      </c>
      <c r="AW7" s="74">
        <v>43799</v>
      </c>
      <c r="AX7" s="74">
        <v>43890</v>
      </c>
      <c r="AY7" s="74">
        <v>43982</v>
      </c>
      <c r="AZ7" s="74">
        <v>44074</v>
      </c>
      <c r="BA7" s="74">
        <v>44165</v>
      </c>
      <c r="BB7" s="74">
        <v>44255</v>
      </c>
      <c r="BC7" s="74">
        <v>44347</v>
      </c>
      <c r="BD7" s="74">
        <v>44439</v>
      </c>
      <c r="BE7" s="74">
        <v>44530</v>
      </c>
      <c r="BF7" s="74">
        <v>44620</v>
      </c>
      <c r="BG7" s="74">
        <v>44712</v>
      </c>
      <c r="BH7" s="247"/>
      <c r="BI7" s="74">
        <v>39506</v>
      </c>
      <c r="BJ7" s="74">
        <v>39872</v>
      </c>
      <c r="BK7" s="74">
        <v>40237</v>
      </c>
      <c r="BL7" s="74">
        <f>N7</f>
        <v>40602</v>
      </c>
      <c r="BM7" s="74">
        <f>R7</f>
        <v>40967</v>
      </c>
      <c r="BN7" s="74">
        <v>41333</v>
      </c>
      <c r="BO7" s="74">
        <v>41698</v>
      </c>
      <c r="BP7" s="74">
        <v>42063</v>
      </c>
      <c r="BQ7" s="74">
        <v>42429</v>
      </c>
      <c r="BR7" s="74">
        <v>42794</v>
      </c>
      <c r="BS7" s="74">
        <v>43159</v>
      </c>
      <c r="BT7" s="74">
        <v>43524</v>
      </c>
      <c r="BU7" s="74">
        <v>43890</v>
      </c>
      <c r="BV7" s="74">
        <v>44255</v>
      </c>
      <c r="BW7" s="74">
        <v>44620</v>
      </c>
    </row>
    <row r="8" spans="1:75" ht="3" customHeight="1" x14ac:dyDescent="0.35">
      <c r="B8" s="15"/>
      <c r="C8" s="77"/>
      <c r="D8" s="173"/>
      <c r="E8" s="173"/>
      <c r="F8" s="112"/>
      <c r="G8" s="112"/>
      <c r="H8" s="112"/>
      <c r="I8" s="112"/>
      <c r="J8" s="112"/>
      <c r="K8" s="158"/>
      <c r="L8" s="173"/>
      <c r="M8" s="173"/>
      <c r="N8" s="112"/>
      <c r="O8" s="77"/>
      <c r="P8" s="112"/>
      <c r="Q8" s="112"/>
      <c r="R8" s="112"/>
      <c r="S8" s="77"/>
      <c r="T8" s="112"/>
      <c r="U8" s="112"/>
      <c r="V8" s="112"/>
      <c r="W8" s="112"/>
      <c r="X8" s="112"/>
      <c r="Y8" s="112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I8" s="112"/>
      <c r="BJ8" s="112"/>
      <c r="BK8" s="173"/>
      <c r="BL8" s="112"/>
      <c r="BM8" s="75"/>
      <c r="BN8" s="75"/>
      <c r="BO8" s="75"/>
      <c r="BP8" s="75"/>
      <c r="BQ8" s="82"/>
      <c r="BR8" s="82"/>
      <c r="BS8" s="82"/>
      <c r="BT8" s="82"/>
      <c r="BU8" s="82"/>
      <c r="BV8" s="82"/>
      <c r="BW8" s="82"/>
    </row>
    <row r="9" spans="1:75" s="24" customFormat="1" x14ac:dyDescent="0.35">
      <c r="A9" s="147"/>
      <c r="B9" s="32" t="str">
        <f>IF(Control!$D$5=1,"Gross Revenues","Receita Bruta")</f>
        <v>Gross Revenues</v>
      </c>
      <c r="C9" s="84">
        <v>340.31700000000001</v>
      </c>
      <c r="D9" s="113">
        <v>432.964</v>
      </c>
      <c r="E9" s="113">
        <v>454.57099999999997</v>
      </c>
      <c r="F9" s="113">
        <v>442.05500000000006</v>
      </c>
      <c r="G9" s="84">
        <v>395.291</v>
      </c>
      <c r="H9" s="113">
        <v>361.24299999999999</v>
      </c>
      <c r="I9" s="113">
        <v>337.57299999999998</v>
      </c>
      <c r="J9" s="113">
        <v>362.49300000000005</v>
      </c>
      <c r="K9" s="93">
        <v>398.52</v>
      </c>
      <c r="L9" s="174">
        <v>400.39899999999994</v>
      </c>
      <c r="M9" s="174">
        <v>407.15500000000009</v>
      </c>
      <c r="N9" s="113">
        <v>366.21000000000004</v>
      </c>
      <c r="O9" s="84">
        <v>411.35300000000001</v>
      </c>
      <c r="P9" s="113">
        <v>474.35399999999993</v>
      </c>
      <c r="Q9" s="113">
        <v>545.36099999999999</v>
      </c>
      <c r="R9" s="113">
        <v>553.22900000000016</v>
      </c>
      <c r="S9" s="84">
        <v>663.12600000000009</v>
      </c>
      <c r="T9" s="113">
        <v>678.62799999999993</v>
      </c>
      <c r="U9" s="113">
        <v>945.70799999999997</v>
      </c>
      <c r="V9" s="113">
        <v>917.06399999999985</v>
      </c>
      <c r="W9" s="84">
        <v>978.2109999999999</v>
      </c>
      <c r="X9" s="174">
        <v>1022.8110000000001</v>
      </c>
      <c r="Y9" s="174">
        <v>1041.3499999999999</v>
      </c>
      <c r="Z9" s="113">
        <v>1042.9690000000001</v>
      </c>
      <c r="AA9" s="84">
        <v>1051.566</v>
      </c>
      <c r="AB9" s="113">
        <v>1019.4969999999998</v>
      </c>
      <c r="AC9" s="113">
        <v>1062.3009999999999</v>
      </c>
      <c r="AD9" s="113">
        <v>1059.1440000000002</v>
      </c>
      <c r="AE9" s="84">
        <v>1105.098</v>
      </c>
      <c r="AF9" s="113">
        <v>1169.8779999999999</v>
      </c>
      <c r="AG9" s="113">
        <v>1306.4860000000003</v>
      </c>
      <c r="AH9" s="113">
        <v>1301.5450000000001</v>
      </c>
      <c r="AI9" s="84">
        <v>1310.5250000000001</v>
      </c>
      <c r="AJ9" s="113">
        <v>1468.4229999999998</v>
      </c>
      <c r="AK9" s="113">
        <v>1475.9</v>
      </c>
      <c r="AL9" s="113">
        <v>1471.0429999999999</v>
      </c>
      <c r="AM9" s="84">
        <v>1427.4079999999999</v>
      </c>
      <c r="AN9" s="113">
        <v>1341.37</v>
      </c>
      <c r="AO9" s="113">
        <v>1350.451</v>
      </c>
      <c r="AP9" s="113">
        <v>1316.1710000000003</v>
      </c>
      <c r="AQ9" s="174">
        <v>1177.8999999999999</v>
      </c>
      <c r="AR9" s="174">
        <v>1323.6</v>
      </c>
      <c r="AS9" s="174">
        <v>1463.1</v>
      </c>
      <c r="AT9" s="174">
        <v>1538.3000000000002</v>
      </c>
      <c r="AU9" s="174">
        <v>1455.5</v>
      </c>
      <c r="AV9" s="174">
        <v>1402.643</v>
      </c>
      <c r="AW9" s="174">
        <v>1656.1589999999999</v>
      </c>
      <c r="AX9" s="174">
        <v>1736.8989999999999</v>
      </c>
      <c r="AY9" s="174">
        <v>1967.1489999999999</v>
      </c>
      <c r="AZ9" s="174">
        <v>2160.87</v>
      </c>
      <c r="BA9" s="174">
        <v>2256.6399209800002</v>
      </c>
      <c r="BB9" s="174">
        <v>2111.4059999999999</v>
      </c>
      <c r="BC9" s="174">
        <v>2573.4070000000002</v>
      </c>
      <c r="BD9" s="174">
        <v>2515.2539999999999</v>
      </c>
      <c r="BE9" s="174">
        <v>2589.54</v>
      </c>
      <c r="BF9" s="174">
        <v>2583.1350000000002</v>
      </c>
      <c r="BG9" s="174">
        <v>2751.1760000000004</v>
      </c>
      <c r="BH9" s="313"/>
      <c r="BI9" s="113">
        <v>1016.124</v>
      </c>
      <c r="BJ9" s="113">
        <v>1669.9069999999999</v>
      </c>
      <c r="BK9" s="174">
        <v>1456.6</v>
      </c>
      <c r="BL9" s="84">
        <v>1572.2840000000001</v>
      </c>
      <c r="BM9" s="84">
        <v>1984.297</v>
      </c>
      <c r="BN9" s="84">
        <v>3204.5259999999998</v>
      </c>
      <c r="BO9" s="84">
        <v>4085.3409999999999</v>
      </c>
      <c r="BP9" s="84">
        <v>4192.5079999999998</v>
      </c>
      <c r="BQ9" s="84">
        <v>4883.0070000000005</v>
      </c>
      <c r="BR9" s="84">
        <v>5725.8909999999996</v>
      </c>
      <c r="BS9" s="84">
        <v>5435.4000000000005</v>
      </c>
      <c r="BT9" s="84">
        <v>5502.9</v>
      </c>
      <c r="BU9" s="84">
        <v>6251.2009999999991</v>
      </c>
      <c r="BV9" s="84">
        <v>8496.0660000000007</v>
      </c>
      <c r="BW9" s="84">
        <v>10261.335999999999</v>
      </c>
    </row>
    <row r="10" spans="1:75" s="147" customFormat="1" hidden="1" outlineLevel="1" x14ac:dyDescent="0.35">
      <c r="B10" s="266"/>
      <c r="C10" s="270"/>
      <c r="D10" s="115"/>
      <c r="E10" s="115"/>
      <c r="F10" s="115"/>
      <c r="G10" s="270"/>
      <c r="H10" s="115"/>
      <c r="I10" s="115"/>
      <c r="J10" s="115"/>
      <c r="K10" s="270"/>
      <c r="L10" s="115"/>
      <c r="M10" s="115"/>
      <c r="N10" s="115"/>
      <c r="O10" s="271"/>
      <c r="P10" s="115"/>
      <c r="Q10" s="115"/>
      <c r="R10" s="115"/>
      <c r="S10" s="271"/>
      <c r="T10" s="115"/>
      <c r="U10" s="115"/>
      <c r="V10" s="115"/>
      <c r="W10" s="115"/>
      <c r="X10" s="115"/>
      <c r="Y10" s="115"/>
      <c r="Z10" s="115"/>
      <c r="AA10" s="94"/>
      <c r="AB10" s="115"/>
      <c r="AC10" s="115"/>
      <c r="AD10" s="115"/>
      <c r="AE10" s="94"/>
      <c r="AF10" s="115"/>
      <c r="AG10" s="115"/>
      <c r="AH10" s="115"/>
      <c r="AI10" s="270"/>
      <c r="AJ10" s="115"/>
      <c r="AK10" s="115"/>
      <c r="AL10" s="115"/>
      <c r="AM10" s="270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313"/>
      <c r="BI10" s="115"/>
      <c r="BJ10" s="115"/>
      <c r="BK10" s="115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</row>
    <row r="11" spans="1:75" s="147" customFormat="1" hidden="1" outlineLevel="1" x14ac:dyDescent="0.35">
      <c r="B11" s="266"/>
      <c r="C11" s="94"/>
      <c r="D11" s="115"/>
      <c r="E11" s="115"/>
      <c r="F11" s="115"/>
      <c r="G11" s="94"/>
      <c r="H11" s="115"/>
      <c r="I11" s="115"/>
      <c r="J11" s="115"/>
      <c r="K11" s="94"/>
      <c r="L11" s="115"/>
      <c r="M11" s="115"/>
      <c r="N11" s="115"/>
      <c r="O11" s="94"/>
      <c r="P11" s="115"/>
      <c r="Q11" s="115"/>
      <c r="R11" s="115"/>
      <c r="S11" s="94"/>
      <c r="T11" s="115"/>
      <c r="U11" s="115"/>
      <c r="V11" s="115"/>
      <c r="W11" s="115"/>
      <c r="X11" s="115"/>
      <c r="Y11" s="115"/>
      <c r="Z11" s="115"/>
      <c r="AA11" s="94"/>
      <c r="AB11" s="115"/>
      <c r="AC11" s="115"/>
      <c r="AD11" s="115"/>
      <c r="AE11" s="94"/>
      <c r="AF11" s="115"/>
      <c r="AG11" s="115"/>
      <c r="AH11" s="115"/>
      <c r="AI11" s="94"/>
      <c r="AJ11" s="115"/>
      <c r="AK11" s="115"/>
      <c r="AL11" s="115"/>
      <c r="AM11" s="94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313"/>
      <c r="BI11" s="115"/>
      <c r="BJ11" s="115"/>
      <c r="BK11" s="115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</row>
    <row r="12" spans="1:75" s="25" customFormat="1" collapsed="1" x14ac:dyDescent="0.35">
      <c r="A12" s="127"/>
      <c r="B12" s="33" t="str">
        <f>IF(Control!$D$5=1,"(-) Sales Deductions","(-) Deduções de Vendas")</f>
        <v>(-) Sales Deductions</v>
      </c>
      <c r="C12" s="88">
        <v>-39.594999999999999</v>
      </c>
      <c r="D12" s="115">
        <v>-20.635999999999999</v>
      </c>
      <c r="E12" s="115">
        <v>-15.599</v>
      </c>
      <c r="F12" s="114">
        <f>BJ12-E12-D12-C12</f>
        <v>-80.855999999999995</v>
      </c>
      <c r="G12" s="114">
        <f t="shared" ref="G12:AO12" si="0">SUM(G13:G14)</f>
        <v>-33.894000000000005</v>
      </c>
      <c r="H12" s="114">
        <f t="shared" si="0"/>
        <v>-36.281000000000006</v>
      </c>
      <c r="I12" s="114">
        <f t="shared" si="0"/>
        <v>-37.484999999999999</v>
      </c>
      <c r="J12" s="114">
        <f t="shared" si="0"/>
        <v>-35.789000000000001</v>
      </c>
      <c r="K12" s="114">
        <f t="shared" si="0"/>
        <v>-42.41</v>
      </c>
      <c r="L12" s="114">
        <f t="shared" si="0"/>
        <v>-37.649000000000001</v>
      </c>
      <c r="M12" s="114">
        <f t="shared" si="0"/>
        <v>-45.796999999999997</v>
      </c>
      <c r="N12" s="114">
        <f t="shared" si="0"/>
        <v>-39.713999999999984</v>
      </c>
      <c r="O12" s="114">
        <f t="shared" si="0"/>
        <v>-40.579000000000001</v>
      </c>
      <c r="P12" s="114">
        <f t="shared" si="0"/>
        <v>-48.512999999999998</v>
      </c>
      <c r="Q12" s="114">
        <f t="shared" si="0"/>
        <v>-52.406999999999996</v>
      </c>
      <c r="R12" s="114">
        <f t="shared" si="0"/>
        <v>-59.060000000000016</v>
      </c>
      <c r="S12" s="114">
        <f t="shared" si="0"/>
        <v>-77.864000000000004</v>
      </c>
      <c r="T12" s="114">
        <f t="shared" si="0"/>
        <v>-75.224999999999994</v>
      </c>
      <c r="U12" s="114">
        <f t="shared" si="0"/>
        <v>-129.62700000000001</v>
      </c>
      <c r="V12" s="114">
        <f t="shared" si="0"/>
        <v>-145.59300000000002</v>
      </c>
      <c r="W12" s="114">
        <f t="shared" si="0"/>
        <v>-125.125</v>
      </c>
      <c r="X12" s="114">
        <f t="shared" si="0"/>
        <v>-129.98000000000002</v>
      </c>
      <c r="Y12" s="114">
        <f t="shared" si="0"/>
        <v>-126.89999999999999</v>
      </c>
      <c r="Z12" s="114">
        <f t="shared" si="0"/>
        <v>-121.773</v>
      </c>
      <c r="AA12" s="114">
        <f t="shared" si="0"/>
        <v>-126.411</v>
      </c>
      <c r="AB12" s="114">
        <f t="shared" si="0"/>
        <v>-124.154</v>
      </c>
      <c r="AC12" s="114">
        <f t="shared" si="0"/>
        <v>-131.614</v>
      </c>
      <c r="AD12" s="114">
        <f t="shared" si="0"/>
        <v>-134.54700000000003</v>
      </c>
      <c r="AE12" s="114">
        <f t="shared" si="0"/>
        <v>-143.35599999999999</v>
      </c>
      <c r="AF12" s="114">
        <f t="shared" si="0"/>
        <v>-145.40300000000002</v>
      </c>
      <c r="AG12" s="114">
        <f t="shared" si="0"/>
        <v>-162.67999999999995</v>
      </c>
      <c r="AH12" s="114">
        <f t="shared" si="0"/>
        <v>-202.61900000000003</v>
      </c>
      <c r="AI12" s="114">
        <f t="shared" si="0"/>
        <v>-174.30799999999999</v>
      </c>
      <c r="AJ12" s="114">
        <f t="shared" si="0"/>
        <v>-195.35200000000003</v>
      </c>
      <c r="AK12" s="114">
        <f>SUM(AK13:AK14)</f>
        <v>-199.76799999999997</v>
      </c>
      <c r="AL12" s="114">
        <f t="shared" si="0"/>
        <v>-208.733</v>
      </c>
      <c r="AM12" s="114">
        <f t="shared" si="0"/>
        <v>-201.84899999999999</v>
      </c>
      <c r="AN12" s="114">
        <f t="shared" si="0"/>
        <v>-179.48500000000001</v>
      </c>
      <c r="AO12" s="114">
        <f t="shared" si="0"/>
        <v>-191.28799999999995</v>
      </c>
      <c r="AP12" s="114">
        <f>SUM(AP13:AP14)</f>
        <v>-199.77800000000002</v>
      </c>
      <c r="AQ12" s="114">
        <f>SUM(AQ13:AQ14)</f>
        <v>-173.5</v>
      </c>
      <c r="AR12" s="114">
        <f>SUM(AR13:AR14)</f>
        <v>-178</v>
      </c>
      <c r="AS12" s="114">
        <f t="shared" ref="AS12:AX12" si="1">SUM(AS13:AS14)</f>
        <v>-196.3</v>
      </c>
      <c r="AT12" s="114">
        <f t="shared" si="1"/>
        <v>-206.3</v>
      </c>
      <c r="AU12" s="114">
        <f t="shared" si="1"/>
        <v>-218.4</v>
      </c>
      <c r="AV12" s="114">
        <f t="shared" si="1"/>
        <v>-179.08799999999999</v>
      </c>
      <c r="AW12" s="114">
        <f t="shared" si="1"/>
        <v>-212.65</v>
      </c>
      <c r="AX12" s="114">
        <f t="shared" si="1"/>
        <v>-244.97800000000001</v>
      </c>
      <c r="AY12" s="114">
        <f t="shared" ref="AY12:BD12" si="2">SUM(AY13:AY14)</f>
        <v>-238.16500000000002</v>
      </c>
      <c r="AZ12" s="114">
        <f t="shared" si="2"/>
        <v>-248.262</v>
      </c>
      <c r="BA12" s="114">
        <f t="shared" si="2"/>
        <v>-262.82</v>
      </c>
      <c r="BB12" s="114">
        <f t="shared" si="2"/>
        <v>-280.839</v>
      </c>
      <c r="BC12" s="114">
        <f t="shared" si="2"/>
        <v>-316.245</v>
      </c>
      <c r="BD12" s="114">
        <f t="shared" si="2"/>
        <v>-296.72900000000004</v>
      </c>
      <c r="BE12" s="114">
        <v>-316.58299999999997</v>
      </c>
      <c r="BF12" s="114">
        <v>-315.93</v>
      </c>
      <c r="BG12" s="114">
        <v>-354.55099999999999</v>
      </c>
      <c r="BH12" s="313"/>
      <c r="BI12" s="114">
        <v>-151.816</v>
      </c>
      <c r="BJ12" s="114">
        <f t="shared" ref="BJ12:BR12" si="3">SUM(BJ13:BJ14)</f>
        <v>-156.68599999999998</v>
      </c>
      <c r="BK12" s="114">
        <f t="shared" si="3"/>
        <v>-143.44900000000001</v>
      </c>
      <c r="BL12" s="114">
        <f t="shared" si="3"/>
        <v>-165.57</v>
      </c>
      <c r="BM12" s="114">
        <f t="shared" si="3"/>
        <v>-200.559</v>
      </c>
      <c r="BN12" s="114">
        <f t="shared" si="3"/>
        <v>-428.30899999999997</v>
      </c>
      <c r="BO12" s="114">
        <f t="shared" si="3"/>
        <v>-503.77800000000002</v>
      </c>
      <c r="BP12" s="114">
        <f t="shared" si="3"/>
        <v>-516.726</v>
      </c>
      <c r="BQ12" s="114">
        <f t="shared" si="3"/>
        <v>-654.05799999999999</v>
      </c>
      <c r="BR12" s="114">
        <f t="shared" si="3"/>
        <v>-778.09999999999991</v>
      </c>
      <c r="BS12" s="114">
        <f>SUM(BS13:BS14)</f>
        <v>-772.4</v>
      </c>
      <c r="BT12" s="114">
        <f>SUM(BT13:BT14)</f>
        <v>-754.1</v>
      </c>
      <c r="BU12" s="114">
        <f>SUM(BU13:BU14)</f>
        <v>-855.11599999999999</v>
      </c>
      <c r="BV12" s="114">
        <f>SUM(BV13:BV14)</f>
        <v>-1030.087</v>
      </c>
      <c r="BW12" s="114">
        <v>-1245.4870000000001</v>
      </c>
    </row>
    <row r="13" spans="1:75" s="25" customFormat="1" x14ac:dyDescent="0.35">
      <c r="A13" s="127"/>
      <c r="B13" s="59" t="str">
        <f>IF(Control!$D$5=1,"Sales Taxes","Impostos sobre Vendas")</f>
        <v>Sales Taxes</v>
      </c>
      <c r="C13" s="115">
        <v>0</v>
      </c>
      <c r="D13" s="115">
        <v>0</v>
      </c>
      <c r="E13" s="115">
        <v>0</v>
      </c>
      <c r="F13" s="115">
        <v>0</v>
      </c>
      <c r="G13" s="88">
        <v>-16.652000000000001</v>
      </c>
      <c r="H13" s="114">
        <v>-16.582000000000001</v>
      </c>
      <c r="I13" s="114">
        <v>-15.951000000000001</v>
      </c>
      <c r="J13" s="114">
        <v>-16.543999999999997</v>
      </c>
      <c r="K13" s="94">
        <v>-17.207999999999998</v>
      </c>
      <c r="L13" s="115">
        <v>-19.017000000000003</v>
      </c>
      <c r="M13" s="115">
        <v>-20.039000000000001</v>
      </c>
      <c r="N13" s="114">
        <v>-17.178999999999995</v>
      </c>
      <c r="O13" s="88">
        <v>-18.497</v>
      </c>
      <c r="P13" s="114">
        <v>-23.228000000000002</v>
      </c>
      <c r="Q13" s="114">
        <v>-23.955999999999996</v>
      </c>
      <c r="R13" s="114">
        <v>-30.770000000000003</v>
      </c>
      <c r="S13" s="88">
        <v>-44.078000000000003</v>
      </c>
      <c r="T13" s="114">
        <v>-38.557999999999993</v>
      </c>
      <c r="U13" s="114">
        <v>-87.286000000000001</v>
      </c>
      <c r="V13" s="114">
        <v>-94.477000000000004</v>
      </c>
      <c r="W13" s="114">
        <v>-63.005000000000003</v>
      </c>
      <c r="X13" s="115">
        <v>-70.610000000000014</v>
      </c>
      <c r="Y13" s="115">
        <v>-60.097999999999985</v>
      </c>
      <c r="Z13" s="114">
        <v>-58.875999999999998</v>
      </c>
      <c r="AA13" s="88">
        <v>-62.262999999999998</v>
      </c>
      <c r="AB13" s="114">
        <v>-61.705999999999996</v>
      </c>
      <c r="AC13" s="114">
        <v>-68.525000000000006</v>
      </c>
      <c r="AD13" s="114">
        <v>-73.714000000000027</v>
      </c>
      <c r="AE13" s="88">
        <v>-70.478999999999999</v>
      </c>
      <c r="AF13" s="114">
        <v>-73.088000000000008</v>
      </c>
      <c r="AG13" s="114">
        <v>-86.257999999999967</v>
      </c>
      <c r="AH13" s="114">
        <v>-89.42</v>
      </c>
      <c r="AI13" s="88">
        <v>-85.313999999999993</v>
      </c>
      <c r="AJ13" s="114">
        <v>-97.111000000000018</v>
      </c>
      <c r="AK13" s="114">
        <v>-98.858000000000004</v>
      </c>
      <c r="AL13" s="114">
        <v>-102.63900000000001</v>
      </c>
      <c r="AM13" s="88">
        <v>-95.447000000000003</v>
      </c>
      <c r="AN13" s="114">
        <v>-85.942000000000007</v>
      </c>
      <c r="AO13" s="114">
        <v>-95.736999999999966</v>
      </c>
      <c r="AP13" s="114">
        <v>-90.274000000000001</v>
      </c>
      <c r="AQ13" s="115">
        <v>-76.800000000000011</v>
      </c>
      <c r="AR13" s="115">
        <v>-89.3</v>
      </c>
      <c r="AS13" s="115">
        <v>-93.7</v>
      </c>
      <c r="AT13" s="115">
        <v>-97.4</v>
      </c>
      <c r="AU13" s="115">
        <v>-97.2</v>
      </c>
      <c r="AV13" s="115">
        <v>-87.986999999999995</v>
      </c>
      <c r="AW13" s="115">
        <v>-102.846</v>
      </c>
      <c r="AX13" s="115">
        <v>-119.47199999999999</v>
      </c>
      <c r="AY13" s="115">
        <v>-117.23</v>
      </c>
      <c r="AZ13" s="115">
        <v>-124.505</v>
      </c>
      <c r="BA13" s="115">
        <v>-139.93</v>
      </c>
      <c r="BB13" s="115">
        <v>-132.268</v>
      </c>
      <c r="BC13" s="115">
        <v>-169.16</v>
      </c>
      <c r="BD13" s="115">
        <v>-160.15</v>
      </c>
      <c r="BE13" s="115">
        <v>-164.036</v>
      </c>
      <c r="BF13" s="115">
        <v>-152.136</v>
      </c>
      <c r="BG13" s="115">
        <v>-176.08099999999999</v>
      </c>
      <c r="BH13" s="313"/>
      <c r="BI13" s="115">
        <v>0</v>
      </c>
      <c r="BJ13" s="114">
        <v>-80.412999999999997</v>
      </c>
      <c r="BK13" s="115">
        <v>-65.728999999999999</v>
      </c>
      <c r="BL13" s="88">
        <v>-73.442999999999998</v>
      </c>
      <c r="BM13" s="88">
        <v>-96.450999999999993</v>
      </c>
      <c r="BN13" s="88">
        <v>-264.399</v>
      </c>
      <c r="BO13" s="88">
        <v>-252.589</v>
      </c>
      <c r="BP13" s="88">
        <v>-266.20800000000003</v>
      </c>
      <c r="BQ13" s="88">
        <v>-319.245</v>
      </c>
      <c r="BR13" s="88">
        <v>-383.9</v>
      </c>
      <c r="BS13" s="88">
        <v>-367.4</v>
      </c>
      <c r="BT13" s="94">
        <v>-357.20000000000005</v>
      </c>
      <c r="BU13" s="94">
        <v>-407.505</v>
      </c>
      <c r="BV13" s="94">
        <v>-513.93299999999999</v>
      </c>
      <c r="BW13" s="94">
        <v>-645.48199999999997</v>
      </c>
    </row>
    <row r="14" spans="1:75" s="25" customFormat="1" x14ac:dyDescent="0.35">
      <c r="A14" s="127"/>
      <c r="B14" s="59" t="str">
        <f>IF(Control!$D$5=1,"Returns and Rebates","Devoluções e Abatimentos")</f>
        <v>Returns and Rebates</v>
      </c>
      <c r="C14" s="115">
        <v>0</v>
      </c>
      <c r="D14" s="115">
        <v>0</v>
      </c>
      <c r="E14" s="115">
        <v>0</v>
      </c>
      <c r="F14" s="115">
        <v>0</v>
      </c>
      <c r="G14" s="88">
        <v>-17.242000000000001</v>
      </c>
      <c r="H14" s="114">
        <v>-19.699000000000002</v>
      </c>
      <c r="I14" s="114">
        <v>-21.533999999999995</v>
      </c>
      <c r="J14" s="114">
        <v>-19.245000000000008</v>
      </c>
      <c r="K14" s="94">
        <v>-25.202000000000002</v>
      </c>
      <c r="L14" s="115">
        <v>-18.632000000000001</v>
      </c>
      <c r="M14" s="115">
        <v>-25.757999999999992</v>
      </c>
      <c r="N14" s="114">
        <v>-22.534999999999993</v>
      </c>
      <c r="O14" s="88">
        <v>-22.082000000000001</v>
      </c>
      <c r="P14" s="114">
        <v>-25.284999999999997</v>
      </c>
      <c r="Q14" s="114">
        <v>-28.451000000000001</v>
      </c>
      <c r="R14" s="114">
        <v>-28.290000000000013</v>
      </c>
      <c r="S14" s="88">
        <v>-33.786000000000001</v>
      </c>
      <c r="T14" s="114">
        <v>-36.667000000000002</v>
      </c>
      <c r="U14" s="114">
        <v>-42.340999999999994</v>
      </c>
      <c r="V14" s="114">
        <v>-51.116</v>
      </c>
      <c r="W14" s="114">
        <v>-62.12</v>
      </c>
      <c r="X14" s="115">
        <v>-59.37</v>
      </c>
      <c r="Y14" s="115">
        <v>-66.802000000000007</v>
      </c>
      <c r="Z14" s="114">
        <v>-62.896999999999998</v>
      </c>
      <c r="AA14" s="88">
        <v>-64.147999999999996</v>
      </c>
      <c r="AB14" s="114">
        <v>-62.448000000000008</v>
      </c>
      <c r="AC14" s="114">
        <v>-63.088999999999999</v>
      </c>
      <c r="AD14" s="114">
        <v>-60.832999999999998</v>
      </c>
      <c r="AE14" s="88">
        <v>-72.876999999999995</v>
      </c>
      <c r="AF14" s="114">
        <v>-72.315000000000012</v>
      </c>
      <c r="AG14" s="114">
        <v>-76.421999999999983</v>
      </c>
      <c r="AH14" s="114">
        <v>-113.19900000000003</v>
      </c>
      <c r="AI14" s="88">
        <v>-88.994</v>
      </c>
      <c r="AJ14" s="114">
        <v>-98.241000000000014</v>
      </c>
      <c r="AK14" s="114">
        <v>-100.90999999999997</v>
      </c>
      <c r="AL14" s="114">
        <v>-106.09399999999999</v>
      </c>
      <c r="AM14" s="88">
        <v>-106.402</v>
      </c>
      <c r="AN14" s="114">
        <v>-93.542999999999992</v>
      </c>
      <c r="AO14" s="114">
        <v>-95.550999999999988</v>
      </c>
      <c r="AP14" s="114">
        <v>-109.50400000000002</v>
      </c>
      <c r="AQ14" s="115">
        <v>-96.7</v>
      </c>
      <c r="AR14" s="115">
        <v>-88.7</v>
      </c>
      <c r="AS14" s="115">
        <v>-102.6</v>
      </c>
      <c r="AT14" s="115">
        <v>-108.9</v>
      </c>
      <c r="AU14" s="115">
        <v>-121.2</v>
      </c>
      <c r="AV14" s="115">
        <v>-91.100999999999999</v>
      </c>
      <c r="AW14" s="115">
        <v>-109.804</v>
      </c>
      <c r="AX14" s="115">
        <v>-125.506</v>
      </c>
      <c r="AY14" s="115">
        <v>-120.935</v>
      </c>
      <c r="AZ14" s="115">
        <v>-123.75700000000001</v>
      </c>
      <c r="BA14" s="115">
        <v>-122.89</v>
      </c>
      <c r="BB14" s="115">
        <v>-148.571</v>
      </c>
      <c r="BC14" s="115">
        <v>-147.08500000000001</v>
      </c>
      <c r="BD14" s="115">
        <v>-136.57900000000001</v>
      </c>
      <c r="BE14" s="115">
        <v>-152.547</v>
      </c>
      <c r="BF14" s="115">
        <v>-163.79400000000001</v>
      </c>
      <c r="BG14" s="115">
        <v>-178.47</v>
      </c>
      <c r="BH14" s="313"/>
      <c r="BI14" s="115">
        <v>0</v>
      </c>
      <c r="BJ14" s="114">
        <v>-76.272999999999996</v>
      </c>
      <c r="BK14" s="115">
        <v>-77.72</v>
      </c>
      <c r="BL14" s="88">
        <v>-92.126999999999995</v>
      </c>
      <c r="BM14" s="88">
        <v>-104.108</v>
      </c>
      <c r="BN14" s="88">
        <v>-163.91</v>
      </c>
      <c r="BO14" s="88">
        <v>-251.18899999999999</v>
      </c>
      <c r="BP14" s="88">
        <v>-250.518</v>
      </c>
      <c r="BQ14" s="88">
        <v>-334.81299999999999</v>
      </c>
      <c r="BR14" s="88">
        <v>-394.2</v>
      </c>
      <c r="BS14" s="88">
        <v>-405</v>
      </c>
      <c r="BT14" s="94">
        <v>-396.9</v>
      </c>
      <c r="BU14" s="94">
        <v>-447.61099999999999</v>
      </c>
      <c r="BV14" s="94">
        <v>-516.154</v>
      </c>
      <c r="BW14" s="94">
        <v>-600.005</v>
      </c>
    </row>
    <row r="15" spans="1:75" s="23" customFormat="1" x14ac:dyDescent="0.35">
      <c r="A15" s="80"/>
      <c r="B15" s="37" t="str">
        <f>IF(Control!$D$5=1,"Net Revenues","Receita Líquida")</f>
        <v>Net Revenues</v>
      </c>
      <c r="C15" s="84">
        <f>+C9+C12</f>
        <v>300.72199999999998</v>
      </c>
      <c r="D15" s="84">
        <f>+D9+D12</f>
        <v>412.32799999999997</v>
      </c>
      <c r="E15" s="84">
        <f t="shared" ref="E15:N15" si="4">+E9+E12</f>
        <v>438.97199999999998</v>
      </c>
      <c r="F15" s="84">
        <f t="shared" si="4"/>
        <v>361.19900000000007</v>
      </c>
      <c r="G15" s="84">
        <f t="shared" si="4"/>
        <v>361.39699999999999</v>
      </c>
      <c r="H15" s="113">
        <f t="shared" si="4"/>
        <v>324.96199999999999</v>
      </c>
      <c r="I15" s="113">
        <f t="shared" si="4"/>
        <v>300.08799999999997</v>
      </c>
      <c r="J15" s="113">
        <f t="shared" si="4"/>
        <v>326.70400000000006</v>
      </c>
      <c r="K15" s="93">
        <f t="shared" si="4"/>
        <v>356.11</v>
      </c>
      <c r="L15" s="174">
        <f t="shared" si="4"/>
        <v>362.74999999999994</v>
      </c>
      <c r="M15" s="174">
        <f t="shared" si="4"/>
        <v>361.35800000000006</v>
      </c>
      <c r="N15" s="113">
        <f t="shared" si="4"/>
        <v>326.49600000000004</v>
      </c>
      <c r="O15" s="84">
        <f t="shared" ref="O15:AM15" si="5">+O9+O12</f>
        <v>370.774</v>
      </c>
      <c r="P15" s="113">
        <f t="shared" si="5"/>
        <v>425.84099999999995</v>
      </c>
      <c r="Q15" s="113">
        <f t="shared" si="5"/>
        <v>492.95400000000001</v>
      </c>
      <c r="R15" s="113">
        <f t="shared" si="5"/>
        <v>494.16900000000015</v>
      </c>
      <c r="S15" s="84">
        <f t="shared" si="5"/>
        <v>585.26200000000006</v>
      </c>
      <c r="T15" s="113">
        <f t="shared" si="5"/>
        <v>603.40299999999991</v>
      </c>
      <c r="U15" s="113">
        <f t="shared" si="5"/>
        <v>816.0809999999999</v>
      </c>
      <c r="V15" s="113">
        <f t="shared" si="5"/>
        <v>771.47099999999978</v>
      </c>
      <c r="W15" s="113">
        <f t="shared" si="5"/>
        <v>853.0859999999999</v>
      </c>
      <c r="X15" s="174">
        <f t="shared" si="5"/>
        <v>892.83100000000013</v>
      </c>
      <c r="Y15" s="174">
        <f t="shared" si="5"/>
        <v>914.44999999999993</v>
      </c>
      <c r="Z15" s="113">
        <f t="shared" si="5"/>
        <v>921.19600000000003</v>
      </c>
      <c r="AA15" s="84">
        <f t="shared" si="5"/>
        <v>925.15499999999997</v>
      </c>
      <c r="AB15" s="113">
        <f t="shared" si="5"/>
        <v>895.34299999999985</v>
      </c>
      <c r="AC15" s="113">
        <f t="shared" si="5"/>
        <v>930.6869999999999</v>
      </c>
      <c r="AD15" s="113">
        <f t="shared" si="5"/>
        <v>924.59700000000021</v>
      </c>
      <c r="AE15" s="84">
        <f t="shared" si="5"/>
        <v>961.74199999999996</v>
      </c>
      <c r="AF15" s="113">
        <f t="shared" si="5"/>
        <v>1024.4749999999999</v>
      </c>
      <c r="AG15" s="113">
        <f t="shared" si="5"/>
        <v>1143.8060000000005</v>
      </c>
      <c r="AH15" s="113">
        <f t="shared" si="5"/>
        <v>1098.9259999999999</v>
      </c>
      <c r="AI15" s="84">
        <f t="shared" si="5"/>
        <v>1136.2170000000001</v>
      </c>
      <c r="AJ15" s="113">
        <f t="shared" si="5"/>
        <v>1273.0709999999997</v>
      </c>
      <c r="AK15" s="113">
        <f t="shared" si="5"/>
        <v>1276.1320000000001</v>
      </c>
      <c r="AL15" s="113">
        <f t="shared" si="5"/>
        <v>1262.31</v>
      </c>
      <c r="AM15" s="84">
        <f t="shared" si="5"/>
        <v>1225.559</v>
      </c>
      <c r="AN15" s="113">
        <f t="shared" ref="AN15:AS15" si="6">+AN9+AN12</f>
        <v>1161.8849999999998</v>
      </c>
      <c r="AO15" s="113">
        <f t="shared" si="6"/>
        <v>1159.163</v>
      </c>
      <c r="AP15" s="113">
        <f t="shared" si="6"/>
        <v>1116.3930000000003</v>
      </c>
      <c r="AQ15" s="174">
        <f t="shared" si="6"/>
        <v>1004.3999999999999</v>
      </c>
      <c r="AR15" s="174">
        <f t="shared" si="6"/>
        <v>1145.5999999999999</v>
      </c>
      <c r="AS15" s="174">
        <f t="shared" si="6"/>
        <v>1266.8</v>
      </c>
      <c r="AT15" s="174">
        <f t="shared" ref="AT15:AY15" si="7">+AT9+AT12</f>
        <v>1332.0000000000002</v>
      </c>
      <c r="AU15" s="174">
        <f t="shared" si="7"/>
        <v>1237.0999999999999</v>
      </c>
      <c r="AV15" s="174">
        <f t="shared" si="7"/>
        <v>1223.5550000000001</v>
      </c>
      <c r="AW15" s="174">
        <f t="shared" si="7"/>
        <v>1443.5089999999998</v>
      </c>
      <c r="AX15" s="174">
        <f t="shared" si="7"/>
        <v>1491.9209999999998</v>
      </c>
      <c r="AY15" s="174">
        <f t="shared" si="7"/>
        <v>1728.9839999999999</v>
      </c>
      <c r="AZ15" s="174">
        <f t="shared" ref="AZ15:BF15" si="8">+AZ9+AZ12</f>
        <v>1912.6079999999999</v>
      </c>
      <c r="BA15" s="174">
        <f t="shared" si="8"/>
        <v>1993.8199209800002</v>
      </c>
      <c r="BB15" s="174">
        <f t="shared" si="8"/>
        <v>1830.567</v>
      </c>
      <c r="BC15" s="174">
        <f t="shared" si="8"/>
        <v>2257.1620000000003</v>
      </c>
      <c r="BD15" s="174">
        <f t="shared" si="8"/>
        <v>2218.5249999999996</v>
      </c>
      <c r="BE15" s="174">
        <f t="shared" si="8"/>
        <v>2272.9569999999999</v>
      </c>
      <c r="BF15" s="174">
        <f t="shared" si="8"/>
        <v>2267.2050000000004</v>
      </c>
      <c r="BG15" s="174">
        <v>2396.6250000000005</v>
      </c>
      <c r="BH15" s="313"/>
      <c r="BI15" s="113">
        <f t="shared" ref="BI15:BR15" si="9">+BI9+BI12</f>
        <v>864.30799999999999</v>
      </c>
      <c r="BJ15" s="113">
        <f t="shared" si="9"/>
        <v>1513.221</v>
      </c>
      <c r="BK15" s="174">
        <f t="shared" si="9"/>
        <v>1313.1509999999998</v>
      </c>
      <c r="BL15" s="84">
        <f t="shared" si="9"/>
        <v>1406.7140000000002</v>
      </c>
      <c r="BM15" s="84">
        <f t="shared" si="9"/>
        <v>1783.7380000000001</v>
      </c>
      <c r="BN15" s="84">
        <f t="shared" si="9"/>
        <v>2776.2169999999996</v>
      </c>
      <c r="BO15" s="84">
        <f t="shared" si="9"/>
        <v>3581.5630000000001</v>
      </c>
      <c r="BP15" s="84">
        <f t="shared" si="9"/>
        <v>3675.7819999999997</v>
      </c>
      <c r="BQ15" s="84">
        <f t="shared" si="9"/>
        <v>4228.9490000000005</v>
      </c>
      <c r="BR15" s="84">
        <f t="shared" si="9"/>
        <v>4947.7909999999993</v>
      </c>
      <c r="BS15" s="84">
        <f>+BS9+BS12</f>
        <v>4663.0000000000009</v>
      </c>
      <c r="BT15" s="84">
        <f>+BT9+BT12</f>
        <v>4748.7999999999993</v>
      </c>
      <c r="BU15" s="84">
        <f>+BU9+BU12</f>
        <v>5396.0849999999991</v>
      </c>
      <c r="BV15" s="84">
        <f>+BV9+BV12</f>
        <v>7465.9790000000012</v>
      </c>
      <c r="BW15" s="84">
        <f>+BW9+BW12</f>
        <v>9015.8489999999983</v>
      </c>
    </row>
    <row r="16" spans="1:75" s="25" customFormat="1" x14ac:dyDescent="0.35">
      <c r="A16" s="127"/>
      <c r="B16" s="38" t="str">
        <f>IF(Control!$D$5=1,"(-) Cost of Sales and Services","(-) Custo das Vendas e Serviços")</f>
        <v>(-) Cost of Sales and Services</v>
      </c>
      <c r="C16" s="88">
        <v>-209.047</v>
      </c>
      <c r="D16" s="115">
        <v>-310.851</v>
      </c>
      <c r="E16" s="115">
        <v>-352.87599999999998</v>
      </c>
      <c r="F16" s="114">
        <v>-293.36099999999999</v>
      </c>
      <c r="G16" s="88">
        <v>-272.48500000000001</v>
      </c>
      <c r="H16" s="114">
        <v>-250.173</v>
      </c>
      <c r="I16" s="114">
        <v>-233.65700000000004</v>
      </c>
      <c r="J16" s="114">
        <v>-257.61999999999989</v>
      </c>
      <c r="K16" s="94">
        <v>-264.98399999999998</v>
      </c>
      <c r="L16" s="115">
        <v>-275.28500000000003</v>
      </c>
      <c r="M16" s="115">
        <v>-275.43900000000002</v>
      </c>
      <c r="N16" s="114">
        <v>-249.9919999999999</v>
      </c>
      <c r="O16" s="88">
        <v>-262.63600000000002</v>
      </c>
      <c r="P16" s="114">
        <v>-299.73599999999993</v>
      </c>
      <c r="Q16" s="114">
        <v>-368.68</v>
      </c>
      <c r="R16" s="114">
        <v>-368.43199999999996</v>
      </c>
      <c r="S16" s="88">
        <v>-440.959</v>
      </c>
      <c r="T16" s="114">
        <v>-455.84499999999997</v>
      </c>
      <c r="U16" s="114">
        <v>-625.58799999999997</v>
      </c>
      <c r="V16" s="114">
        <v>-585.44399999999973</v>
      </c>
      <c r="W16" s="114">
        <v>-611.404</v>
      </c>
      <c r="X16" s="115">
        <v>-668.47500000000002</v>
      </c>
      <c r="Y16" s="115">
        <v>-716.25699999999995</v>
      </c>
      <c r="Z16" s="114">
        <v>-706.31800000000021</v>
      </c>
      <c r="AA16" s="88">
        <v>-688.68299999999999</v>
      </c>
      <c r="AB16" s="114">
        <v>-678.25600000000009</v>
      </c>
      <c r="AC16" s="114">
        <v>-723.65800000000013</v>
      </c>
      <c r="AD16" s="114">
        <v>-733.76799999999935</v>
      </c>
      <c r="AE16" s="88">
        <v>-728.02499999999998</v>
      </c>
      <c r="AF16" s="114">
        <v>-776.85700000000008</v>
      </c>
      <c r="AG16" s="114">
        <v>-865.19900000000018</v>
      </c>
      <c r="AH16" s="114">
        <v>-824.71900000000016</v>
      </c>
      <c r="AI16" s="88">
        <v>-842.35900000000004</v>
      </c>
      <c r="AJ16" s="114">
        <v>-920.14499999999987</v>
      </c>
      <c r="AK16" s="114">
        <v>-982.18600000000004</v>
      </c>
      <c r="AL16" s="114">
        <v>-981.90199999999993</v>
      </c>
      <c r="AM16" s="88">
        <v>-928.15899999999999</v>
      </c>
      <c r="AN16" s="114">
        <v>-879.63</v>
      </c>
      <c r="AO16" s="114">
        <v>-873.221</v>
      </c>
      <c r="AP16" s="114">
        <v>-831.48999999999978</v>
      </c>
      <c r="AQ16" s="115">
        <v>-741.1</v>
      </c>
      <c r="AR16" s="115">
        <v>-829.5</v>
      </c>
      <c r="AS16" s="115">
        <v>-946.9</v>
      </c>
      <c r="AT16" s="115">
        <v>-1009.6</v>
      </c>
      <c r="AU16" s="115">
        <v>-950.3</v>
      </c>
      <c r="AV16" s="115">
        <v>-939.89499999999998</v>
      </c>
      <c r="AW16" s="115">
        <v>-1100.8090000000002</v>
      </c>
      <c r="AX16" s="115">
        <v>-1154.252</v>
      </c>
      <c r="AY16" s="115">
        <v>-1315.3910000000001</v>
      </c>
      <c r="AZ16" s="115">
        <v>-1478.1379999999999</v>
      </c>
      <c r="BA16" s="115">
        <v>-1524.7180000000001</v>
      </c>
      <c r="BB16" s="115">
        <v>-1486.7470000000001</v>
      </c>
      <c r="BC16" s="115">
        <v>-1809.527</v>
      </c>
      <c r="BD16" s="115">
        <v>-1785.577</v>
      </c>
      <c r="BE16" s="115">
        <v>-1801.25</v>
      </c>
      <c r="BF16" s="115">
        <v>-1841.348</v>
      </c>
      <c r="BG16" s="115">
        <v>-1849.2349999999999</v>
      </c>
      <c r="BH16" s="313"/>
      <c r="BI16" s="114">
        <v>-633.28499999999997</v>
      </c>
      <c r="BJ16" s="114">
        <v>-1166.135</v>
      </c>
      <c r="BK16" s="115">
        <v>-1013.9349999999999</v>
      </c>
      <c r="BL16" s="88">
        <v>-1065.7</v>
      </c>
      <c r="BM16" s="88">
        <v>-1299.4839999999999</v>
      </c>
      <c r="BN16" s="88">
        <v>-2107.8359999999998</v>
      </c>
      <c r="BO16" s="88">
        <v>-2702.4540000000002</v>
      </c>
      <c r="BP16" s="88">
        <v>-2824.3649999999998</v>
      </c>
      <c r="BQ16" s="88">
        <v>-3194.8</v>
      </c>
      <c r="BR16" s="88">
        <v>-3726.5920000000001</v>
      </c>
      <c r="BS16" s="88">
        <v>-3512.5</v>
      </c>
      <c r="BT16" s="94">
        <v>-3527.1</v>
      </c>
      <c r="BU16" s="94">
        <v>-4145.2559999999994</v>
      </c>
      <c r="BV16" s="94">
        <v>-5804.9939999999997</v>
      </c>
      <c r="BW16" s="94">
        <v>-7237.7020000000002</v>
      </c>
    </row>
    <row r="17" spans="1:78" s="23" customFormat="1" x14ac:dyDescent="0.35">
      <c r="A17" s="80"/>
      <c r="B17" s="37" t="str">
        <f>IF(Control!$D$5=1,"Gross Profit","Lucro Bruto")</f>
        <v>Gross Profit</v>
      </c>
      <c r="C17" s="84">
        <f t="shared" ref="C17:N17" si="10">C15+C16</f>
        <v>91.674999999999983</v>
      </c>
      <c r="D17" s="84">
        <f t="shared" si="10"/>
        <v>101.47699999999998</v>
      </c>
      <c r="E17" s="84">
        <f t="shared" si="10"/>
        <v>86.096000000000004</v>
      </c>
      <c r="F17" s="84">
        <f t="shared" si="10"/>
        <v>67.838000000000079</v>
      </c>
      <c r="G17" s="84">
        <f t="shared" si="10"/>
        <v>88.911999999999978</v>
      </c>
      <c r="H17" s="113">
        <f t="shared" si="10"/>
        <v>74.788999999999987</v>
      </c>
      <c r="I17" s="113">
        <f t="shared" si="10"/>
        <v>66.430999999999926</v>
      </c>
      <c r="J17" s="113">
        <f t="shared" si="10"/>
        <v>69.084000000000174</v>
      </c>
      <c r="K17" s="93">
        <f t="shared" si="10"/>
        <v>91.126000000000033</v>
      </c>
      <c r="L17" s="174">
        <f t="shared" si="10"/>
        <v>87.464999999999918</v>
      </c>
      <c r="M17" s="174">
        <f t="shared" si="10"/>
        <v>85.91900000000004</v>
      </c>
      <c r="N17" s="113">
        <f t="shared" si="10"/>
        <v>76.504000000000133</v>
      </c>
      <c r="O17" s="84">
        <f>O15+O16</f>
        <v>108.13799999999998</v>
      </c>
      <c r="P17" s="113">
        <f t="shared" ref="P17:V17" si="11">P15+P16</f>
        <v>126.10500000000002</v>
      </c>
      <c r="Q17" s="113">
        <f t="shared" si="11"/>
        <v>124.274</v>
      </c>
      <c r="R17" s="113">
        <f t="shared" si="11"/>
        <v>125.73700000000019</v>
      </c>
      <c r="S17" s="84">
        <f t="shared" si="11"/>
        <v>144.30300000000005</v>
      </c>
      <c r="T17" s="113">
        <f t="shared" si="11"/>
        <v>147.55799999999994</v>
      </c>
      <c r="U17" s="113">
        <f t="shared" si="11"/>
        <v>190.49299999999994</v>
      </c>
      <c r="V17" s="113">
        <f t="shared" si="11"/>
        <v>186.02700000000004</v>
      </c>
      <c r="W17" s="113">
        <f t="shared" ref="W17:AM17" si="12">W15+W16</f>
        <v>241.6819999999999</v>
      </c>
      <c r="X17" s="174">
        <f t="shared" si="12"/>
        <v>224.35600000000011</v>
      </c>
      <c r="Y17" s="174">
        <f t="shared" si="12"/>
        <v>198.19299999999998</v>
      </c>
      <c r="Z17" s="113">
        <f t="shared" si="12"/>
        <v>214.87799999999982</v>
      </c>
      <c r="AA17" s="84">
        <f t="shared" si="12"/>
        <v>236.47199999999998</v>
      </c>
      <c r="AB17" s="113">
        <f t="shared" si="12"/>
        <v>217.08699999999976</v>
      </c>
      <c r="AC17" s="113">
        <f t="shared" si="12"/>
        <v>207.02899999999977</v>
      </c>
      <c r="AD17" s="113">
        <f t="shared" si="12"/>
        <v>190.82900000000086</v>
      </c>
      <c r="AE17" s="84">
        <f t="shared" si="12"/>
        <v>233.71699999999998</v>
      </c>
      <c r="AF17" s="113">
        <f t="shared" si="12"/>
        <v>247.61799999999982</v>
      </c>
      <c r="AG17" s="113">
        <f t="shared" si="12"/>
        <v>278.60700000000031</v>
      </c>
      <c r="AH17" s="113">
        <f t="shared" si="12"/>
        <v>274.20699999999977</v>
      </c>
      <c r="AI17" s="84">
        <f t="shared" si="12"/>
        <v>293.85800000000006</v>
      </c>
      <c r="AJ17" s="113">
        <f t="shared" si="12"/>
        <v>352.92599999999982</v>
      </c>
      <c r="AK17" s="113">
        <f t="shared" si="12"/>
        <v>293.94600000000003</v>
      </c>
      <c r="AL17" s="113">
        <f t="shared" si="12"/>
        <v>280.40800000000002</v>
      </c>
      <c r="AM17" s="84">
        <f t="shared" si="12"/>
        <v>297.39999999999998</v>
      </c>
      <c r="AN17" s="113">
        <f t="shared" ref="AN17:AS17" si="13">AN15+AN16</f>
        <v>282.25499999999977</v>
      </c>
      <c r="AO17" s="113">
        <f t="shared" si="13"/>
        <v>285.94200000000001</v>
      </c>
      <c r="AP17" s="113">
        <f t="shared" si="13"/>
        <v>284.90300000000047</v>
      </c>
      <c r="AQ17" s="174">
        <f t="shared" si="13"/>
        <v>263.29999999999984</v>
      </c>
      <c r="AR17" s="174">
        <f t="shared" si="13"/>
        <v>316.09999999999991</v>
      </c>
      <c r="AS17" s="174">
        <f t="shared" si="13"/>
        <v>319.89999999999998</v>
      </c>
      <c r="AT17" s="174">
        <f t="shared" ref="AT17:BF17" si="14">AT15+AT16</f>
        <v>322.4000000000002</v>
      </c>
      <c r="AU17" s="174">
        <f t="shared" si="14"/>
        <v>286.79999999999995</v>
      </c>
      <c r="AV17" s="174">
        <f t="shared" si="14"/>
        <v>283.66000000000008</v>
      </c>
      <c r="AW17" s="174">
        <f t="shared" si="14"/>
        <v>342.69999999999959</v>
      </c>
      <c r="AX17" s="174">
        <f t="shared" si="14"/>
        <v>337.66899999999987</v>
      </c>
      <c r="AY17" s="174">
        <f t="shared" si="14"/>
        <v>413.59299999999985</v>
      </c>
      <c r="AZ17" s="174">
        <f t="shared" si="14"/>
        <v>434.47</v>
      </c>
      <c r="BA17" s="174">
        <f t="shared" si="14"/>
        <v>469.10192098000016</v>
      </c>
      <c r="BB17" s="174">
        <f t="shared" si="14"/>
        <v>343.81999999999994</v>
      </c>
      <c r="BC17" s="174">
        <f t="shared" si="14"/>
        <v>447.63500000000022</v>
      </c>
      <c r="BD17" s="174">
        <f t="shared" si="14"/>
        <v>432.94799999999964</v>
      </c>
      <c r="BE17" s="174">
        <f t="shared" si="14"/>
        <v>471.70699999999988</v>
      </c>
      <c r="BF17" s="174">
        <f t="shared" si="14"/>
        <v>425.85700000000043</v>
      </c>
      <c r="BG17" s="174">
        <v>547.39000000000055</v>
      </c>
      <c r="BH17" s="313"/>
      <c r="BI17" s="113">
        <f t="shared" ref="BI17:BR17" si="15">BI15+BI16</f>
        <v>231.02300000000002</v>
      </c>
      <c r="BJ17" s="113">
        <f t="shared" si="15"/>
        <v>347.08600000000001</v>
      </c>
      <c r="BK17" s="174">
        <f t="shared" si="15"/>
        <v>299.21599999999989</v>
      </c>
      <c r="BL17" s="84">
        <f t="shared" si="15"/>
        <v>341.01400000000012</v>
      </c>
      <c r="BM17" s="84">
        <f t="shared" si="15"/>
        <v>484.25400000000013</v>
      </c>
      <c r="BN17" s="84">
        <f t="shared" si="15"/>
        <v>668.38099999999986</v>
      </c>
      <c r="BO17" s="84">
        <f t="shared" si="15"/>
        <v>879.10899999999992</v>
      </c>
      <c r="BP17" s="84">
        <f t="shared" si="15"/>
        <v>851.41699999999992</v>
      </c>
      <c r="BQ17" s="84">
        <f t="shared" si="15"/>
        <v>1034.1490000000003</v>
      </c>
      <c r="BR17" s="84">
        <f t="shared" si="15"/>
        <v>1221.1989999999992</v>
      </c>
      <c r="BS17" s="84">
        <f>BS15+BS16</f>
        <v>1150.5000000000009</v>
      </c>
      <c r="BT17" s="84">
        <f>BT15+BT16</f>
        <v>1221.6999999999994</v>
      </c>
      <c r="BU17" s="84">
        <f>BU15+BU16</f>
        <v>1250.8289999999997</v>
      </c>
      <c r="BV17" s="84">
        <f>BV15+BV16</f>
        <v>1660.9850000000015</v>
      </c>
      <c r="BW17" s="84">
        <f>BW15+BW16</f>
        <v>1778.1469999999981</v>
      </c>
    </row>
    <row r="18" spans="1:78" s="25" customFormat="1" x14ac:dyDescent="0.35">
      <c r="A18" s="125"/>
      <c r="B18" s="38" t="str">
        <f>IF(Control!$D$5=1,"(-) Selling Expenses","(-) Despesas com Vendas")</f>
        <v>(-) Selling Expenses</v>
      </c>
      <c r="C18" s="88">
        <v>-35.776000000000003</v>
      </c>
      <c r="D18" s="115">
        <v>-38.943999999999996</v>
      </c>
      <c r="E18" s="115">
        <v>-43.281999999999996</v>
      </c>
      <c r="F18" s="114">
        <v>-41.414999999999999</v>
      </c>
      <c r="G18" s="88">
        <v>-43.04</v>
      </c>
      <c r="H18" s="114">
        <v>-45.143999999999998</v>
      </c>
      <c r="I18" s="114">
        <v>-41.561</v>
      </c>
      <c r="J18" s="114">
        <v>-34.990999999999978</v>
      </c>
      <c r="K18" s="94">
        <v>-40.020000000000003</v>
      </c>
      <c r="L18" s="115">
        <v>-46.449999999999996</v>
      </c>
      <c r="M18" s="115">
        <v>-44.076000000000001</v>
      </c>
      <c r="N18" s="114">
        <v>-40.878000000000021</v>
      </c>
      <c r="O18" s="88">
        <v>-51.71</v>
      </c>
      <c r="P18" s="114">
        <v>-63.372999999999998</v>
      </c>
      <c r="Q18" s="114">
        <v>-65.459000000000003</v>
      </c>
      <c r="R18" s="114">
        <v>-62.786000000000008</v>
      </c>
      <c r="S18" s="88">
        <v>-70.605000000000004</v>
      </c>
      <c r="T18" s="114">
        <v>-72.17</v>
      </c>
      <c r="U18" s="114">
        <v>-87.678999999999988</v>
      </c>
      <c r="V18" s="114">
        <v>-87.469000000000008</v>
      </c>
      <c r="W18" s="114">
        <v>-104.605</v>
      </c>
      <c r="X18" s="115">
        <v>-108.345</v>
      </c>
      <c r="Y18" s="115">
        <v>-96.927999999999997</v>
      </c>
      <c r="Z18" s="114">
        <v>-103.509</v>
      </c>
      <c r="AA18" s="88">
        <v>-105.252</v>
      </c>
      <c r="AB18" s="114">
        <v>-100.038</v>
      </c>
      <c r="AC18" s="114">
        <v>-100.41299999999997</v>
      </c>
      <c r="AD18" s="114">
        <v>-96.396000000000029</v>
      </c>
      <c r="AE18" s="88">
        <v>-101.048</v>
      </c>
      <c r="AF18" s="114">
        <v>-109.33500000000001</v>
      </c>
      <c r="AG18" s="114">
        <v>-116.273</v>
      </c>
      <c r="AH18" s="114">
        <v>-117.77400000000003</v>
      </c>
      <c r="AI18" s="88">
        <v>-128.267</v>
      </c>
      <c r="AJ18" s="114">
        <v>-129.19600000000003</v>
      </c>
      <c r="AK18" s="114">
        <v>-115.28199999999998</v>
      </c>
      <c r="AL18" s="114">
        <v>-135.90899999999999</v>
      </c>
      <c r="AM18" s="88">
        <v>-133.38999999999999</v>
      </c>
      <c r="AN18" s="114">
        <v>-142.10000000000002</v>
      </c>
      <c r="AO18" s="114">
        <v>-129.601</v>
      </c>
      <c r="AP18" s="114">
        <v>-138.50900000000001</v>
      </c>
      <c r="AQ18" s="115">
        <v>-134.1</v>
      </c>
      <c r="AR18" s="115">
        <v>-153.4</v>
      </c>
      <c r="AS18" s="115">
        <v>-159.5</v>
      </c>
      <c r="AT18" s="115">
        <v>-184.1</v>
      </c>
      <c r="AU18" s="115">
        <v>-161.19999999999999</v>
      </c>
      <c r="AV18" s="115">
        <v>-148.767</v>
      </c>
      <c r="AW18" s="115">
        <v>-164.00400000000002</v>
      </c>
      <c r="AX18" s="115">
        <v>-168.959</v>
      </c>
      <c r="AY18" s="115">
        <v>-176.41399999999999</v>
      </c>
      <c r="AZ18" s="115">
        <v>-188.36500000000001</v>
      </c>
      <c r="BA18" s="115">
        <v>-177.68899999999999</v>
      </c>
      <c r="BB18" s="115">
        <v>-158.75399999999999</v>
      </c>
      <c r="BC18" s="115">
        <v>-187.22499999999999</v>
      </c>
      <c r="BD18" s="115">
        <v>-189.744</v>
      </c>
      <c r="BE18" s="115">
        <v>-205.76300000000001</v>
      </c>
      <c r="BF18" s="115">
        <v>-224.79300000000001</v>
      </c>
      <c r="BG18" s="115">
        <v>-233.40700000000001</v>
      </c>
      <c r="BH18" s="313"/>
      <c r="BI18" s="114">
        <v>-121.751</v>
      </c>
      <c r="BJ18" s="114">
        <v>-159.417</v>
      </c>
      <c r="BK18" s="115">
        <v>-164.73599999999999</v>
      </c>
      <c r="BL18" s="88">
        <v>-171.42400000000001</v>
      </c>
      <c r="BM18" s="88">
        <v>-243.328</v>
      </c>
      <c r="BN18" s="88">
        <v>-317.923</v>
      </c>
      <c r="BO18" s="88">
        <v>-413.387</v>
      </c>
      <c r="BP18" s="88">
        <v>-402.09899999999999</v>
      </c>
      <c r="BQ18" s="88">
        <v>-444.43</v>
      </c>
      <c r="BR18" s="88">
        <v>-508.654</v>
      </c>
      <c r="BS18" s="88">
        <v>-543.6</v>
      </c>
      <c r="BT18" s="94">
        <v>-631.1</v>
      </c>
      <c r="BU18" s="94">
        <v>-642.93000000000006</v>
      </c>
      <c r="BV18" s="94">
        <v>-701.22199999999998</v>
      </c>
      <c r="BW18" s="94">
        <v>-807.52499999999998</v>
      </c>
    </row>
    <row r="19" spans="1:78" s="25" customFormat="1" x14ac:dyDescent="0.35">
      <c r="A19" s="125"/>
      <c r="B19" s="38" t="str">
        <f>IF(Control!$D$5=1,"(-) G&amp;A Expenses","(-) Despesas Gerais e Administrativas")</f>
        <v>(-) G&amp;A Expenses</v>
      </c>
      <c r="C19" s="88">
        <v>-10.295000000000002</v>
      </c>
      <c r="D19" s="115">
        <v>-10.77</v>
      </c>
      <c r="E19" s="115">
        <v>-9.9789999999999992</v>
      </c>
      <c r="F19" s="114">
        <v>-12.001000000000001</v>
      </c>
      <c r="G19" s="88">
        <v>-10.627000000000001</v>
      </c>
      <c r="H19" s="114">
        <v>-10.887999999999996</v>
      </c>
      <c r="I19" s="114">
        <v>-9.7940000000000058</v>
      </c>
      <c r="J19" s="114">
        <v>-13.263999999999998</v>
      </c>
      <c r="K19" s="94">
        <v>-13.798999999999999</v>
      </c>
      <c r="L19" s="115">
        <v>-17.259</v>
      </c>
      <c r="M19" s="115">
        <v>-16.203000000000003</v>
      </c>
      <c r="N19" s="114">
        <v>-18.020999999999994</v>
      </c>
      <c r="O19" s="88">
        <v>-17.122</v>
      </c>
      <c r="P19" s="114">
        <v>-21.324999999999996</v>
      </c>
      <c r="Q19" s="114">
        <v>-23.746000000000009</v>
      </c>
      <c r="R19" s="114">
        <v>-34.214999999999996</v>
      </c>
      <c r="S19" s="88">
        <v>-27.692</v>
      </c>
      <c r="T19" s="114">
        <v>-21.359000000000002</v>
      </c>
      <c r="U19" s="114">
        <v>-31.296999999999997</v>
      </c>
      <c r="V19" s="114">
        <v>-44.275999999999989</v>
      </c>
      <c r="W19" s="114">
        <v>-39.692999999999998</v>
      </c>
      <c r="X19" s="115">
        <v>-46.963999999999999</v>
      </c>
      <c r="Y19" s="115">
        <v>-36.890999999999998</v>
      </c>
      <c r="Z19" s="114">
        <v>-38.584000000000017</v>
      </c>
      <c r="AA19" s="88">
        <v>-47.069000000000003</v>
      </c>
      <c r="AB19" s="114">
        <v>-43.893000000000001</v>
      </c>
      <c r="AC19" s="114">
        <v>-43.189999999999984</v>
      </c>
      <c r="AD19" s="114">
        <v>-39.755000000000038</v>
      </c>
      <c r="AE19" s="88">
        <v>-48.15</v>
      </c>
      <c r="AF19" s="114">
        <v>-49.991999999999997</v>
      </c>
      <c r="AG19" s="114">
        <v>-56.402999999999999</v>
      </c>
      <c r="AH19" s="114">
        <v>-72.536000000000001</v>
      </c>
      <c r="AI19" s="88">
        <v>-53.167000000000002</v>
      </c>
      <c r="AJ19" s="114">
        <v>-70.959999999999994</v>
      </c>
      <c r="AK19" s="114">
        <v>-54.509</v>
      </c>
      <c r="AL19" s="114">
        <v>-77.388000000000005</v>
      </c>
      <c r="AM19" s="88">
        <v>-61.578000000000003</v>
      </c>
      <c r="AN19" s="114">
        <v>-59.019999999999996</v>
      </c>
      <c r="AO19" s="114">
        <v>-58.517000000000003</v>
      </c>
      <c r="AP19" s="114">
        <v>-59.484999999999985</v>
      </c>
      <c r="AQ19" s="115">
        <v>-68.900000000000006</v>
      </c>
      <c r="AR19" s="115">
        <v>-73.5</v>
      </c>
      <c r="AS19" s="115">
        <v>-71.599999999999994</v>
      </c>
      <c r="AT19" s="115">
        <v>-78.900000000000006</v>
      </c>
      <c r="AU19" s="115">
        <v>-77.3</v>
      </c>
      <c r="AV19" s="115">
        <v>-78.885000000000005</v>
      </c>
      <c r="AW19" s="115">
        <v>-80.273000000000025</v>
      </c>
      <c r="AX19" s="115">
        <v>-75.069999999999993</v>
      </c>
      <c r="AY19" s="115">
        <v>-84.012</v>
      </c>
      <c r="AZ19" s="115">
        <v>-89.872</v>
      </c>
      <c r="BA19" s="115">
        <v>-96.757999999999996</v>
      </c>
      <c r="BB19" s="115">
        <v>-90.215999999999994</v>
      </c>
      <c r="BC19" s="115">
        <v>-109.021</v>
      </c>
      <c r="BD19" s="115">
        <v>-97.397999999999996</v>
      </c>
      <c r="BE19" s="115">
        <v>-114.09699999999999</v>
      </c>
      <c r="BF19" s="115">
        <v>-122.681</v>
      </c>
      <c r="BG19" s="115">
        <v>-125.499</v>
      </c>
      <c r="BH19" s="313"/>
      <c r="BI19" s="114">
        <v>-37.097000000000001</v>
      </c>
      <c r="BJ19" s="114">
        <v>-43.045000000000002</v>
      </c>
      <c r="BK19" s="115">
        <v>-44.573</v>
      </c>
      <c r="BL19" s="88">
        <v>-65.281999999999996</v>
      </c>
      <c r="BM19" s="88">
        <v>-96.408000000000001</v>
      </c>
      <c r="BN19" s="88">
        <v>-124.624</v>
      </c>
      <c r="BO19" s="88">
        <v>-162.13200000000001</v>
      </c>
      <c r="BP19" s="88">
        <v>-173.90700000000001</v>
      </c>
      <c r="BQ19" s="88">
        <v>-227.08099999999999</v>
      </c>
      <c r="BR19" s="88">
        <v>-256.024</v>
      </c>
      <c r="BS19" s="88">
        <v>-238.6</v>
      </c>
      <c r="BT19" s="94">
        <v>-292.89999999999998</v>
      </c>
      <c r="BU19" s="94">
        <v>-311.52800000000002</v>
      </c>
      <c r="BV19" s="94">
        <v>-360.858</v>
      </c>
      <c r="BW19" s="94">
        <v>-443.197</v>
      </c>
    </row>
    <row r="20" spans="1:78" s="25" customFormat="1" x14ac:dyDescent="0.35">
      <c r="A20" s="127"/>
      <c r="B20" s="38" t="str">
        <f>IF(Control!$D$5=1,"(+/-) Equity (Earnings)/Losses in Uncons. Subs.","(+/-) Resultado da Equivalência Patrimonial")</f>
        <v>(+/-) Equity (Earnings)/Losses in Uncons. Subs.</v>
      </c>
      <c r="C20" s="88">
        <v>-0.69799999999999995</v>
      </c>
      <c r="D20" s="115">
        <v>0.42299999999999999</v>
      </c>
      <c r="E20" s="115">
        <v>-0.151</v>
      </c>
      <c r="F20" s="114">
        <v>0.5129999999999999</v>
      </c>
      <c r="G20" s="88">
        <v>-0.48899999999999999</v>
      </c>
      <c r="H20" s="114">
        <v>0.249</v>
      </c>
      <c r="I20" s="114">
        <v>-3.8000000000000034E-2</v>
      </c>
      <c r="J20" s="114">
        <v>0.26400000000000001</v>
      </c>
      <c r="K20" s="94">
        <v>-0.45300000000000001</v>
      </c>
      <c r="L20" s="115">
        <v>-0.49899999999999994</v>
      </c>
      <c r="M20" s="115">
        <v>-0.2890000000000002</v>
      </c>
      <c r="N20" s="114">
        <v>1.1310000000000002</v>
      </c>
      <c r="O20" s="88">
        <v>-0.38300000000000001</v>
      </c>
      <c r="P20" s="114">
        <v>-0.23099999999999998</v>
      </c>
      <c r="Q20" s="114">
        <v>-0.378</v>
      </c>
      <c r="R20" s="114">
        <v>-0.16900000000000004</v>
      </c>
      <c r="S20" s="88">
        <v>0.255</v>
      </c>
      <c r="T20" s="114">
        <v>0.91299999999999992</v>
      </c>
      <c r="U20" s="114">
        <v>1.7190000000000003</v>
      </c>
      <c r="V20" s="114">
        <v>1.1439999999999997</v>
      </c>
      <c r="W20" s="114">
        <v>-0.36099999999999999</v>
      </c>
      <c r="X20" s="115">
        <v>0.437</v>
      </c>
      <c r="Y20" s="115">
        <v>-0.38200000000000001</v>
      </c>
      <c r="Z20" s="114">
        <v>-0.92900000000000005</v>
      </c>
      <c r="AA20" s="88">
        <v>-0.23300000000000001</v>
      </c>
      <c r="AB20" s="114">
        <v>0.64</v>
      </c>
      <c r="AC20" s="114">
        <v>-0.16500000000000001</v>
      </c>
      <c r="AD20" s="114">
        <v>-0.54500000000000004</v>
      </c>
      <c r="AE20" s="88">
        <v>-1.3029999999999999</v>
      </c>
      <c r="AF20" s="114">
        <v>0.17700000000000005</v>
      </c>
      <c r="AG20" s="114">
        <v>-2.4119999999999999</v>
      </c>
      <c r="AH20" s="114">
        <v>-2.1190000000000002</v>
      </c>
      <c r="AI20" s="88">
        <v>-0.996</v>
      </c>
      <c r="AJ20" s="114">
        <v>0.53600000000000003</v>
      </c>
      <c r="AK20" s="114">
        <v>-0.45100000000000007</v>
      </c>
      <c r="AL20" s="114">
        <v>1.6520000000000001</v>
      </c>
      <c r="AM20" s="88">
        <v>-0.875</v>
      </c>
      <c r="AN20" s="114">
        <v>0.41</v>
      </c>
      <c r="AO20" s="114">
        <v>-0.871</v>
      </c>
      <c r="AP20" s="114">
        <v>-0.56399999999999983</v>
      </c>
      <c r="AQ20" s="115">
        <v>-0.9</v>
      </c>
      <c r="AR20" s="115">
        <v>0.7</v>
      </c>
      <c r="AS20" s="115">
        <v>-0.30000000000000004</v>
      </c>
      <c r="AT20" s="115">
        <v>-0.4</v>
      </c>
      <c r="AU20" s="115">
        <v>-0.4</v>
      </c>
      <c r="AV20" s="115">
        <v>-1.837</v>
      </c>
      <c r="AW20" s="115">
        <v>-0.94500000000000028</v>
      </c>
      <c r="AX20" s="115">
        <v>2.5960000000000001</v>
      </c>
      <c r="AY20" s="115">
        <v>-0.14899999999999999</v>
      </c>
      <c r="AZ20" s="115">
        <v>0.10299999999999999</v>
      </c>
      <c r="BA20" s="115">
        <v>-1.4690000000000001</v>
      </c>
      <c r="BB20" s="115">
        <v>0.19800000000000001</v>
      </c>
      <c r="BC20" s="115">
        <v>8.6999999999999994E-2</v>
      </c>
      <c r="BD20" s="115">
        <v>0.32100000000000001</v>
      </c>
      <c r="BE20" s="115">
        <v>-0.159</v>
      </c>
      <c r="BF20" s="115">
        <v>-8.5000000000000006E-2</v>
      </c>
      <c r="BG20" s="115">
        <v>0.61399999999999999</v>
      </c>
      <c r="BH20" s="313"/>
      <c r="BI20" s="114">
        <v>0.78400000000000003</v>
      </c>
      <c r="BJ20" s="114">
        <v>8.6999999999999994E-2</v>
      </c>
      <c r="BK20" s="115">
        <v>-1.4E-2</v>
      </c>
      <c r="BL20" s="88">
        <v>-0.11</v>
      </c>
      <c r="BM20" s="88">
        <v>-1.161</v>
      </c>
      <c r="BN20" s="88">
        <v>4.0309999999999997</v>
      </c>
      <c r="BO20" s="88">
        <v>-1.2350000000000001</v>
      </c>
      <c r="BP20" s="88">
        <v>-0.30299999999999999</v>
      </c>
      <c r="BQ20" s="88">
        <v>-5.657</v>
      </c>
      <c r="BR20" s="88">
        <v>0.74099999999999999</v>
      </c>
      <c r="BS20" s="88">
        <v>-1.9</v>
      </c>
      <c r="BT20" s="94">
        <v>-0.90000000000000013</v>
      </c>
      <c r="BU20" s="94">
        <v>-0.5860000000000003</v>
      </c>
      <c r="BV20" s="94">
        <v>-1.3169999999999999</v>
      </c>
      <c r="BW20" s="94">
        <v>0.16400000000000001</v>
      </c>
    </row>
    <row r="21" spans="1:78" s="25" customFormat="1" x14ac:dyDescent="0.35">
      <c r="A21" s="125"/>
      <c r="B21" s="38" t="str">
        <f>IF(Control!$D$5=1,"Other Operating Income","(+) Outras Receitas Operacionais")</f>
        <v>Other Operating Income</v>
      </c>
      <c r="C21" s="88">
        <v>1.107</v>
      </c>
      <c r="D21" s="115">
        <v>6.9749999999999996</v>
      </c>
      <c r="E21" s="115">
        <v>4.0759999999999996</v>
      </c>
      <c r="F21" s="114">
        <v>-1.2829999999999993</v>
      </c>
      <c r="G21" s="88">
        <v>-3.7000000000000002E-3</v>
      </c>
      <c r="H21" s="114">
        <v>10.0007</v>
      </c>
      <c r="I21" s="114">
        <v>1.1020000000000001</v>
      </c>
      <c r="J21" s="114">
        <v>3.1240000000000001</v>
      </c>
      <c r="K21" s="94">
        <v>2.4249999999999998</v>
      </c>
      <c r="L21" s="115">
        <v>1.9089999999999998</v>
      </c>
      <c r="M21" s="115">
        <v>0.54300000000000015</v>
      </c>
      <c r="N21" s="114">
        <v>6.97</v>
      </c>
      <c r="O21" s="88">
        <v>0.13800000000000001</v>
      </c>
      <c r="P21" s="114">
        <v>4.22</v>
      </c>
      <c r="Q21" s="114">
        <v>5.4070000000000009</v>
      </c>
      <c r="R21" s="114">
        <v>12.837000000000002</v>
      </c>
      <c r="S21" s="88">
        <v>15.645</v>
      </c>
      <c r="T21" s="114">
        <v>6.5030000000000001</v>
      </c>
      <c r="U21" s="114">
        <v>1.2370000000000019</v>
      </c>
      <c r="V21" s="114">
        <v>3.472999999999999</v>
      </c>
      <c r="W21" s="114">
        <v>-7.2039999999999997</v>
      </c>
      <c r="X21" s="115">
        <v>0.51600000000000001</v>
      </c>
      <c r="Y21" s="115">
        <v>1.9119999999999999</v>
      </c>
      <c r="Z21" s="114">
        <v>1.3120000000000003</v>
      </c>
      <c r="AA21" s="88">
        <v>1.726</v>
      </c>
      <c r="AB21" s="114">
        <v>-1.0979999999999999</v>
      </c>
      <c r="AC21" s="114">
        <v>6.9690000000000003</v>
      </c>
      <c r="AD21" s="114">
        <v>2.319</v>
      </c>
      <c r="AE21" s="88">
        <v>-0.97499999999999998</v>
      </c>
      <c r="AF21" s="114">
        <v>-3.4620000000000002</v>
      </c>
      <c r="AG21" s="114">
        <v>-16.448</v>
      </c>
      <c r="AH21" s="114">
        <v>1.0600000000000014</v>
      </c>
      <c r="AI21" s="88">
        <v>-8.0589999999999993</v>
      </c>
      <c r="AJ21" s="114">
        <v>2.3059999999999992</v>
      </c>
      <c r="AK21" s="114">
        <v>0.75300000000000011</v>
      </c>
      <c r="AL21" s="114">
        <v>8.1909999999999989</v>
      </c>
      <c r="AM21" s="88">
        <v>4.4939999999999998</v>
      </c>
      <c r="AN21" s="114">
        <v>10.209</v>
      </c>
      <c r="AO21" s="114">
        <v>8.7110000000000003</v>
      </c>
      <c r="AP21" s="114">
        <v>9.7860000000000014</v>
      </c>
      <c r="AQ21" s="115">
        <v>-2.1</v>
      </c>
      <c r="AR21" s="115">
        <v>19.100000000000001</v>
      </c>
      <c r="AS21" s="115">
        <v>39.200000000000003</v>
      </c>
      <c r="AT21" s="115">
        <v>28.9</v>
      </c>
      <c r="AU21" s="115">
        <v>1.4</v>
      </c>
      <c r="AV21" s="115">
        <v>0.80400000000000005</v>
      </c>
      <c r="AW21" s="115">
        <v>-0.5</v>
      </c>
      <c r="AX21" s="115">
        <v>0.81100000000000005</v>
      </c>
      <c r="AY21" s="115">
        <v>2.6160000000000001</v>
      </c>
      <c r="AZ21" s="115">
        <v>9.9450000000000003</v>
      </c>
      <c r="BA21" s="115">
        <v>2.6709999999999998</v>
      </c>
      <c r="BB21" s="115">
        <v>9.3729999999999993</v>
      </c>
      <c r="BC21" s="115">
        <v>-8.7110000000000003</v>
      </c>
      <c r="BD21" s="115">
        <v>4.3570000000000002</v>
      </c>
      <c r="BE21" s="115">
        <v>7.1349999999999998</v>
      </c>
      <c r="BF21" s="115">
        <v>106.554</v>
      </c>
      <c r="BG21" s="115">
        <v>0.91</v>
      </c>
      <c r="BH21" s="313"/>
      <c r="BI21" s="114">
        <v>37.054000000000002</v>
      </c>
      <c r="BJ21" s="114">
        <v>10.875</v>
      </c>
      <c r="BK21" s="115">
        <v>14.223000000000001</v>
      </c>
      <c r="BL21" s="88">
        <v>11.847</v>
      </c>
      <c r="BM21" s="88">
        <v>22.602</v>
      </c>
      <c r="BN21" s="88">
        <v>26.858000000000001</v>
      </c>
      <c r="BO21" s="88">
        <v>-3.464</v>
      </c>
      <c r="BP21" s="88">
        <v>9.9160000000000004</v>
      </c>
      <c r="BQ21" s="88">
        <v>-19.824999999999999</v>
      </c>
      <c r="BR21" s="88">
        <v>3.1909999999999998</v>
      </c>
      <c r="BS21" s="88">
        <v>33.200000000000003</v>
      </c>
      <c r="BT21" s="94">
        <v>85.1</v>
      </c>
      <c r="BU21" s="94">
        <v>2.5149999999999997</v>
      </c>
      <c r="BV21" s="94">
        <v>24.603999999999999</v>
      </c>
      <c r="BW21" s="94">
        <v>109.334</v>
      </c>
    </row>
    <row r="22" spans="1:78" s="80" customFormat="1" hidden="1" outlineLevel="1" x14ac:dyDescent="0.35">
      <c r="B22" s="96" t="str">
        <f>IF(Control!$D$5=1,"Contribution Margin","Margem de Contribuição")</f>
        <v>Contribution Margin</v>
      </c>
      <c r="C22" s="174">
        <f t="shared" ref="C22:N22" si="16">+C17+SUM(C18:C21)</f>
        <v>46.012999999999977</v>
      </c>
      <c r="D22" s="174">
        <f t="shared" si="16"/>
        <v>59.16099999999998</v>
      </c>
      <c r="E22" s="174">
        <f t="shared" si="16"/>
        <v>36.760000000000005</v>
      </c>
      <c r="F22" s="174">
        <f t="shared" si="16"/>
        <v>13.652000000000079</v>
      </c>
      <c r="G22" s="93">
        <f t="shared" si="16"/>
        <v>34.752299999999977</v>
      </c>
      <c r="H22" s="174">
        <f t="shared" si="16"/>
        <v>29.006699999999995</v>
      </c>
      <c r="I22" s="174">
        <f t="shared" si="16"/>
        <v>16.139999999999922</v>
      </c>
      <c r="J22" s="174">
        <f t="shared" si="16"/>
        <v>24.217000000000205</v>
      </c>
      <c r="K22" s="93">
        <f t="shared" si="16"/>
        <v>39.279000000000025</v>
      </c>
      <c r="L22" s="174">
        <f t="shared" si="16"/>
        <v>25.165999999999919</v>
      </c>
      <c r="M22" s="174">
        <f t="shared" si="16"/>
        <v>25.894000000000034</v>
      </c>
      <c r="N22" s="174">
        <f t="shared" si="16"/>
        <v>25.706000000000117</v>
      </c>
      <c r="O22" s="93">
        <f t="shared" ref="O22:AM22" si="17">+O17+SUM(O18:O21)</f>
        <v>39.060999999999993</v>
      </c>
      <c r="P22" s="174">
        <f t="shared" si="17"/>
        <v>45.396000000000029</v>
      </c>
      <c r="Q22" s="174">
        <f t="shared" si="17"/>
        <v>40.097999999999985</v>
      </c>
      <c r="R22" s="174">
        <f t="shared" si="17"/>
        <v>41.404000000000195</v>
      </c>
      <c r="S22" s="93">
        <f t="shared" si="17"/>
        <v>61.906000000000049</v>
      </c>
      <c r="T22" s="174">
        <f t="shared" si="17"/>
        <v>61.444999999999936</v>
      </c>
      <c r="U22" s="174">
        <f t="shared" si="17"/>
        <v>74.472999999999956</v>
      </c>
      <c r="V22" s="174">
        <f t="shared" si="17"/>
        <v>58.899000000000044</v>
      </c>
      <c r="W22" s="174">
        <f t="shared" si="17"/>
        <v>89.818999999999903</v>
      </c>
      <c r="X22" s="174">
        <f t="shared" si="17"/>
        <v>70.000000000000114</v>
      </c>
      <c r="Y22" s="174">
        <f t="shared" si="17"/>
        <v>65.903999999999996</v>
      </c>
      <c r="Z22" s="174">
        <f t="shared" si="17"/>
        <v>73.167999999999807</v>
      </c>
      <c r="AA22" s="93">
        <f t="shared" si="17"/>
        <v>85.643999999999977</v>
      </c>
      <c r="AB22" s="174">
        <f t="shared" si="17"/>
        <v>72.697999999999752</v>
      </c>
      <c r="AC22" s="174">
        <f t="shared" si="17"/>
        <v>70.229999999999819</v>
      </c>
      <c r="AD22" s="174">
        <f t="shared" si="17"/>
        <v>56.452000000000794</v>
      </c>
      <c r="AE22" s="93">
        <f t="shared" si="17"/>
        <v>82.240999999999985</v>
      </c>
      <c r="AF22" s="174">
        <f t="shared" si="17"/>
        <v>85.00599999999983</v>
      </c>
      <c r="AG22" s="174">
        <f t="shared" si="17"/>
        <v>87.071000000000311</v>
      </c>
      <c r="AH22" s="174">
        <f t="shared" si="17"/>
        <v>82.837999999999738</v>
      </c>
      <c r="AI22" s="93">
        <f t="shared" si="17"/>
        <v>103.36900000000006</v>
      </c>
      <c r="AJ22" s="174">
        <f t="shared" si="17"/>
        <v>155.61199999999982</v>
      </c>
      <c r="AK22" s="174">
        <f t="shared" si="17"/>
        <v>124.45700000000005</v>
      </c>
      <c r="AL22" s="174">
        <f t="shared" si="17"/>
        <v>76.954000000000008</v>
      </c>
      <c r="AM22" s="93">
        <f t="shared" si="17"/>
        <v>106.05099999999999</v>
      </c>
      <c r="AN22" s="174">
        <f t="shared" ref="AN22:AS22" si="18">+AN17+SUM(AN18:AN21)</f>
        <v>91.753999999999763</v>
      </c>
      <c r="AO22" s="174">
        <f t="shared" si="18"/>
        <v>105.66400000000002</v>
      </c>
      <c r="AP22" s="174">
        <f t="shared" si="18"/>
        <v>96.131000000000483</v>
      </c>
      <c r="AQ22" s="174">
        <f t="shared" si="18"/>
        <v>57.299999999999841</v>
      </c>
      <c r="AR22" s="174">
        <f t="shared" si="18"/>
        <v>108.99999999999989</v>
      </c>
      <c r="AS22" s="174">
        <f t="shared" si="18"/>
        <v>127.69999999999999</v>
      </c>
      <c r="AT22" s="174">
        <f>+AT17+SUM(AT18:AT21)</f>
        <v>87.900000000000233</v>
      </c>
      <c r="AU22" s="174">
        <f>+AU17+SUM(AU18:AU21)</f>
        <v>49.299999999999955</v>
      </c>
      <c r="AV22" s="174">
        <f t="shared" ref="AV22:BA22" si="19">+AV17+SUM(AV18:AV21)</f>
        <v>54.975000000000108</v>
      </c>
      <c r="AW22" s="174">
        <f t="shared" si="19"/>
        <v>96.977999999999554</v>
      </c>
      <c r="AX22" s="174">
        <f t="shared" si="19"/>
        <v>97.046999999999883</v>
      </c>
      <c r="AY22" s="174">
        <f t="shared" si="19"/>
        <v>155.63399999999984</v>
      </c>
      <c r="AZ22" s="174">
        <f t="shared" si="19"/>
        <v>166.28100000000001</v>
      </c>
      <c r="BA22" s="174">
        <f t="shared" si="19"/>
        <v>195.85692098000015</v>
      </c>
      <c r="BB22" s="174">
        <f>+BB17+SUM(BB18:BB21)</f>
        <v>104.42099999999996</v>
      </c>
      <c r="BC22" s="174">
        <f>+BC17+SUM(BC18:BC21)</f>
        <v>142.76500000000021</v>
      </c>
      <c r="BD22" s="174">
        <f>+BD17+SUM(BD18:BD21)</f>
        <v>150.4839999999997</v>
      </c>
      <c r="BE22" s="174">
        <f>+BE17+SUM(BE18:BE21)</f>
        <v>158.82299999999987</v>
      </c>
      <c r="BF22" s="174">
        <f>+BF17+SUM(BF18:BF21)</f>
        <v>184.85200000000046</v>
      </c>
      <c r="BG22" s="174"/>
      <c r="BH22" s="313"/>
      <c r="BI22" s="174">
        <f t="shared" ref="BI22:BR22" si="20">+BI17+SUM(BI18:BI21)</f>
        <v>110.01300000000001</v>
      </c>
      <c r="BJ22" s="174">
        <f t="shared" si="20"/>
        <v>155.58600000000001</v>
      </c>
      <c r="BK22" s="174">
        <f t="shared" si="20"/>
        <v>104.1159999999999</v>
      </c>
      <c r="BL22" s="93">
        <f t="shared" si="20"/>
        <v>116.0450000000001</v>
      </c>
      <c r="BM22" s="93">
        <f t="shared" si="20"/>
        <v>165.95900000000012</v>
      </c>
      <c r="BN22" s="93">
        <f t="shared" si="20"/>
        <v>256.72299999999984</v>
      </c>
      <c r="BO22" s="93">
        <f t="shared" si="20"/>
        <v>298.89099999999985</v>
      </c>
      <c r="BP22" s="93">
        <f t="shared" si="20"/>
        <v>285.024</v>
      </c>
      <c r="BQ22" s="93">
        <f t="shared" si="20"/>
        <v>337.15600000000029</v>
      </c>
      <c r="BR22" s="93">
        <f t="shared" si="20"/>
        <v>460.45299999999918</v>
      </c>
      <c r="BS22" s="93">
        <f>+BS17+SUM(BS18:BS21)</f>
        <v>399.60000000000093</v>
      </c>
      <c r="BT22" s="93">
        <f>+BT17+SUM(BT18:BT21)</f>
        <v>381.89999999999941</v>
      </c>
      <c r="BU22" s="93">
        <f>+BU17+SUM(BU18:BU21)</f>
        <v>298.29999999999961</v>
      </c>
      <c r="BV22" s="93">
        <f>+BV17+SUM(BV18:BV21)</f>
        <v>622.1920000000016</v>
      </c>
      <c r="BW22" s="93">
        <f>+BW17+SUM(BW18:BW21)</f>
        <v>636.92299999999818</v>
      </c>
    </row>
    <row r="23" spans="1:78" s="127" customFormat="1" hidden="1" outlineLevel="1" x14ac:dyDescent="0.35">
      <c r="A23" s="125"/>
      <c r="B23" s="126"/>
      <c r="C23" s="94"/>
      <c r="D23" s="115"/>
      <c r="E23" s="115"/>
      <c r="F23" s="115"/>
      <c r="G23" s="94"/>
      <c r="H23" s="115"/>
      <c r="I23" s="115"/>
      <c r="J23" s="115"/>
      <c r="K23" s="94"/>
      <c r="L23" s="115"/>
      <c r="M23" s="115"/>
      <c r="N23" s="115"/>
      <c r="O23" s="94"/>
      <c r="P23" s="115"/>
      <c r="Q23" s="115"/>
      <c r="R23" s="115"/>
      <c r="S23" s="94"/>
      <c r="T23" s="115"/>
      <c r="U23" s="115"/>
      <c r="V23" s="115"/>
      <c r="W23" s="115"/>
      <c r="X23" s="115"/>
      <c r="Y23" s="115"/>
      <c r="Z23" s="115"/>
      <c r="AA23" s="94"/>
      <c r="AB23" s="115"/>
      <c r="AC23" s="115"/>
      <c r="AD23" s="115"/>
      <c r="AE23" s="94"/>
      <c r="AF23" s="115"/>
      <c r="AG23" s="115"/>
      <c r="AH23" s="115"/>
      <c r="AI23" s="94"/>
      <c r="AJ23" s="115"/>
      <c r="AK23" s="115"/>
      <c r="AL23" s="115"/>
      <c r="AM23" s="94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313"/>
      <c r="BI23" s="115"/>
      <c r="BJ23" s="115"/>
      <c r="BK23" s="115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</row>
    <row r="24" spans="1:78" s="127" customFormat="1" hidden="1" outlineLevel="1" x14ac:dyDescent="0.35">
      <c r="B24" s="126"/>
      <c r="C24" s="94"/>
      <c r="D24" s="115"/>
      <c r="E24" s="115"/>
      <c r="F24" s="115"/>
      <c r="G24" s="94"/>
      <c r="H24" s="115"/>
      <c r="I24" s="115"/>
      <c r="J24" s="115"/>
      <c r="K24" s="94"/>
      <c r="L24" s="115"/>
      <c r="M24" s="115"/>
      <c r="N24" s="115"/>
      <c r="O24" s="94"/>
      <c r="P24" s="115"/>
      <c r="Q24" s="115"/>
      <c r="R24" s="115"/>
      <c r="S24" s="94"/>
      <c r="T24" s="115"/>
      <c r="U24" s="115"/>
      <c r="V24" s="115"/>
      <c r="W24" s="115"/>
      <c r="X24" s="115"/>
      <c r="Y24" s="115"/>
      <c r="Z24" s="115"/>
      <c r="AA24" s="94"/>
      <c r="AB24" s="115"/>
      <c r="AC24" s="115"/>
      <c r="AD24" s="115"/>
      <c r="AE24" s="94"/>
      <c r="AF24" s="115"/>
      <c r="AG24" s="115"/>
      <c r="AH24" s="115"/>
      <c r="AI24" s="94"/>
      <c r="AJ24" s="115"/>
      <c r="AK24" s="115"/>
      <c r="AL24" s="115"/>
      <c r="AM24" s="94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313"/>
      <c r="BI24" s="115"/>
      <c r="BJ24" s="115"/>
      <c r="BK24" s="115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</row>
    <row r="25" spans="1:78" s="23" customFormat="1" collapsed="1" x14ac:dyDescent="0.35">
      <c r="A25" s="127"/>
      <c r="B25" s="37" t="str">
        <f>IF(Control!$D$5=1,"EBIT","Lucro Operacional (EBIT)")</f>
        <v>EBIT</v>
      </c>
      <c r="C25" s="84">
        <f t="shared" ref="C25:N25" si="21">C22+SUM(C23:C24)</f>
        <v>46.012999999999977</v>
      </c>
      <c r="D25" s="84">
        <f>D22+SUM(D23:D24)</f>
        <v>59.16099999999998</v>
      </c>
      <c r="E25" s="84">
        <f t="shared" si="21"/>
        <v>36.760000000000005</v>
      </c>
      <c r="F25" s="84">
        <f t="shared" si="21"/>
        <v>13.652000000000079</v>
      </c>
      <c r="G25" s="84">
        <f t="shared" si="21"/>
        <v>34.752299999999977</v>
      </c>
      <c r="H25" s="113">
        <f t="shared" si="21"/>
        <v>29.006699999999995</v>
      </c>
      <c r="I25" s="113">
        <f t="shared" si="21"/>
        <v>16.139999999999922</v>
      </c>
      <c r="J25" s="113">
        <f t="shared" si="21"/>
        <v>24.217000000000205</v>
      </c>
      <c r="K25" s="93">
        <f t="shared" si="21"/>
        <v>39.279000000000025</v>
      </c>
      <c r="L25" s="174">
        <f t="shared" si="21"/>
        <v>25.165999999999919</v>
      </c>
      <c r="M25" s="174">
        <f t="shared" si="21"/>
        <v>25.894000000000034</v>
      </c>
      <c r="N25" s="113">
        <f t="shared" si="21"/>
        <v>25.706000000000117</v>
      </c>
      <c r="O25" s="84">
        <f t="shared" ref="O25:AE25" si="22">O22+SUM(O23:O24)</f>
        <v>39.060999999999993</v>
      </c>
      <c r="P25" s="113">
        <f t="shared" si="22"/>
        <v>45.396000000000029</v>
      </c>
      <c r="Q25" s="113">
        <f t="shared" si="22"/>
        <v>40.097999999999985</v>
      </c>
      <c r="R25" s="113">
        <f t="shared" si="22"/>
        <v>41.404000000000195</v>
      </c>
      <c r="S25" s="84">
        <f t="shared" si="22"/>
        <v>61.906000000000049</v>
      </c>
      <c r="T25" s="113">
        <f t="shared" si="22"/>
        <v>61.444999999999936</v>
      </c>
      <c r="U25" s="113">
        <f t="shared" si="22"/>
        <v>74.472999999999956</v>
      </c>
      <c r="V25" s="113">
        <f t="shared" si="22"/>
        <v>58.899000000000044</v>
      </c>
      <c r="W25" s="113">
        <f t="shared" si="22"/>
        <v>89.818999999999903</v>
      </c>
      <c r="X25" s="174">
        <f t="shared" si="22"/>
        <v>70.000000000000114</v>
      </c>
      <c r="Y25" s="174">
        <f t="shared" si="22"/>
        <v>65.903999999999996</v>
      </c>
      <c r="Z25" s="113">
        <f t="shared" si="22"/>
        <v>73.167999999999807</v>
      </c>
      <c r="AA25" s="84">
        <f t="shared" si="22"/>
        <v>85.643999999999977</v>
      </c>
      <c r="AB25" s="113">
        <f t="shared" si="22"/>
        <v>72.697999999999752</v>
      </c>
      <c r="AC25" s="113">
        <f t="shared" si="22"/>
        <v>70.229999999999819</v>
      </c>
      <c r="AD25" s="113">
        <f t="shared" si="22"/>
        <v>56.452000000000794</v>
      </c>
      <c r="AE25" s="84">
        <f t="shared" si="22"/>
        <v>82.240999999999985</v>
      </c>
      <c r="AF25" s="113">
        <f t="shared" ref="AF25:AL25" si="23">AF22+SUM(AF23:AF24)</f>
        <v>85.00599999999983</v>
      </c>
      <c r="AG25" s="113">
        <f t="shared" si="23"/>
        <v>87.071000000000311</v>
      </c>
      <c r="AH25" s="113">
        <f t="shared" si="23"/>
        <v>82.837999999999738</v>
      </c>
      <c r="AI25" s="84">
        <f t="shared" si="23"/>
        <v>103.36900000000006</v>
      </c>
      <c r="AJ25" s="113">
        <f t="shared" si="23"/>
        <v>155.61199999999982</v>
      </c>
      <c r="AK25" s="113">
        <f t="shared" si="23"/>
        <v>124.45700000000005</v>
      </c>
      <c r="AL25" s="113">
        <f t="shared" si="23"/>
        <v>76.954000000000008</v>
      </c>
      <c r="AM25" s="84">
        <f>AM22+SUM(AM23:AM24)</f>
        <v>106.05099999999999</v>
      </c>
      <c r="AN25" s="113">
        <f t="shared" ref="AN25:AS25" si="24">AN22+SUM(AN23:AN24)</f>
        <v>91.753999999999763</v>
      </c>
      <c r="AO25" s="113">
        <f t="shared" si="24"/>
        <v>105.66400000000002</v>
      </c>
      <c r="AP25" s="113">
        <f t="shared" si="24"/>
        <v>96.131000000000483</v>
      </c>
      <c r="AQ25" s="174">
        <f t="shared" si="24"/>
        <v>57.299999999999841</v>
      </c>
      <c r="AR25" s="174">
        <f t="shared" si="24"/>
        <v>108.99999999999989</v>
      </c>
      <c r="AS25" s="174">
        <f t="shared" si="24"/>
        <v>127.69999999999999</v>
      </c>
      <c r="AT25" s="174">
        <f>AT22+SUM(AT23:AT24)</f>
        <v>87.900000000000233</v>
      </c>
      <c r="AU25" s="174">
        <f>AU22+SUM(AU23:AU24)</f>
        <v>49.299999999999955</v>
      </c>
      <c r="AV25" s="174">
        <f t="shared" ref="AV25:BB25" si="25">AV22+SUM(AV23:AV24)</f>
        <v>54.975000000000108</v>
      </c>
      <c r="AW25" s="174">
        <f t="shared" si="25"/>
        <v>96.977999999999554</v>
      </c>
      <c r="AX25" s="174">
        <f t="shared" si="25"/>
        <v>97.046999999999883</v>
      </c>
      <c r="AY25" s="174">
        <f t="shared" si="25"/>
        <v>155.63399999999984</v>
      </c>
      <c r="AZ25" s="174">
        <f t="shared" si="25"/>
        <v>166.28100000000001</v>
      </c>
      <c r="BA25" s="174">
        <f t="shared" si="25"/>
        <v>195.85692098000015</v>
      </c>
      <c r="BB25" s="174">
        <f t="shared" si="25"/>
        <v>104.42099999999996</v>
      </c>
      <c r="BC25" s="174">
        <f>BC22+SUM(BC23:BC24)</f>
        <v>142.76500000000021</v>
      </c>
      <c r="BD25" s="174">
        <f>BD22+SUM(BD23:BD24)</f>
        <v>150.4839999999997</v>
      </c>
      <c r="BE25" s="174">
        <f>BE22+SUM(BE23:BE24)</f>
        <v>158.82299999999987</v>
      </c>
      <c r="BF25" s="174">
        <f>BF22+SUM(BF23:BF24)</f>
        <v>184.85200000000046</v>
      </c>
      <c r="BG25" s="174">
        <v>190.00800000000055</v>
      </c>
      <c r="BH25" s="313"/>
      <c r="BI25" s="113">
        <f>BI22+SUM(BI23:BI24)</f>
        <v>110.01300000000001</v>
      </c>
      <c r="BJ25" s="113">
        <f t="shared" ref="BJ25:BR25" si="26">BJ22+SUM(BJ23:BJ24)</f>
        <v>155.58600000000001</v>
      </c>
      <c r="BK25" s="174">
        <f t="shared" si="26"/>
        <v>104.1159999999999</v>
      </c>
      <c r="BL25" s="84">
        <f t="shared" si="26"/>
        <v>116.0450000000001</v>
      </c>
      <c r="BM25" s="84">
        <f t="shared" si="26"/>
        <v>165.95900000000012</v>
      </c>
      <c r="BN25" s="84">
        <f t="shared" si="26"/>
        <v>256.72299999999984</v>
      </c>
      <c r="BO25" s="84">
        <f t="shared" si="26"/>
        <v>298.89099999999985</v>
      </c>
      <c r="BP25" s="84">
        <f t="shared" si="26"/>
        <v>285.024</v>
      </c>
      <c r="BQ25" s="84">
        <f t="shared" si="26"/>
        <v>337.15600000000029</v>
      </c>
      <c r="BR25" s="84">
        <f t="shared" si="26"/>
        <v>460.45299999999918</v>
      </c>
      <c r="BS25" s="84">
        <f>BS22+SUM(BS23:BS24)</f>
        <v>399.60000000000093</v>
      </c>
      <c r="BT25" s="84">
        <f>BT22+SUM(BT23:BT24)</f>
        <v>381.89999999999941</v>
      </c>
      <c r="BU25" s="84">
        <f>BU22+SUM(BU23:BU24)</f>
        <v>298.29999999999961</v>
      </c>
      <c r="BV25" s="84">
        <f>BV22+SUM(BV23:BV24)</f>
        <v>622.1920000000016</v>
      </c>
      <c r="BW25" s="84">
        <f>BW22+SUM(BW23:BW24)</f>
        <v>636.92299999999818</v>
      </c>
    </row>
    <row r="26" spans="1:78" s="25" customFormat="1" x14ac:dyDescent="0.35">
      <c r="A26" s="127"/>
      <c r="B26" s="38" t="str">
        <f>IF(Control!$D$5=1,"(+/-) Finacial Result","(+/-) Resultado Financeiro")</f>
        <v>(+/-) Finacial Result</v>
      </c>
      <c r="C26" s="114">
        <f t="shared" ref="C26:AQ26" si="27">+SUM(C27:C28)</f>
        <v>-3.8090000000000002</v>
      </c>
      <c r="D26" s="114">
        <f t="shared" si="27"/>
        <v>-7.3850000000000007</v>
      </c>
      <c r="E26" s="114">
        <f t="shared" si="27"/>
        <v>-39.274000000000001</v>
      </c>
      <c r="F26" s="114">
        <f t="shared" si="27"/>
        <v>-6.5470000000000041</v>
      </c>
      <c r="G26" s="88">
        <f t="shared" si="27"/>
        <v>1.4420000000000002</v>
      </c>
      <c r="H26" s="114">
        <f t="shared" si="27"/>
        <v>-4.2489999999999988</v>
      </c>
      <c r="I26" s="114">
        <f t="shared" si="27"/>
        <v>-5.0010000000000012</v>
      </c>
      <c r="J26" s="114">
        <f t="shared" si="27"/>
        <v>-7.7019999999999946</v>
      </c>
      <c r="K26" s="94">
        <f t="shared" si="27"/>
        <v>-6.4510000000000005</v>
      </c>
      <c r="L26" s="115">
        <f t="shared" si="27"/>
        <v>-9.4850000000000012</v>
      </c>
      <c r="M26" s="115">
        <f t="shared" si="27"/>
        <v>-9.1869999999999976</v>
      </c>
      <c r="N26" s="114">
        <f t="shared" si="27"/>
        <v>-10.532000000000002</v>
      </c>
      <c r="O26" s="88">
        <f t="shared" si="27"/>
        <v>-8.5830000000000002</v>
      </c>
      <c r="P26" s="114">
        <f t="shared" si="27"/>
        <v>-28.164999999999999</v>
      </c>
      <c r="Q26" s="114">
        <f t="shared" si="27"/>
        <v>-17.654000000000011</v>
      </c>
      <c r="R26" s="114">
        <f t="shared" si="27"/>
        <v>-11.639999999999992</v>
      </c>
      <c r="S26" s="88">
        <f t="shared" si="27"/>
        <v>-19.709999999999994</v>
      </c>
      <c r="T26" s="114">
        <f t="shared" si="27"/>
        <v>-13.321000000000005</v>
      </c>
      <c r="U26" s="114">
        <f t="shared" si="27"/>
        <v>-15.535000000000004</v>
      </c>
      <c r="V26" s="114">
        <f t="shared" si="27"/>
        <v>-19.102999999999994</v>
      </c>
      <c r="W26" s="114">
        <f t="shared" si="27"/>
        <v>-21.224999999999998</v>
      </c>
      <c r="X26" s="115">
        <f t="shared" si="27"/>
        <v>-33.999000000000002</v>
      </c>
      <c r="Y26" s="115">
        <f t="shared" si="27"/>
        <v>-32.29</v>
      </c>
      <c r="Z26" s="114">
        <f t="shared" si="27"/>
        <v>-32.078000000000017</v>
      </c>
      <c r="AA26" s="88">
        <f t="shared" si="27"/>
        <v>-29.664999999999999</v>
      </c>
      <c r="AB26" s="114">
        <f t="shared" si="27"/>
        <v>-33.003999999999998</v>
      </c>
      <c r="AC26" s="114">
        <f t="shared" si="27"/>
        <v>-34.630999999999993</v>
      </c>
      <c r="AD26" s="114">
        <f t="shared" si="27"/>
        <v>-30.969000000000001</v>
      </c>
      <c r="AE26" s="88">
        <f t="shared" si="27"/>
        <v>-27.275000000000002</v>
      </c>
      <c r="AF26" s="114">
        <f t="shared" si="27"/>
        <v>-42.408000000000001</v>
      </c>
      <c r="AG26" s="114">
        <f t="shared" si="27"/>
        <v>-44.309999999999974</v>
      </c>
      <c r="AH26" s="114">
        <f t="shared" si="27"/>
        <v>-41.952000000000012</v>
      </c>
      <c r="AI26" s="88">
        <f t="shared" si="27"/>
        <v>-32.713000000000001</v>
      </c>
      <c r="AJ26" s="114">
        <f t="shared" si="27"/>
        <v>-52.655999999999985</v>
      </c>
      <c r="AK26" s="114">
        <f t="shared" si="27"/>
        <v>-33.31600000000001</v>
      </c>
      <c r="AL26" s="114">
        <f t="shared" si="27"/>
        <v>-39.329000000000008</v>
      </c>
      <c r="AM26" s="88">
        <f t="shared" si="27"/>
        <v>-22.795999999999999</v>
      </c>
      <c r="AN26" s="114">
        <f t="shared" si="27"/>
        <v>-26.029000000000011</v>
      </c>
      <c r="AO26" s="114">
        <f t="shared" si="27"/>
        <v>-12.557000000000002</v>
      </c>
      <c r="AP26" s="114">
        <f t="shared" si="27"/>
        <v>-13.018000000000001</v>
      </c>
      <c r="AQ26" s="115">
        <f t="shared" si="27"/>
        <v>-12</v>
      </c>
      <c r="AR26" s="115">
        <f t="shared" ref="AR26:AW26" si="28">+SUM(AR27:AR28)</f>
        <v>-6.1000000000000014</v>
      </c>
      <c r="AS26" s="115">
        <f t="shared" si="28"/>
        <v>18.799999999999997</v>
      </c>
      <c r="AT26" s="115">
        <f t="shared" si="28"/>
        <v>-16.600000000000001</v>
      </c>
      <c r="AU26" s="115">
        <f t="shared" si="28"/>
        <v>-10.800000000000004</v>
      </c>
      <c r="AV26" s="115">
        <f t="shared" si="28"/>
        <v>-18.206000000000003</v>
      </c>
      <c r="AW26" s="115">
        <f t="shared" si="28"/>
        <v>-19.404999999999973</v>
      </c>
      <c r="AX26" s="115">
        <f t="shared" ref="AX26:BF26" si="29">+SUM(AX27:AX28)</f>
        <v>-13.670999999999999</v>
      </c>
      <c r="AY26" s="115">
        <f t="shared" si="29"/>
        <v>-16.798000000000002</v>
      </c>
      <c r="AZ26" s="115">
        <f t="shared" si="29"/>
        <v>-14.368000000000009</v>
      </c>
      <c r="BA26" s="115">
        <f t="shared" si="29"/>
        <v>-29.432000000000002</v>
      </c>
      <c r="BB26" s="115">
        <f t="shared" si="29"/>
        <v>-24.431000000000004</v>
      </c>
      <c r="BC26" s="115">
        <f t="shared" si="29"/>
        <v>-25.023000000000003</v>
      </c>
      <c r="BD26" s="115">
        <f t="shared" si="29"/>
        <v>-24.476999999999997</v>
      </c>
      <c r="BE26" s="115">
        <f t="shared" si="29"/>
        <v>-25.397999999999996</v>
      </c>
      <c r="BF26" s="115">
        <f t="shared" si="29"/>
        <v>-52.692000000000007</v>
      </c>
      <c r="BG26" s="115">
        <v>-84.921000000000006</v>
      </c>
      <c r="BH26" s="313"/>
      <c r="BI26" s="114">
        <f>+SUM(BI27:BI28)</f>
        <v>-26.641999999999996</v>
      </c>
      <c r="BJ26" s="114">
        <f>+SUM(BJ27:BJ28)</f>
        <v>-57.015000000000001</v>
      </c>
      <c r="BK26" s="115">
        <f>+SUM(BK27:BK28)</f>
        <v>-15.509999999999998</v>
      </c>
      <c r="BL26" s="88">
        <f>+SUM(BL27:BL28)</f>
        <v>-35.655000000000001</v>
      </c>
      <c r="BM26" s="88">
        <f t="shared" ref="BM26:BS26" si="30">+SUM(BM27:BM28)</f>
        <v>-66.042000000000002</v>
      </c>
      <c r="BN26" s="88">
        <f t="shared" si="30"/>
        <v>-67.668999999999997</v>
      </c>
      <c r="BO26" s="88">
        <f t="shared" si="30"/>
        <v>-119.59200000000001</v>
      </c>
      <c r="BP26" s="88">
        <f t="shared" si="30"/>
        <v>-128.26900000000001</v>
      </c>
      <c r="BQ26" s="88">
        <f t="shared" si="30"/>
        <v>-155.94499999999999</v>
      </c>
      <c r="BR26" s="88">
        <f t="shared" si="30"/>
        <v>-158.01400000000001</v>
      </c>
      <c r="BS26" s="88">
        <f t="shared" si="30"/>
        <v>-74.399999999999991</v>
      </c>
      <c r="BT26" s="88">
        <f>+SUM(BT27:BT28)</f>
        <v>-15.900000000000006</v>
      </c>
      <c r="BU26" s="88">
        <f>+SUM(BU27:BU28)</f>
        <v>-62.081999999999979</v>
      </c>
      <c r="BV26" s="88">
        <f>+SUM(BV27:BV28)</f>
        <v>-85.028999999999996</v>
      </c>
      <c r="BW26" s="88">
        <f>+SUM(BW27:BW28)</f>
        <v>-127.59</v>
      </c>
    </row>
    <row r="27" spans="1:78" s="25" customFormat="1" x14ac:dyDescent="0.35">
      <c r="A27" s="127"/>
      <c r="B27" s="39" t="str">
        <f>IF(Control!$D$5=1,"(-) Debt Interest Expense","(-) Despesas Financeiras")</f>
        <v>(-) Debt Interest Expense</v>
      </c>
      <c r="C27" s="88">
        <v>-7.0590000000000002</v>
      </c>
      <c r="D27" s="115">
        <v>-8.4700000000000006</v>
      </c>
      <c r="E27" s="115">
        <v>-46.061</v>
      </c>
      <c r="F27" s="114">
        <v>-18.024000000000004</v>
      </c>
      <c r="G27" s="88">
        <v>-10.111000000000001</v>
      </c>
      <c r="H27" s="114">
        <v>-10.722999999999999</v>
      </c>
      <c r="I27" s="114">
        <v>-10.279</v>
      </c>
      <c r="J27" s="114">
        <v>-13.670999999999996</v>
      </c>
      <c r="K27" s="94">
        <v>-14.255000000000001</v>
      </c>
      <c r="L27" s="115">
        <v>-17.411000000000001</v>
      </c>
      <c r="M27" s="115">
        <v>-16.259999999999998</v>
      </c>
      <c r="N27" s="114">
        <v>-18.89</v>
      </c>
      <c r="O27" s="88">
        <v>-18.163</v>
      </c>
      <c r="P27" s="114">
        <v>-37.790999999999997</v>
      </c>
      <c r="Q27" s="114">
        <v>-27.032000000000007</v>
      </c>
      <c r="R27" s="114">
        <v>-25.701999999999995</v>
      </c>
      <c r="S27" s="88">
        <v>-65.224999999999994</v>
      </c>
      <c r="T27" s="114">
        <v>-28.412000000000006</v>
      </c>
      <c r="U27" s="114">
        <v>-22.165000000000006</v>
      </c>
      <c r="V27" s="114">
        <v>-8.8399999999999892</v>
      </c>
      <c r="W27" s="114">
        <v>-43.485999999999997</v>
      </c>
      <c r="X27" s="115">
        <v>-52.999000000000002</v>
      </c>
      <c r="Y27" s="115">
        <v>-44.41</v>
      </c>
      <c r="Z27" s="114">
        <v>-44.559000000000019</v>
      </c>
      <c r="AA27" s="88">
        <v>-43.765000000000001</v>
      </c>
      <c r="AB27" s="114">
        <v>-51.897999999999996</v>
      </c>
      <c r="AC27" s="114">
        <v>-59.352999999999994</v>
      </c>
      <c r="AD27" s="114">
        <v>-49.051000000000002</v>
      </c>
      <c r="AE27" s="88">
        <v>-54.411000000000001</v>
      </c>
      <c r="AF27" s="114">
        <v>-58.218000000000004</v>
      </c>
      <c r="AG27" s="114">
        <v>-57.445999999999984</v>
      </c>
      <c r="AH27" s="114">
        <v>-57.83</v>
      </c>
      <c r="AI27" s="88">
        <v>-49.484000000000002</v>
      </c>
      <c r="AJ27" s="114">
        <v>-67.466999999999985</v>
      </c>
      <c r="AK27" s="114">
        <v>-44.965000000000011</v>
      </c>
      <c r="AL27" s="114">
        <v>-62.970000000000006</v>
      </c>
      <c r="AM27" s="88">
        <v>-54.692</v>
      </c>
      <c r="AN27" s="114">
        <v>-52.357000000000006</v>
      </c>
      <c r="AO27" s="114">
        <v>-40.432000000000002</v>
      </c>
      <c r="AP27" s="114">
        <v>-33.619</v>
      </c>
      <c r="AQ27" s="115">
        <v>-42.6</v>
      </c>
      <c r="AR27" s="115">
        <v>-64.5</v>
      </c>
      <c r="AS27" s="115">
        <v>-63.5</v>
      </c>
      <c r="AT27" s="115">
        <v>-47.2</v>
      </c>
      <c r="AU27" s="115">
        <v>-50.6</v>
      </c>
      <c r="AV27" s="115">
        <v>-49.182000000000002</v>
      </c>
      <c r="AW27" s="115">
        <v>-43.34699999999998</v>
      </c>
      <c r="AX27" s="115">
        <v>-46.201000000000001</v>
      </c>
      <c r="AY27" s="115">
        <v>-88.957999999999998</v>
      </c>
      <c r="AZ27" s="115">
        <v>-79.272000000000006</v>
      </c>
      <c r="BA27" s="115">
        <v>-110.742</v>
      </c>
      <c r="BB27" s="115">
        <v>-84.263000000000005</v>
      </c>
      <c r="BC27" s="115">
        <v>-64.376000000000005</v>
      </c>
      <c r="BD27" s="115">
        <v>-76.72</v>
      </c>
      <c r="BE27" s="115">
        <v>-88.094999999999999</v>
      </c>
      <c r="BF27" s="115">
        <v>-116.718</v>
      </c>
      <c r="BG27" s="115">
        <v>-153.50800000000001</v>
      </c>
      <c r="BH27" s="313"/>
      <c r="BI27" s="114">
        <v>-45.174999999999997</v>
      </c>
      <c r="BJ27" s="114">
        <v>-79.614000000000004</v>
      </c>
      <c r="BK27" s="115">
        <v>-44.783999999999999</v>
      </c>
      <c r="BL27" s="88">
        <v>-66.816000000000003</v>
      </c>
      <c r="BM27" s="88">
        <v>-108.688</v>
      </c>
      <c r="BN27" s="88">
        <v>-124.642</v>
      </c>
      <c r="BO27" s="88">
        <v>-185.45400000000001</v>
      </c>
      <c r="BP27" s="88">
        <v>-204.06700000000001</v>
      </c>
      <c r="BQ27" s="88">
        <v>-227.905</v>
      </c>
      <c r="BR27" s="88">
        <v>-224.886</v>
      </c>
      <c r="BS27" s="88">
        <v>-181.1</v>
      </c>
      <c r="BT27" s="94">
        <v>-217.8</v>
      </c>
      <c r="BU27" s="94">
        <v>-189.32999999999998</v>
      </c>
      <c r="BV27" s="94">
        <v>-363.23500000000001</v>
      </c>
      <c r="BW27" s="94">
        <v>-345.90899999999999</v>
      </c>
      <c r="BX27" s="26"/>
      <c r="BY27" s="26"/>
      <c r="BZ27" s="26"/>
    </row>
    <row r="28" spans="1:78" s="25" customFormat="1" x14ac:dyDescent="0.35">
      <c r="A28" s="127"/>
      <c r="B28" s="39" t="str">
        <f>IF(Control!$D$5=1,"(+) Interest Income","(+) Receitas Financeiras")</f>
        <v>(+) Interest Income</v>
      </c>
      <c r="C28" s="88">
        <v>3.25</v>
      </c>
      <c r="D28" s="115">
        <v>1.085</v>
      </c>
      <c r="E28" s="115">
        <v>6.7869999999999999</v>
      </c>
      <c r="F28" s="114">
        <v>11.477</v>
      </c>
      <c r="G28" s="88">
        <v>11.553000000000001</v>
      </c>
      <c r="H28" s="114">
        <v>6.4740000000000002</v>
      </c>
      <c r="I28" s="114">
        <v>5.2779999999999987</v>
      </c>
      <c r="J28" s="114">
        <v>5.9690000000000012</v>
      </c>
      <c r="K28" s="94">
        <v>7.8040000000000003</v>
      </c>
      <c r="L28" s="115">
        <v>7.9260000000000002</v>
      </c>
      <c r="M28" s="115">
        <v>7.0730000000000004</v>
      </c>
      <c r="N28" s="114">
        <v>8.3579999999999988</v>
      </c>
      <c r="O28" s="88">
        <v>9.58</v>
      </c>
      <c r="P28" s="114">
        <v>9.6259999999999994</v>
      </c>
      <c r="Q28" s="114">
        <v>9.3779999999999983</v>
      </c>
      <c r="R28" s="114">
        <v>14.062000000000003</v>
      </c>
      <c r="S28" s="88">
        <v>45.515000000000001</v>
      </c>
      <c r="T28" s="114">
        <v>15.091000000000001</v>
      </c>
      <c r="U28" s="114">
        <v>6.6300000000000026</v>
      </c>
      <c r="V28" s="114">
        <v>-10.263000000000005</v>
      </c>
      <c r="W28" s="114">
        <v>22.260999999999999</v>
      </c>
      <c r="X28" s="115">
        <v>19</v>
      </c>
      <c r="Y28" s="115">
        <v>12.12</v>
      </c>
      <c r="Z28" s="114">
        <v>12.480999999999998</v>
      </c>
      <c r="AA28" s="88">
        <v>14.1</v>
      </c>
      <c r="AB28" s="114">
        <v>18.893999999999998</v>
      </c>
      <c r="AC28" s="114">
        <v>24.722000000000001</v>
      </c>
      <c r="AD28" s="114">
        <v>18.082000000000001</v>
      </c>
      <c r="AE28" s="88">
        <v>27.135999999999999</v>
      </c>
      <c r="AF28" s="114">
        <v>15.809999999999999</v>
      </c>
      <c r="AG28" s="114">
        <v>13.136000000000006</v>
      </c>
      <c r="AH28" s="114">
        <v>15.877999999999982</v>
      </c>
      <c r="AI28" s="88">
        <v>16.771000000000001</v>
      </c>
      <c r="AJ28" s="114">
        <v>14.811</v>
      </c>
      <c r="AK28" s="114">
        <v>11.649000000000001</v>
      </c>
      <c r="AL28" s="114">
        <v>23.640999999999998</v>
      </c>
      <c r="AM28" s="88">
        <v>31.896000000000001</v>
      </c>
      <c r="AN28" s="114">
        <v>26.327999999999996</v>
      </c>
      <c r="AO28" s="114">
        <v>27.875</v>
      </c>
      <c r="AP28" s="114">
        <v>20.600999999999999</v>
      </c>
      <c r="AQ28" s="115">
        <v>30.6</v>
      </c>
      <c r="AR28" s="115">
        <v>58.4</v>
      </c>
      <c r="AS28" s="115">
        <v>82.3</v>
      </c>
      <c r="AT28" s="115">
        <v>30.6</v>
      </c>
      <c r="AU28" s="115">
        <v>39.799999999999997</v>
      </c>
      <c r="AV28" s="115">
        <v>30.975999999999999</v>
      </c>
      <c r="AW28" s="115">
        <v>23.942000000000007</v>
      </c>
      <c r="AX28" s="115">
        <v>32.53</v>
      </c>
      <c r="AY28" s="115">
        <v>72.16</v>
      </c>
      <c r="AZ28" s="115">
        <v>64.903999999999996</v>
      </c>
      <c r="BA28" s="115">
        <v>81.31</v>
      </c>
      <c r="BB28" s="115">
        <v>59.832000000000001</v>
      </c>
      <c r="BC28" s="115">
        <v>39.353000000000002</v>
      </c>
      <c r="BD28" s="115">
        <v>52.243000000000002</v>
      </c>
      <c r="BE28" s="115">
        <v>62.697000000000003</v>
      </c>
      <c r="BF28" s="115">
        <v>64.025999999999996</v>
      </c>
      <c r="BG28" s="115">
        <v>68.587000000000003</v>
      </c>
      <c r="BH28" s="313"/>
      <c r="BI28" s="114">
        <v>18.533000000000001</v>
      </c>
      <c r="BJ28" s="114">
        <v>22.599</v>
      </c>
      <c r="BK28" s="115">
        <v>29.274000000000001</v>
      </c>
      <c r="BL28" s="88">
        <v>31.161000000000001</v>
      </c>
      <c r="BM28" s="88">
        <v>42.646000000000001</v>
      </c>
      <c r="BN28" s="88">
        <v>56.972999999999999</v>
      </c>
      <c r="BO28" s="88">
        <v>65.861999999999995</v>
      </c>
      <c r="BP28" s="88">
        <v>75.798000000000002</v>
      </c>
      <c r="BQ28" s="88">
        <v>71.959999999999994</v>
      </c>
      <c r="BR28" s="88">
        <v>66.872</v>
      </c>
      <c r="BS28" s="88">
        <v>106.7</v>
      </c>
      <c r="BT28" s="94">
        <v>201.9</v>
      </c>
      <c r="BU28" s="94">
        <v>127.248</v>
      </c>
      <c r="BV28" s="94">
        <v>278.20600000000002</v>
      </c>
      <c r="BW28" s="94">
        <v>218.31899999999999</v>
      </c>
      <c r="BX28" s="27"/>
      <c r="BY28" s="27"/>
      <c r="BZ28" s="27"/>
    </row>
    <row r="29" spans="1:78" s="25" customFormat="1" outlineLevel="1" x14ac:dyDescent="0.35">
      <c r="A29" s="127"/>
      <c r="B29" s="38" t="str">
        <f>IF(Control!$D$5=1,"(-) Other Non-Operating Expenses/(Income)","(-) Outras Desp./(Receitas) Não Operacionais")</f>
        <v>(-) Other Non-Operating Expenses/(Income)</v>
      </c>
      <c r="C29" s="88">
        <v>-1.2569999999999999</v>
      </c>
      <c r="D29" s="115">
        <v>-1.252</v>
      </c>
      <c r="E29" s="115">
        <v>-1.2569999999999999</v>
      </c>
      <c r="F29" s="114">
        <v>-0.42400000000000082</v>
      </c>
      <c r="G29" s="88">
        <v>-3.6999999999999998E-2</v>
      </c>
      <c r="H29" s="114">
        <v>3.6999999999999998E-2</v>
      </c>
      <c r="I29" s="114">
        <v>0</v>
      </c>
      <c r="J29" s="114">
        <v>0</v>
      </c>
      <c r="K29" s="94">
        <v>0</v>
      </c>
      <c r="L29" s="115">
        <v>0</v>
      </c>
      <c r="M29" s="115">
        <v>0</v>
      </c>
      <c r="N29" s="114">
        <v>0</v>
      </c>
      <c r="O29" s="88">
        <v>0</v>
      </c>
      <c r="P29" s="114">
        <v>0</v>
      </c>
      <c r="Q29" s="114">
        <v>0</v>
      </c>
      <c r="R29" s="114">
        <v>0</v>
      </c>
      <c r="S29" s="88">
        <v>0</v>
      </c>
      <c r="T29" s="114">
        <v>0</v>
      </c>
      <c r="U29" s="114">
        <v>0</v>
      </c>
      <c r="V29" s="114">
        <v>0</v>
      </c>
      <c r="W29" s="88">
        <v>0</v>
      </c>
      <c r="X29" s="115">
        <v>0</v>
      </c>
      <c r="Y29" s="115">
        <v>0</v>
      </c>
      <c r="Z29" s="114">
        <v>0</v>
      </c>
      <c r="AA29" s="88">
        <v>0</v>
      </c>
      <c r="AB29" s="114">
        <v>0</v>
      </c>
      <c r="AC29" s="114">
        <v>0</v>
      </c>
      <c r="AD29" s="114">
        <v>0</v>
      </c>
      <c r="AE29" s="88">
        <v>0</v>
      </c>
      <c r="AF29" s="114">
        <v>0</v>
      </c>
      <c r="AG29" s="114">
        <v>0</v>
      </c>
      <c r="AH29" s="114">
        <v>0</v>
      </c>
      <c r="AI29" s="88">
        <v>0</v>
      </c>
      <c r="AJ29" s="114">
        <v>0</v>
      </c>
      <c r="AK29" s="114">
        <v>0</v>
      </c>
      <c r="AL29" s="114">
        <v>0</v>
      </c>
      <c r="AM29" s="88">
        <v>0</v>
      </c>
      <c r="AN29" s="114">
        <v>0</v>
      </c>
      <c r="AO29" s="114">
        <v>0</v>
      </c>
      <c r="AP29" s="114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313"/>
      <c r="BI29" s="114">
        <v>-3.2320000000000002</v>
      </c>
      <c r="BJ29" s="114">
        <v>-4.1900000000000004</v>
      </c>
      <c r="BK29" s="115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</row>
    <row r="30" spans="1:78" s="23" customFormat="1" x14ac:dyDescent="0.35">
      <c r="A30" s="80"/>
      <c r="B30" s="37" t="str">
        <f>IF(Control!$D$5=1,"Pre-Tax Income","Resultado antes Impostos")</f>
        <v>Pre-Tax Income</v>
      </c>
      <c r="C30" s="174">
        <f t="shared" ref="C30:N30" si="31">+C25+C26+C29</f>
        <v>40.946999999999981</v>
      </c>
      <c r="D30" s="174">
        <f t="shared" si="31"/>
        <v>50.52399999999998</v>
      </c>
      <c r="E30" s="174">
        <f t="shared" si="31"/>
        <v>-3.7709999999999955</v>
      </c>
      <c r="F30" s="174">
        <f t="shared" si="31"/>
        <v>6.6810000000000738</v>
      </c>
      <c r="G30" s="84">
        <f t="shared" si="31"/>
        <v>36.157299999999978</v>
      </c>
      <c r="H30" s="113">
        <f t="shared" si="31"/>
        <v>24.794699999999995</v>
      </c>
      <c r="I30" s="113">
        <f t="shared" si="31"/>
        <v>11.138999999999921</v>
      </c>
      <c r="J30" s="113">
        <f t="shared" si="31"/>
        <v>16.51500000000021</v>
      </c>
      <c r="K30" s="93">
        <f t="shared" si="31"/>
        <v>32.828000000000024</v>
      </c>
      <c r="L30" s="174">
        <f t="shared" si="31"/>
        <v>15.680999999999917</v>
      </c>
      <c r="M30" s="174">
        <f t="shared" si="31"/>
        <v>16.707000000000036</v>
      </c>
      <c r="N30" s="113">
        <f t="shared" si="31"/>
        <v>15.174000000000115</v>
      </c>
      <c r="O30" s="84">
        <f t="shared" ref="O30:W30" si="32">+O25+O26+O29</f>
        <v>30.477999999999994</v>
      </c>
      <c r="P30" s="113">
        <f t="shared" si="32"/>
        <v>17.23100000000003</v>
      </c>
      <c r="Q30" s="113">
        <f t="shared" si="32"/>
        <v>22.443999999999974</v>
      </c>
      <c r="R30" s="113">
        <f t="shared" si="32"/>
        <v>29.764000000000202</v>
      </c>
      <c r="S30" s="84">
        <f t="shared" si="32"/>
        <v>42.196000000000055</v>
      </c>
      <c r="T30" s="113">
        <f t="shared" si="32"/>
        <v>48.123999999999931</v>
      </c>
      <c r="U30" s="113">
        <f t="shared" si="32"/>
        <v>58.937999999999953</v>
      </c>
      <c r="V30" s="113">
        <f t="shared" si="32"/>
        <v>39.796000000000049</v>
      </c>
      <c r="W30" s="113">
        <f t="shared" si="32"/>
        <v>68.593999999999909</v>
      </c>
      <c r="X30" s="174">
        <f t="shared" ref="X30:AM30" si="33">+X25+X26+X29</f>
        <v>36.001000000000111</v>
      </c>
      <c r="Y30" s="174">
        <f t="shared" si="33"/>
        <v>33.613999999999997</v>
      </c>
      <c r="Z30" s="113">
        <f t="shared" si="33"/>
        <v>41.08999999999979</v>
      </c>
      <c r="AA30" s="84">
        <f t="shared" si="33"/>
        <v>55.978999999999978</v>
      </c>
      <c r="AB30" s="113">
        <f t="shared" si="33"/>
        <v>39.693999999999754</v>
      </c>
      <c r="AC30" s="113">
        <f t="shared" si="33"/>
        <v>35.598999999999826</v>
      </c>
      <c r="AD30" s="113">
        <f t="shared" si="33"/>
        <v>25.483000000000793</v>
      </c>
      <c r="AE30" s="84">
        <f t="shared" si="33"/>
        <v>54.96599999999998</v>
      </c>
      <c r="AF30" s="113">
        <f t="shared" si="33"/>
        <v>42.597999999999828</v>
      </c>
      <c r="AG30" s="113">
        <f t="shared" si="33"/>
        <v>42.761000000000337</v>
      </c>
      <c r="AH30" s="113">
        <f t="shared" si="33"/>
        <v>40.885999999999726</v>
      </c>
      <c r="AI30" s="84">
        <f t="shared" si="33"/>
        <v>70.656000000000063</v>
      </c>
      <c r="AJ30" s="113">
        <f t="shared" si="33"/>
        <v>102.95599999999985</v>
      </c>
      <c r="AK30" s="113">
        <f t="shared" si="33"/>
        <v>91.141000000000048</v>
      </c>
      <c r="AL30" s="113">
        <f t="shared" si="33"/>
        <v>37.625</v>
      </c>
      <c r="AM30" s="84">
        <f t="shared" si="33"/>
        <v>83.254999999999995</v>
      </c>
      <c r="AN30" s="113">
        <f>+AN25+AN26+AN29</f>
        <v>65.724999999999753</v>
      </c>
      <c r="AO30" s="113">
        <f>+AO25+AO26+AO29</f>
        <v>93.107000000000014</v>
      </c>
      <c r="AP30" s="113">
        <f>+AP25+AP26+AP29</f>
        <v>83.113000000000483</v>
      </c>
      <c r="AQ30" s="174">
        <f t="shared" ref="AQ30:AV30" si="34">+AQ25+AQ26+AQ29</f>
        <v>45.299999999999841</v>
      </c>
      <c r="AR30" s="174">
        <f t="shared" si="34"/>
        <v>102.89999999999989</v>
      </c>
      <c r="AS30" s="174">
        <f t="shared" si="34"/>
        <v>146.5</v>
      </c>
      <c r="AT30" s="174">
        <f t="shared" si="34"/>
        <v>71.300000000000239</v>
      </c>
      <c r="AU30" s="174">
        <f t="shared" si="34"/>
        <v>38.49999999999995</v>
      </c>
      <c r="AV30" s="174">
        <f t="shared" si="34"/>
        <v>36.769000000000105</v>
      </c>
      <c r="AW30" s="174">
        <f t="shared" ref="AW30:BF30" si="35">+AW25+AW26+AW29</f>
        <v>77.572999999999581</v>
      </c>
      <c r="AX30" s="174">
        <f t="shared" si="35"/>
        <v>83.375999999999891</v>
      </c>
      <c r="AY30" s="174">
        <f t="shared" si="35"/>
        <v>138.83599999999984</v>
      </c>
      <c r="AZ30" s="174">
        <f t="shared" si="35"/>
        <v>151.91300000000001</v>
      </c>
      <c r="BA30" s="174">
        <f t="shared" si="35"/>
        <v>166.42492098000014</v>
      </c>
      <c r="BB30" s="174">
        <f t="shared" si="35"/>
        <v>79.989999999999952</v>
      </c>
      <c r="BC30" s="174">
        <f t="shared" si="35"/>
        <v>117.74200000000022</v>
      </c>
      <c r="BD30" s="174">
        <f t="shared" si="35"/>
        <v>126.00699999999969</v>
      </c>
      <c r="BE30" s="174">
        <f t="shared" si="35"/>
        <v>133.42499999999987</v>
      </c>
      <c r="BF30" s="174">
        <f t="shared" si="35"/>
        <v>132.16000000000045</v>
      </c>
      <c r="BG30" s="174">
        <v>105.08700000000054</v>
      </c>
      <c r="BH30" s="313"/>
      <c r="BI30" s="113">
        <f t="shared" ref="BI30:BS30" si="36">+BI25+BI26+BI29</f>
        <v>80.13900000000001</v>
      </c>
      <c r="BJ30" s="113">
        <f t="shared" si="36"/>
        <v>94.381000000000014</v>
      </c>
      <c r="BK30" s="174">
        <f t="shared" si="36"/>
        <v>88.605999999999909</v>
      </c>
      <c r="BL30" s="84">
        <f t="shared" si="36"/>
        <v>80.3900000000001</v>
      </c>
      <c r="BM30" s="84">
        <f t="shared" si="36"/>
        <v>99.917000000000115</v>
      </c>
      <c r="BN30" s="84">
        <f t="shared" si="36"/>
        <v>189.05399999999986</v>
      </c>
      <c r="BO30" s="84">
        <f t="shared" si="36"/>
        <v>179.29899999999984</v>
      </c>
      <c r="BP30" s="84">
        <f t="shared" si="36"/>
        <v>156.755</v>
      </c>
      <c r="BQ30" s="84">
        <f t="shared" si="36"/>
        <v>181.2110000000003</v>
      </c>
      <c r="BR30" s="84">
        <f t="shared" si="36"/>
        <v>302.43899999999917</v>
      </c>
      <c r="BS30" s="84">
        <f t="shared" si="36"/>
        <v>325.20000000000095</v>
      </c>
      <c r="BT30" s="84">
        <f>+BT25+BT26+BT29</f>
        <v>365.99999999999943</v>
      </c>
      <c r="BU30" s="84">
        <f>+BU25+BU26+BU29</f>
        <v>236.21799999999962</v>
      </c>
      <c r="BV30" s="84">
        <f>+BV25+BV26+BV29</f>
        <v>537.1630000000016</v>
      </c>
      <c r="BW30" s="84">
        <f>+BW25+BW26+BW29</f>
        <v>509.33299999999815</v>
      </c>
    </row>
    <row r="31" spans="1:78" s="23" customFormat="1" x14ac:dyDescent="0.35">
      <c r="A31" s="80"/>
      <c r="B31" s="15" t="str">
        <f>IF(Control!$D$5=1,"(-) Total Income Taxes","Total Imposto de Renda / CSLL")</f>
        <v>(-) Total Income Taxes</v>
      </c>
      <c r="C31" s="88">
        <f t="shared" ref="C31:AA31" si="37">SUM(C32:C33)</f>
        <v>-10.081999999999999</v>
      </c>
      <c r="D31" s="88">
        <f t="shared" si="37"/>
        <v>-11.679</v>
      </c>
      <c r="E31" s="88">
        <f t="shared" si="37"/>
        <v>-3.7459999999999996</v>
      </c>
      <c r="F31" s="88">
        <f t="shared" si="37"/>
        <v>-10.807000000000002</v>
      </c>
      <c r="G31" s="88">
        <f t="shared" si="37"/>
        <v>-8.5440000000000005</v>
      </c>
      <c r="H31" s="88">
        <f t="shared" si="37"/>
        <v>1.4280000000000002</v>
      </c>
      <c r="I31" s="88">
        <f t="shared" si="37"/>
        <v>-2.8369999999999989</v>
      </c>
      <c r="J31" s="88">
        <f t="shared" si="37"/>
        <v>-7.2440000000000015</v>
      </c>
      <c r="K31" s="94">
        <f t="shared" si="37"/>
        <v>-8.5440000000000005</v>
      </c>
      <c r="L31" s="94">
        <f t="shared" si="37"/>
        <v>-4.7760000000000007</v>
      </c>
      <c r="M31" s="94">
        <f t="shared" si="37"/>
        <v>-2.9039999999999981</v>
      </c>
      <c r="N31" s="88">
        <f t="shared" si="37"/>
        <v>-7.7369999999999992</v>
      </c>
      <c r="O31" s="88">
        <f t="shared" si="37"/>
        <v>-3.802</v>
      </c>
      <c r="P31" s="88">
        <f t="shared" si="37"/>
        <v>-8.0410000000000004</v>
      </c>
      <c r="Q31" s="88">
        <f t="shared" si="37"/>
        <v>-4.1899999999999977</v>
      </c>
      <c r="R31" s="88">
        <f t="shared" si="37"/>
        <v>-10.052000000000001</v>
      </c>
      <c r="S31" s="88">
        <f t="shared" si="37"/>
        <v>-13.131</v>
      </c>
      <c r="T31" s="88">
        <f t="shared" si="37"/>
        <v>-10.793999999999999</v>
      </c>
      <c r="U31" s="88">
        <f t="shared" si="37"/>
        <v>-24.759000000000004</v>
      </c>
      <c r="V31" s="88">
        <f t="shared" si="37"/>
        <v>-3.7829999999999995</v>
      </c>
      <c r="W31" s="88">
        <f t="shared" si="37"/>
        <v>-23.677</v>
      </c>
      <c r="X31" s="94">
        <f t="shared" si="37"/>
        <v>-8.9810000000000016</v>
      </c>
      <c r="Y31" s="94">
        <f t="shared" si="37"/>
        <v>-6.2829999999999995</v>
      </c>
      <c r="Z31" s="88">
        <f t="shared" si="37"/>
        <v>-16.143999999999998</v>
      </c>
      <c r="AA31" s="88">
        <f t="shared" si="37"/>
        <v>-15.811</v>
      </c>
      <c r="AB31" s="88">
        <f>SUM(AB32:AB33)</f>
        <v>-6.3460000000000019</v>
      </c>
      <c r="AC31" s="88">
        <f t="shared" ref="AC31:AM31" si="38">SUM(AC32:AC33)</f>
        <v>-14.071999999999999</v>
      </c>
      <c r="AD31" s="88">
        <f t="shared" si="38"/>
        <v>-15.565999999999995</v>
      </c>
      <c r="AE31" s="88">
        <f>SUM(AE32:AE33)</f>
        <v>-21.35</v>
      </c>
      <c r="AF31" s="88">
        <f t="shared" si="38"/>
        <v>-10.249999999999996</v>
      </c>
      <c r="AG31" s="88">
        <f t="shared" si="38"/>
        <v>-15.134</v>
      </c>
      <c r="AH31" s="88">
        <f t="shared" si="38"/>
        <v>-23.701000000000004</v>
      </c>
      <c r="AI31" s="88">
        <f t="shared" si="38"/>
        <v>-19.824999999999999</v>
      </c>
      <c r="AJ31" s="88">
        <f t="shared" si="38"/>
        <v>-39.412999999999997</v>
      </c>
      <c r="AK31" s="88">
        <f t="shared" si="38"/>
        <v>-23.951000000000004</v>
      </c>
      <c r="AL31" s="88">
        <f t="shared" si="38"/>
        <v>-17.657999999999998</v>
      </c>
      <c r="AM31" s="88">
        <f t="shared" si="38"/>
        <v>-22.058</v>
      </c>
      <c r="AN31" s="88">
        <f>SUM(AN32:AN33)</f>
        <v>-25.406000000000002</v>
      </c>
      <c r="AO31" s="88">
        <f>SUM(AO32:AO33)</f>
        <v>-21.198</v>
      </c>
      <c r="AP31" s="88">
        <f>SUM(AP32:AP33)</f>
        <v>-5.8440000000000012</v>
      </c>
      <c r="AQ31" s="94">
        <f>SUM(AQ32:AQ33)</f>
        <v>-12.700000000000001</v>
      </c>
      <c r="AR31" s="94">
        <f t="shared" ref="AR31:AW31" si="39">SUM(AR32:AR33)</f>
        <v>-23.8</v>
      </c>
      <c r="AS31" s="94">
        <f t="shared" si="39"/>
        <v>3.8000000000000007</v>
      </c>
      <c r="AT31" s="94">
        <f t="shared" si="39"/>
        <v>29</v>
      </c>
      <c r="AU31" s="94">
        <f t="shared" si="39"/>
        <v>11.299999999999999</v>
      </c>
      <c r="AV31" s="94">
        <f t="shared" si="39"/>
        <v>3.3460000000000001</v>
      </c>
      <c r="AW31" s="94">
        <f t="shared" si="39"/>
        <v>-11.476999999999999</v>
      </c>
      <c r="AX31" s="94">
        <f t="shared" ref="AX31:BF31" si="40">SUM(AX32:AX33)</f>
        <v>0.247</v>
      </c>
      <c r="AY31" s="94">
        <f t="shared" si="40"/>
        <v>-29.384</v>
      </c>
      <c r="AZ31" s="94">
        <f t="shared" si="40"/>
        <v>-13.269</v>
      </c>
      <c r="BA31" s="94">
        <f t="shared" si="40"/>
        <v>-36.917999999999999</v>
      </c>
      <c r="BB31" s="94">
        <f t="shared" si="40"/>
        <v>5.0839999999999996</v>
      </c>
      <c r="BC31" s="94">
        <f t="shared" si="40"/>
        <v>-9.5659999999999989</v>
      </c>
      <c r="BD31" s="94">
        <f t="shared" si="40"/>
        <v>-19.484000000000002</v>
      </c>
      <c r="BE31" s="94">
        <f t="shared" si="40"/>
        <v>-12.917000000000002</v>
      </c>
      <c r="BF31" s="94">
        <f t="shared" si="40"/>
        <v>11.349</v>
      </c>
      <c r="BG31" s="94">
        <v>-8.2629999999999999</v>
      </c>
      <c r="BH31" s="313"/>
      <c r="BI31" s="88">
        <f t="shared" ref="BI31:BS31" si="41">SUM(BI32:BI33)</f>
        <v>-22.691000000000003</v>
      </c>
      <c r="BJ31" s="114">
        <f t="shared" si="41"/>
        <v>-36.314</v>
      </c>
      <c r="BK31" s="94">
        <f t="shared" si="41"/>
        <v>-17.196999999999999</v>
      </c>
      <c r="BL31" s="88">
        <f t="shared" si="41"/>
        <v>-23.960999999999999</v>
      </c>
      <c r="BM31" s="88">
        <f t="shared" si="41"/>
        <v>-26.085000000000001</v>
      </c>
      <c r="BN31" s="88">
        <f t="shared" si="41"/>
        <v>-52.466999999999999</v>
      </c>
      <c r="BO31" s="88">
        <f t="shared" si="41"/>
        <v>-55.085000000000001</v>
      </c>
      <c r="BP31" s="88">
        <f t="shared" si="41"/>
        <v>-51.795000000000002</v>
      </c>
      <c r="BQ31" s="88">
        <f t="shared" si="41"/>
        <v>-70.435000000000002</v>
      </c>
      <c r="BR31" s="88">
        <f t="shared" si="41"/>
        <v>-100.84700000000001</v>
      </c>
      <c r="BS31" s="88">
        <f t="shared" si="41"/>
        <v>-74.506</v>
      </c>
      <c r="BT31" s="88">
        <f>SUM(BT32:BT33)</f>
        <v>-3.6999999999999957</v>
      </c>
      <c r="BU31" s="88">
        <f>SUM(BU32:BU33)</f>
        <v>3.4160000000000039</v>
      </c>
      <c r="BV31" s="88">
        <f>SUM(BV32:BV33)</f>
        <v>-74.486999999999995</v>
      </c>
      <c r="BW31" s="88">
        <f>SUM(BW32:BW33)</f>
        <v>-30.617999999999999</v>
      </c>
    </row>
    <row r="32" spans="1:78" s="25" customFormat="1" x14ac:dyDescent="0.35">
      <c r="A32" s="127"/>
      <c r="B32" s="39" t="str">
        <f>IF(Control!$D$5=1,"(-) Income Taxes","Imposto de Renda / CSLL")</f>
        <v>(-) Income Taxes</v>
      </c>
      <c r="C32" s="88">
        <v>-11.167999999999999</v>
      </c>
      <c r="D32" s="115">
        <v>-14.446</v>
      </c>
      <c r="E32" s="115">
        <v>4.2770000000000001</v>
      </c>
      <c r="F32" s="114">
        <v>-6.8800000000000026</v>
      </c>
      <c r="G32" s="88">
        <v>-10.393000000000001</v>
      </c>
      <c r="H32" s="114">
        <v>0.18599999999999994</v>
      </c>
      <c r="I32" s="114">
        <v>-4.831999999999999</v>
      </c>
      <c r="J32" s="114">
        <v>-7.7250000000000014</v>
      </c>
      <c r="K32" s="94">
        <v>-8.3109999999999999</v>
      </c>
      <c r="L32" s="115">
        <v>-6.4120000000000008</v>
      </c>
      <c r="M32" s="115">
        <v>-4.0289999999999981</v>
      </c>
      <c r="N32" s="114">
        <v>-7.5759999999999987</v>
      </c>
      <c r="O32" s="88">
        <v>-6.3490000000000002</v>
      </c>
      <c r="P32" s="114">
        <v>-8.5090000000000003</v>
      </c>
      <c r="Q32" s="114">
        <v>-1.7889999999999979</v>
      </c>
      <c r="R32" s="114">
        <v>-8.1460000000000008</v>
      </c>
      <c r="S32" s="88">
        <v>-7.2880000000000003</v>
      </c>
      <c r="T32" s="114">
        <v>-8.347999999999999</v>
      </c>
      <c r="U32" s="114">
        <v>-18.680000000000003</v>
      </c>
      <c r="V32" s="114">
        <v>-10.247</v>
      </c>
      <c r="W32" s="114">
        <v>-6.5060000000000002</v>
      </c>
      <c r="X32" s="115">
        <v>-8.5210000000000008</v>
      </c>
      <c r="Y32" s="115">
        <v>-1.302</v>
      </c>
      <c r="Z32" s="114">
        <v>-12.055</v>
      </c>
      <c r="AA32" s="88">
        <v>-5.3129999999999997</v>
      </c>
      <c r="AB32" s="114">
        <v>3.0399999999999996</v>
      </c>
      <c r="AC32" s="114">
        <v>-4.1610000000000005</v>
      </c>
      <c r="AD32" s="114">
        <v>-10.463999999999999</v>
      </c>
      <c r="AE32" s="88">
        <v>-5.1520000000000001</v>
      </c>
      <c r="AF32" s="114">
        <v>-4.6089999999999991</v>
      </c>
      <c r="AG32" s="114">
        <v>-5.47</v>
      </c>
      <c r="AH32" s="114">
        <v>-25.713000000000005</v>
      </c>
      <c r="AI32" s="88">
        <v>-21.181000000000001</v>
      </c>
      <c r="AJ32" s="114">
        <v>-29.526</v>
      </c>
      <c r="AK32" s="114">
        <v>-22.353000000000005</v>
      </c>
      <c r="AL32" s="114">
        <v>-13.910999999999998</v>
      </c>
      <c r="AM32" s="88">
        <v>-16.763000000000002</v>
      </c>
      <c r="AN32" s="114">
        <v>-6.8189999999999991</v>
      </c>
      <c r="AO32" s="114">
        <v>-15.677</v>
      </c>
      <c r="AP32" s="114">
        <v>0.88600000000000279</v>
      </c>
      <c r="AQ32" s="115">
        <v>-13.8</v>
      </c>
      <c r="AR32" s="115">
        <v>-23.7</v>
      </c>
      <c r="AS32" s="115">
        <v>-10.6</v>
      </c>
      <c r="AT32" s="115">
        <v>14.8</v>
      </c>
      <c r="AU32" s="115">
        <v>9.1999999999999993</v>
      </c>
      <c r="AV32" s="115">
        <v>-20.498000000000001</v>
      </c>
      <c r="AW32" s="115">
        <v>-10.202</v>
      </c>
      <c r="AX32" s="115">
        <v>-0.63300000000000001</v>
      </c>
      <c r="AY32" s="115">
        <v>-14.566000000000001</v>
      </c>
      <c r="AZ32" s="115">
        <v>-17.913</v>
      </c>
      <c r="BA32" s="115">
        <v>-38.207999999999998</v>
      </c>
      <c r="BB32" s="115">
        <v>-2.762</v>
      </c>
      <c r="BC32" s="115">
        <v>-14.792999999999999</v>
      </c>
      <c r="BD32" s="115">
        <v>-11.595000000000001</v>
      </c>
      <c r="BE32" s="115">
        <v>-19.701000000000001</v>
      </c>
      <c r="BF32" s="94">
        <v>15.025</v>
      </c>
      <c r="BG32" s="94">
        <v>-8.1180000000000003</v>
      </c>
      <c r="BH32" s="313"/>
      <c r="BI32" s="114">
        <v>-17.234000000000002</v>
      </c>
      <c r="BJ32" s="114">
        <v>-28.216999999999999</v>
      </c>
      <c r="BK32" s="115">
        <v>-22.763999999999999</v>
      </c>
      <c r="BL32" s="88">
        <v>-26.327999999999999</v>
      </c>
      <c r="BM32" s="88">
        <v>-24.792999999999999</v>
      </c>
      <c r="BN32" s="88">
        <v>-44.563000000000002</v>
      </c>
      <c r="BO32" s="88">
        <v>-28.384</v>
      </c>
      <c r="BP32" s="88">
        <v>-16.898</v>
      </c>
      <c r="BQ32" s="88">
        <v>-40.944000000000003</v>
      </c>
      <c r="BR32" s="88">
        <v>-86.971000000000004</v>
      </c>
      <c r="BS32" s="88">
        <v>-38.372999999999998</v>
      </c>
      <c r="BT32" s="94">
        <v>-33.299999999999997</v>
      </c>
      <c r="BU32" s="94">
        <v>-22.132999999999999</v>
      </c>
      <c r="BV32" s="94">
        <v>-73.448999999999998</v>
      </c>
      <c r="BW32" s="94">
        <v>-31.064</v>
      </c>
      <c r="BX32" s="26"/>
      <c r="BY32" s="26"/>
      <c r="BZ32" s="26"/>
    </row>
    <row r="33" spans="1:78" s="25" customFormat="1" x14ac:dyDescent="0.35">
      <c r="A33" s="127"/>
      <c r="B33" s="39" t="str">
        <f>IF(Control!$D$5=1,"(-) Diferred Income Taxes","Imposto de Renda / CSLL Diferido")</f>
        <v>(-) Diferred Income Taxes</v>
      </c>
      <c r="C33" s="88">
        <v>1.0860000000000001</v>
      </c>
      <c r="D33" s="115">
        <v>2.7669999999999999</v>
      </c>
      <c r="E33" s="115">
        <v>-8.0229999999999997</v>
      </c>
      <c r="F33" s="114">
        <v>-3.9269999999999996</v>
      </c>
      <c r="G33" s="88">
        <v>1.849</v>
      </c>
      <c r="H33" s="114">
        <v>1.2420000000000002</v>
      </c>
      <c r="I33" s="114">
        <v>1.9950000000000003</v>
      </c>
      <c r="J33" s="114">
        <v>0.48100000000000009</v>
      </c>
      <c r="K33" s="94">
        <v>-0.23300000000000001</v>
      </c>
      <c r="L33" s="115">
        <v>1.6360000000000001</v>
      </c>
      <c r="M33" s="115">
        <v>1.125</v>
      </c>
      <c r="N33" s="114">
        <v>-0.16100000000000012</v>
      </c>
      <c r="O33" s="88">
        <v>2.5470000000000002</v>
      </c>
      <c r="P33" s="114">
        <v>0.46799999999999997</v>
      </c>
      <c r="Q33" s="114">
        <v>-2.4010000000000002</v>
      </c>
      <c r="R33" s="114">
        <v>-1.9059999999999999</v>
      </c>
      <c r="S33" s="88">
        <v>-5.843</v>
      </c>
      <c r="T33" s="114">
        <v>-2.4459999999999997</v>
      </c>
      <c r="U33" s="114">
        <v>-6.0790000000000006</v>
      </c>
      <c r="V33" s="114">
        <v>6.4640000000000004</v>
      </c>
      <c r="W33" s="114">
        <v>-17.170999999999999</v>
      </c>
      <c r="X33" s="115">
        <v>-0.46</v>
      </c>
      <c r="Y33" s="115">
        <v>-4.9809999999999999</v>
      </c>
      <c r="Z33" s="114">
        <v>-4.0889999999999986</v>
      </c>
      <c r="AA33" s="88">
        <v>-10.497999999999999</v>
      </c>
      <c r="AB33" s="114">
        <v>-9.386000000000001</v>
      </c>
      <c r="AC33" s="114">
        <v>-9.9109999999999996</v>
      </c>
      <c r="AD33" s="114">
        <v>-5.1019999999999968</v>
      </c>
      <c r="AE33" s="88">
        <v>-16.198</v>
      </c>
      <c r="AF33" s="114">
        <v>-5.6409999999999982</v>
      </c>
      <c r="AG33" s="114">
        <v>-9.6640000000000015</v>
      </c>
      <c r="AH33" s="114">
        <v>2.0120000000000005</v>
      </c>
      <c r="AI33" s="88">
        <v>1.3560000000000001</v>
      </c>
      <c r="AJ33" s="114">
        <v>-9.8870000000000005</v>
      </c>
      <c r="AK33" s="114">
        <v>-1.5979999999999992</v>
      </c>
      <c r="AL33" s="114">
        <v>-3.7469999999999999</v>
      </c>
      <c r="AM33" s="88">
        <v>-5.2949999999999999</v>
      </c>
      <c r="AN33" s="114">
        <v>-18.587000000000003</v>
      </c>
      <c r="AO33" s="114">
        <v>-5.5209999999999999</v>
      </c>
      <c r="AP33" s="114">
        <v>-6.730000000000004</v>
      </c>
      <c r="AQ33" s="115">
        <v>1.1000000000000001</v>
      </c>
      <c r="AR33" s="115">
        <v>-0.10000000000000009</v>
      </c>
      <c r="AS33" s="115">
        <v>14.4</v>
      </c>
      <c r="AT33" s="115">
        <v>14.2</v>
      </c>
      <c r="AU33" s="115">
        <v>2.1</v>
      </c>
      <c r="AV33" s="115">
        <v>23.844000000000001</v>
      </c>
      <c r="AW33" s="115">
        <v>-1.2749999999999986</v>
      </c>
      <c r="AX33" s="115">
        <v>0.88</v>
      </c>
      <c r="AY33" s="115">
        <v>-14.818</v>
      </c>
      <c r="AZ33" s="115">
        <v>4.6440000000000001</v>
      </c>
      <c r="BA33" s="115">
        <v>1.29</v>
      </c>
      <c r="BB33" s="115">
        <v>7.8460000000000001</v>
      </c>
      <c r="BC33" s="115">
        <v>5.2270000000000003</v>
      </c>
      <c r="BD33" s="115">
        <v>-7.8890000000000002</v>
      </c>
      <c r="BE33" s="115">
        <v>6.7839999999999998</v>
      </c>
      <c r="BF33" s="115">
        <v>-3.6760000000000002</v>
      </c>
      <c r="BG33" s="115">
        <v>-0.14499999999999999</v>
      </c>
      <c r="BH33" s="313"/>
      <c r="BI33" s="114">
        <v>-5.4569999999999999</v>
      </c>
      <c r="BJ33" s="114">
        <v>-8.0969999999999995</v>
      </c>
      <c r="BK33" s="115">
        <v>5.5670000000000002</v>
      </c>
      <c r="BL33" s="88">
        <v>2.367</v>
      </c>
      <c r="BM33" s="88">
        <v>-1.292</v>
      </c>
      <c r="BN33" s="88">
        <v>-7.9039999999999999</v>
      </c>
      <c r="BO33" s="88">
        <v>-26.701000000000001</v>
      </c>
      <c r="BP33" s="88">
        <v>-34.896999999999998</v>
      </c>
      <c r="BQ33" s="88">
        <v>-29.491</v>
      </c>
      <c r="BR33" s="88">
        <v>-13.875999999999999</v>
      </c>
      <c r="BS33" s="88">
        <v>-36.133000000000003</v>
      </c>
      <c r="BT33" s="94">
        <v>29.6</v>
      </c>
      <c r="BU33" s="94">
        <v>25.549000000000003</v>
      </c>
      <c r="BV33" s="94">
        <v>-1.038</v>
      </c>
      <c r="BW33" s="94">
        <v>0.44600000000000001</v>
      </c>
      <c r="BX33" s="26"/>
      <c r="BY33" s="26"/>
      <c r="BZ33" s="26"/>
    </row>
    <row r="34" spans="1:78" s="11" customFormat="1" x14ac:dyDescent="0.35">
      <c r="A34" s="130"/>
      <c r="B34" s="40" t="str">
        <f>IF(Control!$D$5=1,"Net Income","Lucro Líquido")</f>
        <v>Net Income</v>
      </c>
      <c r="C34" s="85">
        <f t="shared" ref="C34:N34" si="42">+C30+C31</f>
        <v>30.864999999999981</v>
      </c>
      <c r="D34" s="85">
        <f>+D30+D31</f>
        <v>38.844999999999978</v>
      </c>
      <c r="E34" s="85">
        <f t="shared" si="42"/>
        <v>-7.516999999999995</v>
      </c>
      <c r="F34" s="85">
        <f t="shared" si="42"/>
        <v>-4.1259999999999284</v>
      </c>
      <c r="G34" s="85">
        <f t="shared" si="42"/>
        <v>27.613299999999978</v>
      </c>
      <c r="H34" s="85">
        <f t="shared" si="42"/>
        <v>26.222699999999996</v>
      </c>
      <c r="I34" s="85">
        <f t="shared" si="42"/>
        <v>8.3019999999999214</v>
      </c>
      <c r="J34" s="85">
        <f t="shared" si="42"/>
        <v>9.2710000000002086</v>
      </c>
      <c r="K34" s="85">
        <f t="shared" si="42"/>
        <v>24.284000000000024</v>
      </c>
      <c r="L34" s="85">
        <f t="shared" si="42"/>
        <v>10.904999999999916</v>
      </c>
      <c r="M34" s="85">
        <f t="shared" si="42"/>
        <v>13.803000000000038</v>
      </c>
      <c r="N34" s="85">
        <f t="shared" si="42"/>
        <v>7.4370000000001157</v>
      </c>
      <c r="O34" s="85">
        <f t="shared" ref="O34:AM34" si="43">+O30+O31</f>
        <v>26.675999999999995</v>
      </c>
      <c r="P34" s="85">
        <f t="shared" si="43"/>
        <v>9.1900000000000297</v>
      </c>
      <c r="Q34" s="85">
        <f t="shared" si="43"/>
        <v>18.253999999999976</v>
      </c>
      <c r="R34" s="85">
        <f t="shared" si="43"/>
        <v>19.712000000000202</v>
      </c>
      <c r="S34" s="85">
        <f t="shared" si="43"/>
        <v>29.065000000000055</v>
      </c>
      <c r="T34" s="85">
        <f t="shared" si="43"/>
        <v>37.329999999999934</v>
      </c>
      <c r="U34" s="85">
        <f t="shared" si="43"/>
        <v>34.178999999999945</v>
      </c>
      <c r="V34" s="85">
        <f t="shared" si="43"/>
        <v>36.013000000000048</v>
      </c>
      <c r="W34" s="85">
        <f t="shared" si="43"/>
        <v>44.916999999999909</v>
      </c>
      <c r="X34" s="85">
        <f t="shared" si="43"/>
        <v>27.02000000000011</v>
      </c>
      <c r="Y34" s="85">
        <f t="shared" si="43"/>
        <v>27.330999999999996</v>
      </c>
      <c r="Z34" s="85">
        <f t="shared" si="43"/>
        <v>24.945999999999792</v>
      </c>
      <c r="AA34" s="85">
        <f t="shared" si="43"/>
        <v>40.167999999999978</v>
      </c>
      <c r="AB34" s="85">
        <f t="shared" si="43"/>
        <v>33.34799999999975</v>
      </c>
      <c r="AC34" s="85">
        <f t="shared" si="43"/>
        <v>21.526999999999827</v>
      </c>
      <c r="AD34" s="85">
        <f t="shared" si="43"/>
        <v>9.9170000000007974</v>
      </c>
      <c r="AE34" s="85">
        <f t="shared" si="43"/>
        <v>33.615999999999978</v>
      </c>
      <c r="AF34" s="85">
        <f t="shared" si="43"/>
        <v>32.347999999999828</v>
      </c>
      <c r="AG34" s="85">
        <f t="shared" si="43"/>
        <v>27.627000000000336</v>
      </c>
      <c r="AH34" s="85">
        <f t="shared" si="43"/>
        <v>17.184999999999722</v>
      </c>
      <c r="AI34" s="85">
        <f t="shared" si="43"/>
        <v>50.83100000000006</v>
      </c>
      <c r="AJ34" s="85">
        <f t="shared" si="43"/>
        <v>63.54299999999985</v>
      </c>
      <c r="AK34" s="85">
        <f t="shared" si="43"/>
        <v>67.19000000000004</v>
      </c>
      <c r="AL34" s="85">
        <f t="shared" si="43"/>
        <v>19.967000000000002</v>
      </c>
      <c r="AM34" s="85">
        <f t="shared" si="43"/>
        <v>61.196999999999996</v>
      </c>
      <c r="AN34" s="85">
        <f t="shared" ref="AN34:AS34" si="44">+AN30+AN31</f>
        <v>40.318999999999747</v>
      </c>
      <c r="AO34" s="85">
        <f t="shared" si="44"/>
        <v>71.90900000000002</v>
      </c>
      <c r="AP34" s="85">
        <f t="shared" si="44"/>
        <v>77.269000000000489</v>
      </c>
      <c r="AQ34" s="85">
        <f t="shared" si="44"/>
        <v>32.599999999999838</v>
      </c>
      <c r="AR34" s="85">
        <f t="shared" si="44"/>
        <v>79.099999999999895</v>
      </c>
      <c r="AS34" s="85">
        <f t="shared" si="44"/>
        <v>150.30000000000001</v>
      </c>
      <c r="AT34" s="85">
        <f>+AT30+AT31</f>
        <v>100.30000000000024</v>
      </c>
      <c r="AU34" s="85">
        <f>+AU30+AU31</f>
        <v>49.799999999999947</v>
      </c>
      <c r="AV34" s="85">
        <f>+AV30+AV31</f>
        <v>40.115000000000109</v>
      </c>
      <c r="AW34" s="85">
        <f>+AW30+AW31</f>
        <v>66.095999999999577</v>
      </c>
      <c r="AX34" s="85">
        <f>+AX30+AX31</f>
        <v>83.622999999999891</v>
      </c>
      <c r="AY34" s="85">
        <f t="shared" ref="AY34:BF34" si="45">+AY30+AY31</f>
        <v>109.45199999999984</v>
      </c>
      <c r="AZ34" s="85">
        <f t="shared" si="45"/>
        <v>138.64400000000001</v>
      </c>
      <c r="BA34" s="85">
        <f t="shared" si="45"/>
        <v>129.50692098000013</v>
      </c>
      <c r="BB34" s="85">
        <f t="shared" si="45"/>
        <v>85.073999999999955</v>
      </c>
      <c r="BC34" s="85">
        <f t="shared" si="45"/>
        <v>108.17600000000022</v>
      </c>
      <c r="BD34" s="85">
        <f t="shared" si="45"/>
        <v>106.52299999999968</v>
      </c>
      <c r="BE34" s="85">
        <f t="shared" si="45"/>
        <v>120.50799999999987</v>
      </c>
      <c r="BF34" s="85">
        <f t="shared" si="45"/>
        <v>143.50900000000044</v>
      </c>
      <c r="BG34" s="85">
        <v>96.824000000000538</v>
      </c>
      <c r="BH34" s="313"/>
      <c r="BI34" s="85">
        <f t="shared" ref="BI34:BR34" si="46">+BI30+BI31</f>
        <v>57.448000000000008</v>
      </c>
      <c r="BJ34" s="85">
        <f t="shared" si="46"/>
        <v>58.067000000000014</v>
      </c>
      <c r="BK34" s="85">
        <f t="shared" si="46"/>
        <v>71.408999999999907</v>
      </c>
      <c r="BL34" s="85">
        <f t="shared" si="46"/>
        <v>56.429000000000102</v>
      </c>
      <c r="BM34" s="85">
        <f t="shared" si="46"/>
        <v>73.832000000000107</v>
      </c>
      <c r="BN34" s="85">
        <f t="shared" si="46"/>
        <v>136.58699999999988</v>
      </c>
      <c r="BO34" s="85">
        <f t="shared" si="46"/>
        <v>124.21399999999983</v>
      </c>
      <c r="BP34" s="85">
        <f t="shared" si="46"/>
        <v>104.96</v>
      </c>
      <c r="BQ34" s="85">
        <f t="shared" si="46"/>
        <v>110.77600000000029</v>
      </c>
      <c r="BR34" s="85">
        <f t="shared" si="46"/>
        <v>201.59199999999916</v>
      </c>
      <c r="BS34" s="85">
        <f>+BS30+BS31</f>
        <v>250.69400000000095</v>
      </c>
      <c r="BT34" s="85">
        <f>+BT30+BT31</f>
        <v>362.29999999999944</v>
      </c>
      <c r="BU34" s="85">
        <f>+BU30+BU31</f>
        <v>239.63399999999962</v>
      </c>
      <c r="BV34" s="85">
        <f>+BV30+BV31</f>
        <v>462.67600000000164</v>
      </c>
      <c r="BW34" s="85">
        <f>+BW30+BW31</f>
        <v>478.71499999999816</v>
      </c>
    </row>
    <row r="35" spans="1:78" ht="12" customHeight="1" x14ac:dyDescent="0.35">
      <c r="B35" s="15"/>
      <c r="C35" s="94"/>
      <c r="D35" s="115"/>
      <c r="E35" s="115"/>
      <c r="F35" s="115"/>
      <c r="G35" s="94"/>
      <c r="H35" s="115"/>
      <c r="I35" s="115"/>
      <c r="J35" s="115"/>
      <c r="K35" s="94"/>
      <c r="L35" s="115"/>
      <c r="M35" s="115"/>
      <c r="N35" s="115"/>
      <c r="O35" s="94"/>
      <c r="P35" s="115"/>
      <c r="Q35" s="115"/>
      <c r="R35" s="115"/>
      <c r="S35" s="94"/>
      <c r="T35" s="115"/>
      <c r="U35" s="115"/>
      <c r="V35" s="115"/>
      <c r="W35" s="115"/>
      <c r="X35" s="115"/>
      <c r="Y35" s="115"/>
      <c r="Z35" s="115"/>
      <c r="AA35" s="94"/>
      <c r="AB35" s="115"/>
      <c r="AC35" s="115"/>
      <c r="AD35" s="115"/>
      <c r="AE35" s="94"/>
      <c r="AF35" s="115"/>
      <c r="AG35" s="115"/>
      <c r="AH35" s="115"/>
      <c r="AI35" s="94"/>
      <c r="AJ35" s="115"/>
      <c r="AK35" s="115"/>
      <c r="AL35" s="115"/>
      <c r="AM35" s="94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I35" s="115"/>
      <c r="BJ35" s="115"/>
      <c r="BK35" s="115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8" s="7" customFormat="1" ht="12" customHeight="1" x14ac:dyDescent="0.35">
      <c r="B36" s="56" t="str">
        <f>IF(Control!$D$5=1,"(-) Non Recurring Revenues/Expenses","(-) Receitas/Despesas Não Recorrentes")</f>
        <v>(-) Non Recurring Revenues/Expenses</v>
      </c>
      <c r="C36" s="94"/>
      <c r="D36" s="115"/>
      <c r="E36" s="115"/>
      <c r="F36" s="115"/>
      <c r="G36" s="94"/>
      <c r="H36" s="115"/>
      <c r="I36" s="115"/>
      <c r="J36" s="115"/>
      <c r="K36" s="94"/>
      <c r="L36" s="115"/>
      <c r="M36" s="115"/>
      <c r="N36" s="115"/>
      <c r="O36" s="94"/>
      <c r="P36" s="115"/>
      <c r="Q36" s="115"/>
      <c r="R36" s="115"/>
      <c r="S36" s="94"/>
      <c r="T36" s="115"/>
      <c r="U36" s="115"/>
      <c r="V36" s="115"/>
      <c r="W36" s="115"/>
      <c r="X36" s="115"/>
      <c r="Y36" s="115"/>
      <c r="Z36" s="115"/>
      <c r="AA36" s="94"/>
      <c r="AB36" s="115"/>
      <c r="AC36" s="115"/>
      <c r="AD36" s="115"/>
      <c r="AE36" s="94"/>
      <c r="AF36" s="115"/>
      <c r="AG36" s="115"/>
      <c r="AH36" s="115"/>
      <c r="AI36" s="94"/>
      <c r="AJ36" s="115"/>
      <c r="AK36" s="115"/>
      <c r="AL36" s="115"/>
      <c r="AM36" s="94"/>
      <c r="AN36" s="115"/>
      <c r="AO36" s="115"/>
      <c r="AP36" s="115"/>
      <c r="AQ36" s="115"/>
      <c r="AR36" s="115">
        <v>11.099999999999895</v>
      </c>
      <c r="AS36" s="115">
        <v>78.5</v>
      </c>
      <c r="AT36" s="115">
        <v>22.700000000000273</v>
      </c>
      <c r="AU36" s="115">
        <v>0</v>
      </c>
      <c r="AV36" s="115">
        <v>0</v>
      </c>
      <c r="AW36" s="115">
        <v>0</v>
      </c>
      <c r="AX36" s="115">
        <v>0</v>
      </c>
      <c r="AY36" s="115">
        <v>0</v>
      </c>
      <c r="AZ36" s="115">
        <v>0</v>
      </c>
      <c r="BA36" s="115">
        <v>0</v>
      </c>
      <c r="BB36" s="115">
        <v>0</v>
      </c>
      <c r="BC36" s="115"/>
      <c r="BD36" s="115"/>
      <c r="BE36" s="115"/>
      <c r="BF36" s="115">
        <v>88.363928230274013</v>
      </c>
      <c r="BG36" s="115"/>
      <c r="BH36" s="249"/>
      <c r="BI36" s="115"/>
      <c r="BJ36" s="115"/>
      <c r="BK36" s="115"/>
      <c r="BL36" s="94"/>
      <c r="BM36" s="94"/>
      <c r="BN36" s="94"/>
      <c r="BO36" s="94"/>
      <c r="BP36" s="94"/>
      <c r="BQ36" s="94"/>
      <c r="BR36" s="94"/>
      <c r="BS36" s="94"/>
      <c r="BT36" s="94">
        <v>116.50000000000026</v>
      </c>
      <c r="BU36" s="94"/>
      <c r="BV36" s="94"/>
      <c r="BW36" s="94">
        <f t="shared" ref="BW36:BW51" si="47">SUM(BC36:BF36)</f>
        <v>88.363928230274013</v>
      </c>
    </row>
    <row r="37" spans="1:78" s="130" customFormat="1" x14ac:dyDescent="0.35">
      <c r="B37" s="129" t="str">
        <f>IF(Control!$D$5=1,"Adjusted Net Income","Lucro Líquido Ajustado")</f>
        <v>Adjusted Net Income</v>
      </c>
      <c r="C37" s="85">
        <f>+C34-C36</f>
        <v>30.864999999999981</v>
      </c>
      <c r="D37" s="85">
        <f t="shared" ref="D37:BS37" si="48">+D34-D36</f>
        <v>38.844999999999978</v>
      </c>
      <c r="E37" s="85">
        <f t="shared" si="48"/>
        <v>-7.516999999999995</v>
      </c>
      <c r="F37" s="85">
        <f t="shared" si="48"/>
        <v>-4.1259999999999284</v>
      </c>
      <c r="G37" s="85">
        <f t="shared" si="48"/>
        <v>27.613299999999978</v>
      </c>
      <c r="H37" s="85">
        <f t="shared" si="48"/>
        <v>26.222699999999996</v>
      </c>
      <c r="I37" s="85">
        <f t="shared" si="48"/>
        <v>8.3019999999999214</v>
      </c>
      <c r="J37" s="85">
        <f t="shared" si="48"/>
        <v>9.2710000000002086</v>
      </c>
      <c r="K37" s="85">
        <f t="shared" si="48"/>
        <v>24.284000000000024</v>
      </c>
      <c r="L37" s="85">
        <f t="shared" si="48"/>
        <v>10.904999999999916</v>
      </c>
      <c r="M37" s="85">
        <f t="shared" si="48"/>
        <v>13.803000000000038</v>
      </c>
      <c r="N37" s="85">
        <f t="shared" si="48"/>
        <v>7.4370000000001157</v>
      </c>
      <c r="O37" s="85">
        <f t="shared" si="48"/>
        <v>26.675999999999995</v>
      </c>
      <c r="P37" s="85">
        <f t="shared" si="48"/>
        <v>9.1900000000000297</v>
      </c>
      <c r="Q37" s="85">
        <f t="shared" si="48"/>
        <v>18.253999999999976</v>
      </c>
      <c r="R37" s="85">
        <f t="shared" si="48"/>
        <v>19.712000000000202</v>
      </c>
      <c r="S37" s="85">
        <f t="shared" si="48"/>
        <v>29.065000000000055</v>
      </c>
      <c r="T37" s="85">
        <f t="shared" si="48"/>
        <v>37.329999999999934</v>
      </c>
      <c r="U37" s="85">
        <f t="shared" si="48"/>
        <v>34.178999999999945</v>
      </c>
      <c r="V37" s="85">
        <f t="shared" si="48"/>
        <v>36.013000000000048</v>
      </c>
      <c r="W37" s="85">
        <f t="shared" si="48"/>
        <v>44.916999999999909</v>
      </c>
      <c r="X37" s="85">
        <f t="shared" si="48"/>
        <v>27.02000000000011</v>
      </c>
      <c r="Y37" s="85">
        <f t="shared" si="48"/>
        <v>27.330999999999996</v>
      </c>
      <c r="Z37" s="85">
        <f t="shared" si="48"/>
        <v>24.945999999999792</v>
      </c>
      <c r="AA37" s="85">
        <f t="shared" si="48"/>
        <v>40.167999999999978</v>
      </c>
      <c r="AB37" s="85">
        <f t="shared" si="48"/>
        <v>33.34799999999975</v>
      </c>
      <c r="AC37" s="85">
        <f t="shared" si="48"/>
        <v>21.526999999999827</v>
      </c>
      <c r="AD37" s="85">
        <f t="shared" si="48"/>
        <v>9.9170000000007974</v>
      </c>
      <c r="AE37" s="85">
        <f t="shared" si="48"/>
        <v>33.615999999999978</v>
      </c>
      <c r="AF37" s="85">
        <f t="shared" si="48"/>
        <v>32.347999999999828</v>
      </c>
      <c r="AG37" s="85">
        <f t="shared" si="48"/>
        <v>27.627000000000336</v>
      </c>
      <c r="AH37" s="85">
        <f t="shared" si="48"/>
        <v>17.184999999999722</v>
      </c>
      <c r="AI37" s="85">
        <f t="shared" si="48"/>
        <v>50.83100000000006</v>
      </c>
      <c r="AJ37" s="85">
        <f t="shared" si="48"/>
        <v>63.54299999999985</v>
      </c>
      <c r="AK37" s="85">
        <f t="shared" si="48"/>
        <v>67.19000000000004</v>
      </c>
      <c r="AL37" s="85">
        <f t="shared" si="48"/>
        <v>19.967000000000002</v>
      </c>
      <c r="AM37" s="85">
        <f t="shared" si="48"/>
        <v>61.196999999999996</v>
      </c>
      <c r="AN37" s="85">
        <f t="shared" si="48"/>
        <v>40.318999999999747</v>
      </c>
      <c r="AO37" s="85">
        <f t="shared" si="48"/>
        <v>71.90900000000002</v>
      </c>
      <c r="AP37" s="85">
        <f t="shared" si="48"/>
        <v>77.269000000000489</v>
      </c>
      <c r="AQ37" s="85">
        <f t="shared" si="48"/>
        <v>32.599999999999838</v>
      </c>
      <c r="AR37" s="85">
        <f>+AR34-AR36</f>
        <v>68</v>
      </c>
      <c r="AS37" s="85">
        <f t="shared" si="48"/>
        <v>71.800000000000011</v>
      </c>
      <c r="AT37" s="85">
        <f t="shared" ref="AT37:BF37" si="49">+AT34-AT36</f>
        <v>77.599999999999966</v>
      </c>
      <c r="AU37" s="85">
        <f t="shared" si="49"/>
        <v>49.799999999999947</v>
      </c>
      <c r="AV37" s="85">
        <f t="shared" si="49"/>
        <v>40.115000000000109</v>
      </c>
      <c r="AW37" s="85">
        <f t="shared" si="49"/>
        <v>66.095999999999577</v>
      </c>
      <c r="AX37" s="85">
        <f t="shared" si="49"/>
        <v>83.622999999999891</v>
      </c>
      <c r="AY37" s="85">
        <f t="shared" si="49"/>
        <v>109.45199999999984</v>
      </c>
      <c r="AZ37" s="85">
        <f t="shared" si="49"/>
        <v>138.64400000000001</v>
      </c>
      <c r="BA37" s="85">
        <f t="shared" si="49"/>
        <v>129.50692098000013</v>
      </c>
      <c r="BB37" s="85">
        <f t="shared" si="49"/>
        <v>85.073999999999955</v>
      </c>
      <c r="BC37" s="85">
        <f t="shared" si="49"/>
        <v>108.17600000000022</v>
      </c>
      <c r="BD37" s="85">
        <f t="shared" si="49"/>
        <v>106.52299999999968</v>
      </c>
      <c r="BE37" s="85">
        <f t="shared" si="49"/>
        <v>120.50799999999987</v>
      </c>
      <c r="BF37" s="85">
        <f t="shared" si="49"/>
        <v>55.145071769726428</v>
      </c>
      <c r="BG37" s="85">
        <v>96.824000000000538</v>
      </c>
      <c r="BI37" s="85">
        <f t="shared" si="48"/>
        <v>57.448000000000008</v>
      </c>
      <c r="BJ37" s="85">
        <f t="shared" si="48"/>
        <v>58.067000000000014</v>
      </c>
      <c r="BK37" s="85">
        <f t="shared" si="48"/>
        <v>71.408999999999907</v>
      </c>
      <c r="BL37" s="85">
        <f t="shared" si="48"/>
        <v>56.429000000000102</v>
      </c>
      <c r="BM37" s="85">
        <f t="shared" si="48"/>
        <v>73.832000000000107</v>
      </c>
      <c r="BN37" s="85">
        <f t="shared" si="48"/>
        <v>136.58699999999988</v>
      </c>
      <c r="BO37" s="85">
        <f t="shared" si="48"/>
        <v>124.21399999999983</v>
      </c>
      <c r="BP37" s="85">
        <f t="shared" si="48"/>
        <v>104.96</v>
      </c>
      <c r="BQ37" s="85">
        <f t="shared" si="48"/>
        <v>110.77600000000029</v>
      </c>
      <c r="BR37" s="85">
        <f t="shared" si="48"/>
        <v>201.59199999999916</v>
      </c>
      <c r="BS37" s="85">
        <f t="shared" si="48"/>
        <v>250.69400000000095</v>
      </c>
      <c r="BT37" s="85">
        <f>+BT34-BT36</f>
        <v>245.79999999999919</v>
      </c>
      <c r="BU37" s="85">
        <f>+BU34-BU36</f>
        <v>239.63399999999962</v>
      </c>
      <c r="BV37" s="85">
        <f>+BV34-BV36</f>
        <v>462.67600000000164</v>
      </c>
      <c r="BW37" s="85">
        <f>+BW34-BW36</f>
        <v>390.35107176972417</v>
      </c>
    </row>
    <row r="38" spans="1:78" s="7" customFormat="1" x14ac:dyDescent="0.35">
      <c r="B38" s="56"/>
      <c r="C38" s="272"/>
      <c r="D38" s="273"/>
      <c r="E38" s="273"/>
      <c r="F38" s="273"/>
      <c r="G38" s="272"/>
      <c r="H38" s="273"/>
      <c r="I38" s="273"/>
      <c r="J38" s="273"/>
      <c r="K38" s="272"/>
      <c r="L38" s="273"/>
      <c r="M38" s="273"/>
      <c r="N38" s="273"/>
      <c r="O38" s="272"/>
      <c r="P38" s="273"/>
      <c r="Q38" s="273"/>
      <c r="R38" s="273"/>
      <c r="S38" s="272"/>
      <c r="T38" s="273"/>
      <c r="U38" s="273"/>
      <c r="V38" s="273"/>
      <c r="W38" s="116"/>
      <c r="X38" s="273"/>
      <c r="Y38" s="273"/>
      <c r="Z38" s="273"/>
      <c r="AA38" s="272"/>
      <c r="AB38" s="273"/>
      <c r="AC38" s="273"/>
      <c r="AD38" s="273"/>
      <c r="AE38" s="272"/>
      <c r="AF38" s="273"/>
      <c r="AG38" s="273"/>
      <c r="AH38" s="273"/>
      <c r="AI38" s="272"/>
      <c r="AJ38" s="273"/>
      <c r="AK38" s="273"/>
      <c r="AL38" s="273"/>
      <c r="AM38" s="272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49"/>
      <c r="BI38" s="273"/>
      <c r="BJ38" s="116"/>
      <c r="BK38" s="116"/>
      <c r="BL38" s="274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</row>
    <row r="39" spans="1:78" s="7" customFormat="1" x14ac:dyDescent="0.35">
      <c r="B39" s="96" t="str">
        <f>IF(Control!$D$5=1,"Net Income / share","Lucro Líquido / ação")</f>
        <v>Net Income / share</v>
      </c>
      <c r="C39" s="251">
        <f t="shared" ref="C39:AO39" si="50">(C34)/(C$41/1000000)</f>
        <v>1.1647169811320748</v>
      </c>
      <c r="D39" s="251">
        <f t="shared" si="50"/>
        <v>1.4658490566037727</v>
      </c>
      <c r="E39" s="251">
        <f t="shared" si="50"/>
        <v>-0.28366037735849037</v>
      </c>
      <c r="F39" s="251">
        <f t="shared" si="50"/>
        <v>-0.15569811320754448</v>
      </c>
      <c r="G39" s="251">
        <f t="shared" si="50"/>
        <v>1.0420113207547161</v>
      </c>
      <c r="H39" s="251">
        <f t="shared" si="50"/>
        <v>0.98953584905660363</v>
      </c>
      <c r="I39" s="251">
        <f t="shared" si="50"/>
        <v>0.31328301886792154</v>
      </c>
      <c r="J39" s="251">
        <f t="shared" si="50"/>
        <v>0.34984905660378146</v>
      </c>
      <c r="K39" s="251">
        <f t="shared" si="50"/>
        <v>0.9163773584905669</v>
      </c>
      <c r="L39" s="251">
        <f t="shared" si="50"/>
        <v>0.41150943396226097</v>
      </c>
      <c r="M39" s="251">
        <f t="shared" si="50"/>
        <v>0.52086792452830333</v>
      </c>
      <c r="N39" s="251">
        <f t="shared" si="50"/>
        <v>0.28064150943396665</v>
      </c>
      <c r="O39" s="251">
        <f t="shared" si="50"/>
        <v>1.006641509433962</v>
      </c>
      <c r="P39" s="251">
        <f t="shared" si="50"/>
        <v>0.34679245283018978</v>
      </c>
      <c r="Q39" s="251">
        <f t="shared" si="50"/>
        <v>0.68883018867924439</v>
      </c>
      <c r="R39" s="251">
        <f t="shared" si="50"/>
        <v>0.7438490566037812</v>
      </c>
      <c r="S39" s="251">
        <f t="shared" si="50"/>
        <v>1.0967924528301907</v>
      </c>
      <c r="T39" s="251">
        <f t="shared" si="50"/>
        <v>1.4086792452830164</v>
      </c>
      <c r="U39" s="251">
        <f t="shared" si="50"/>
        <v>1.2897735849056584</v>
      </c>
      <c r="V39" s="251">
        <f t="shared" si="50"/>
        <v>1.3589811320754734</v>
      </c>
      <c r="W39" s="251">
        <f t="shared" si="50"/>
        <v>1.6949811320754682</v>
      </c>
      <c r="X39" s="251">
        <f t="shared" si="50"/>
        <v>1.019622641509438</v>
      </c>
      <c r="Y39" s="251">
        <f t="shared" si="50"/>
        <v>1.0313584905660376</v>
      </c>
      <c r="Z39" s="251">
        <f t="shared" si="50"/>
        <v>0.94135849056602994</v>
      </c>
      <c r="AA39" s="251">
        <f t="shared" si="50"/>
        <v>1.5157735849056595</v>
      </c>
      <c r="AB39" s="251">
        <f t="shared" si="50"/>
        <v>1.2584150943396133</v>
      </c>
      <c r="AC39" s="251">
        <f t="shared" si="50"/>
        <v>0.81233962264150295</v>
      </c>
      <c r="AD39" s="251">
        <f t="shared" si="50"/>
        <v>0.37422641509436971</v>
      </c>
      <c r="AE39" s="251">
        <f t="shared" si="50"/>
        <v>1.2685283018867917</v>
      </c>
      <c r="AF39" s="251">
        <f t="shared" si="50"/>
        <v>1.2206792452830124</v>
      </c>
      <c r="AG39" s="251">
        <f t="shared" si="50"/>
        <v>1.0425283018868052</v>
      </c>
      <c r="AH39" s="251">
        <f t="shared" si="50"/>
        <v>0.64849056603772537</v>
      </c>
      <c r="AI39" s="251">
        <f t="shared" si="50"/>
        <v>1.9181509433962287</v>
      </c>
      <c r="AJ39" s="251">
        <f t="shared" si="50"/>
        <v>2.3978490566037678</v>
      </c>
      <c r="AK39" s="251">
        <f t="shared" si="50"/>
        <v>2.5354716981132093</v>
      </c>
      <c r="AL39" s="251">
        <f t="shared" si="50"/>
        <v>0.75347169811320769</v>
      </c>
      <c r="AM39" s="251">
        <f t="shared" si="50"/>
        <v>0.49746664883502717</v>
      </c>
      <c r="AN39" s="251">
        <f t="shared" si="50"/>
        <v>0.10925022367316119</v>
      </c>
      <c r="AO39" s="251">
        <f t="shared" si="50"/>
        <v>0.1753656164226402</v>
      </c>
      <c r="AP39" s="251">
        <f t="shared" ref="AP39:AV39" si="51">(AP34)/(AP$41/1000000)</f>
        <v>0.18843713325676992</v>
      </c>
      <c r="AQ39" s="251">
        <f t="shared" si="51"/>
        <v>7.9502135968766638E-2</v>
      </c>
      <c r="AR39" s="251">
        <f t="shared" si="51"/>
        <v>0.19290242193648663</v>
      </c>
      <c r="AS39" s="251">
        <f t="shared" si="51"/>
        <v>0.36653898883759772</v>
      </c>
      <c r="AT39" s="251">
        <f t="shared" si="51"/>
        <v>0.24798693453514867</v>
      </c>
      <c r="AU39" s="251">
        <f t="shared" si="51"/>
        <v>0.1235172642225633</v>
      </c>
      <c r="AV39" s="251">
        <f t="shared" si="51"/>
        <v>0.10012104125982771</v>
      </c>
      <c r="AW39" s="251">
        <f t="shared" ref="AW39:BE39" si="52">(AW34)/(AW$41/1000000)</f>
        <v>0.17863783783783668</v>
      </c>
      <c r="AX39" s="251">
        <f t="shared" si="52"/>
        <v>0.22600810810810781</v>
      </c>
      <c r="AY39" s="251">
        <f t="shared" si="52"/>
        <v>0.29581621621621579</v>
      </c>
      <c r="AZ39" s="251">
        <f t="shared" si="52"/>
        <v>0.37471351351351351</v>
      </c>
      <c r="BA39" s="251">
        <f t="shared" si="52"/>
        <v>0.35001870535135171</v>
      </c>
      <c r="BB39" s="251">
        <f t="shared" si="52"/>
        <v>0.22992972972972961</v>
      </c>
      <c r="BC39" s="251">
        <f t="shared" si="52"/>
        <v>0.29236756756756815</v>
      </c>
      <c r="BD39" s="251">
        <f t="shared" si="52"/>
        <v>0.28789999999999916</v>
      </c>
      <c r="BE39" s="251">
        <f t="shared" si="52"/>
        <v>0.32569729729729696</v>
      </c>
      <c r="BF39" s="251">
        <f>(BF34)/(BF$41/1000000)</f>
        <v>0.38786216216216335</v>
      </c>
      <c r="BG39" s="251">
        <v>0.26168648667156857</v>
      </c>
      <c r="BH39" s="249"/>
      <c r="BI39" s="251">
        <f>+BI34/(BI41/1000000)</f>
        <v>2.167849056603774</v>
      </c>
      <c r="BJ39" s="251">
        <f t="shared" ref="BJ39:BR39" si="53">+BJ34/(BJ41/1000000)</f>
        <v>2.191207547169812</v>
      </c>
      <c r="BK39" s="251">
        <f t="shared" si="53"/>
        <v>2.6946792452830155</v>
      </c>
      <c r="BL39" s="251">
        <f t="shared" si="53"/>
        <v>2.1293962264150981</v>
      </c>
      <c r="BM39" s="251">
        <f t="shared" si="53"/>
        <v>2.786113207547174</v>
      </c>
      <c r="BN39" s="251">
        <f t="shared" si="53"/>
        <v>5.1542264150943353</v>
      </c>
      <c r="BO39" s="251">
        <f t="shared" si="53"/>
        <v>4.6873207547169748</v>
      </c>
      <c r="BP39" s="251">
        <f t="shared" si="53"/>
        <v>3.9607547169811319</v>
      </c>
      <c r="BQ39" s="251">
        <f t="shared" si="53"/>
        <v>4.1802264150943511</v>
      </c>
      <c r="BR39" s="251">
        <f t="shared" si="53"/>
        <v>1.6387289682819481</v>
      </c>
      <c r="BS39" s="251">
        <f>+BS34/(BS41/1000000)</f>
        <v>0.61137142559982083</v>
      </c>
      <c r="BT39" s="251">
        <f>+BT34/(BT41/1000000)</f>
        <v>0.8957693557535793</v>
      </c>
      <c r="BU39" s="251">
        <f>+BU34/(BU41/1000000)</f>
        <v>0.64765945945945846</v>
      </c>
      <c r="BV39" s="251">
        <f>+BV34/(BV41/1000000)</f>
        <v>1.2504756756756801</v>
      </c>
      <c r="BW39" s="251">
        <f>+BW34/(BW41/1000000)</f>
        <v>1.2938243243243193</v>
      </c>
    </row>
    <row r="40" spans="1:78" s="7" customFormat="1" x14ac:dyDescent="0.35">
      <c r="B40" s="96" t="str">
        <f>IF(Control!$D$5=1,"Adjusted Net Income / share","Lucro Líquido Ajustado / ação")</f>
        <v>Adjusted Net Income / share</v>
      </c>
      <c r="C40" s="251">
        <f t="shared" ref="C40:AU40" si="54">(C37)/(C$41/1000000)</f>
        <v>1.1647169811320748</v>
      </c>
      <c r="D40" s="251">
        <f t="shared" si="54"/>
        <v>1.4658490566037727</v>
      </c>
      <c r="E40" s="251">
        <f t="shared" si="54"/>
        <v>-0.28366037735849037</v>
      </c>
      <c r="F40" s="251">
        <f t="shared" si="54"/>
        <v>-0.15569811320754448</v>
      </c>
      <c r="G40" s="251">
        <f t="shared" si="54"/>
        <v>1.0420113207547161</v>
      </c>
      <c r="H40" s="251">
        <f t="shared" si="54"/>
        <v>0.98953584905660363</v>
      </c>
      <c r="I40" s="251">
        <f t="shared" si="54"/>
        <v>0.31328301886792154</v>
      </c>
      <c r="J40" s="251">
        <f t="shared" si="54"/>
        <v>0.34984905660378146</v>
      </c>
      <c r="K40" s="251">
        <f t="shared" si="54"/>
        <v>0.9163773584905669</v>
      </c>
      <c r="L40" s="251">
        <f t="shared" si="54"/>
        <v>0.41150943396226097</v>
      </c>
      <c r="M40" s="251">
        <f t="shared" si="54"/>
        <v>0.52086792452830333</v>
      </c>
      <c r="N40" s="251">
        <f t="shared" si="54"/>
        <v>0.28064150943396665</v>
      </c>
      <c r="O40" s="251">
        <f t="shared" si="54"/>
        <v>1.006641509433962</v>
      </c>
      <c r="P40" s="251">
        <f t="shared" si="54"/>
        <v>0.34679245283018978</v>
      </c>
      <c r="Q40" s="251">
        <f t="shared" si="54"/>
        <v>0.68883018867924439</v>
      </c>
      <c r="R40" s="251">
        <f t="shared" si="54"/>
        <v>0.7438490566037812</v>
      </c>
      <c r="S40" s="251">
        <f t="shared" si="54"/>
        <v>1.0967924528301907</v>
      </c>
      <c r="T40" s="251">
        <f t="shared" si="54"/>
        <v>1.4086792452830164</v>
      </c>
      <c r="U40" s="251">
        <f t="shared" si="54"/>
        <v>1.2897735849056584</v>
      </c>
      <c r="V40" s="251">
        <f t="shared" si="54"/>
        <v>1.3589811320754734</v>
      </c>
      <c r="W40" s="251">
        <f t="shared" si="54"/>
        <v>1.6949811320754682</v>
      </c>
      <c r="X40" s="251">
        <f t="shared" si="54"/>
        <v>1.019622641509438</v>
      </c>
      <c r="Y40" s="251">
        <f t="shared" si="54"/>
        <v>1.0313584905660376</v>
      </c>
      <c r="Z40" s="251">
        <f t="shared" si="54"/>
        <v>0.94135849056602994</v>
      </c>
      <c r="AA40" s="251">
        <f t="shared" si="54"/>
        <v>1.5157735849056595</v>
      </c>
      <c r="AB40" s="251">
        <f t="shared" si="54"/>
        <v>1.2584150943396133</v>
      </c>
      <c r="AC40" s="251">
        <f t="shared" si="54"/>
        <v>0.81233962264150295</v>
      </c>
      <c r="AD40" s="251">
        <f t="shared" si="54"/>
        <v>0.37422641509436971</v>
      </c>
      <c r="AE40" s="251">
        <f t="shared" si="54"/>
        <v>1.2685283018867917</v>
      </c>
      <c r="AF40" s="251">
        <f t="shared" si="54"/>
        <v>1.2206792452830124</v>
      </c>
      <c r="AG40" s="251">
        <f t="shared" si="54"/>
        <v>1.0425283018868052</v>
      </c>
      <c r="AH40" s="251">
        <f t="shared" si="54"/>
        <v>0.64849056603772537</v>
      </c>
      <c r="AI40" s="251">
        <f t="shared" si="54"/>
        <v>1.9181509433962287</v>
      </c>
      <c r="AJ40" s="251">
        <f t="shared" si="54"/>
        <v>2.3978490566037678</v>
      </c>
      <c r="AK40" s="251">
        <f t="shared" si="54"/>
        <v>2.5354716981132093</v>
      </c>
      <c r="AL40" s="251">
        <f t="shared" si="54"/>
        <v>0.75347169811320769</v>
      </c>
      <c r="AM40" s="251">
        <f t="shared" si="54"/>
        <v>0.49746664883502717</v>
      </c>
      <c r="AN40" s="251">
        <f t="shared" si="54"/>
        <v>0.10925022367316119</v>
      </c>
      <c r="AO40" s="251">
        <f t="shared" si="54"/>
        <v>0.1753656164226402</v>
      </c>
      <c r="AP40" s="251">
        <f t="shared" si="54"/>
        <v>0.18843713325676992</v>
      </c>
      <c r="AQ40" s="251">
        <f t="shared" si="54"/>
        <v>7.9502135968766638E-2</v>
      </c>
      <c r="AR40" s="251">
        <f t="shared" si="54"/>
        <v>0.16583267625386988</v>
      </c>
      <c r="AS40" s="251">
        <f t="shared" si="54"/>
        <v>0.17509979639746853</v>
      </c>
      <c r="AT40" s="251">
        <f t="shared" si="54"/>
        <v>0.19186227437614636</v>
      </c>
      <c r="AU40" s="251">
        <f t="shared" si="54"/>
        <v>0.1235172642225633</v>
      </c>
      <c r="AV40" s="251">
        <f t="shared" ref="AV40:BE40" si="55">(AV37)/(AV$41/1000000)</f>
        <v>0.10012104125982771</v>
      </c>
      <c r="AW40" s="251">
        <f t="shared" si="55"/>
        <v>0.17863783783783668</v>
      </c>
      <c r="AX40" s="251">
        <f t="shared" si="55"/>
        <v>0.22600810810810781</v>
      </c>
      <c r="AY40" s="251">
        <f t="shared" si="55"/>
        <v>0.29581621621621579</v>
      </c>
      <c r="AZ40" s="251">
        <f t="shared" si="55"/>
        <v>0.37471351351351351</v>
      </c>
      <c r="BA40" s="251">
        <f t="shared" si="55"/>
        <v>0.35001870535135171</v>
      </c>
      <c r="BB40" s="251">
        <f t="shared" si="55"/>
        <v>0.22992972972972961</v>
      </c>
      <c r="BC40" s="251">
        <f t="shared" si="55"/>
        <v>0.29236756756756815</v>
      </c>
      <c r="BD40" s="251">
        <f t="shared" si="55"/>
        <v>0.28789999999999916</v>
      </c>
      <c r="BE40" s="251">
        <f t="shared" si="55"/>
        <v>0.32569729729729696</v>
      </c>
      <c r="BF40" s="251">
        <f>(BF37)/(BF$41/1000000)</f>
        <v>0.14904073451277414</v>
      </c>
      <c r="BG40" s="251">
        <v>0.26168648667156857</v>
      </c>
      <c r="BH40" s="249"/>
      <c r="BI40" s="251">
        <f>+BI37/(BI41/1000000)</f>
        <v>2.167849056603774</v>
      </c>
      <c r="BJ40" s="251">
        <f t="shared" ref="BJ40:BR40" si="56">+BJ37/(BJ41/1000000)</f>
        <v>2.191207547169812</v>
      </c>
      <c r="BK40" s="251">
        <f t="shared" si="56"/>
        <v>2.6946792452830155</v>
      </c>
      <c r="BL40" s="251">
        <f t="shared" si="56"/>
        <v>2.1293962264150981</v>
      </c>
      <c r="BM40" s="251">
        <f t="shared" si="56"/>
        <v>2.786113207547174</v>
      </c>
      <c r="BN40" s="251">
        <f t="shared" si="56"/>
        <v>5.1542264150943353</v>
      </c>
      <c r="BO40" s="251">
        <f t="shared" si="56"/>
        <v>4.6873207547169748</v>
      </c>
      <c r="BP40" s="251">
        <f t="shared" si="56"/>
        <v>3.9607547169811319</v>
      </c>
      <c r="BQ40" s="251">
        <f t="shared" si="56"/>
        <v>4.1802264150943511</v>
      </c>
      <c r="BR40" s="251">
        <f t="shared" si="56"/>
        <v>1.6387289682819481</v>
      </c>
      <c r="BS40" s="251">
        <f>+BS37/(BS41/1000000)</f>
        <v>0.61137142559982083</v>
      </c>
      <c r="BT40" s="251">
        <f>+BT37/(BT41/1000000)</f>
        <v>0.6077286989904207</v>
      </c>
      <c r="BU40" s="251">
        <f>+BU37/(BU41/1000000)</f>
        <v>0.64765945945945846</v>
      </c>
      <c r="BV40" s="251">
        <f>+BV37/(BV41/1000000)</f>
        <v>1.2504756756756801</v>
      </c>
      <c r="BW40" s="251">
        <f>+BW37/(BW41/1000000)</f>
        <v>1.0550028966749303</v>
      </c>
    </row>
    <row r="41" spans="1:78" s="277" customFormat="1" x14ac:dyDescent="0.35">
      <c r="A41" s="7"/>
      <c r="B41" s="96" t="str">
        <f>IF(Control!$D$5=1,"# of shares (ex-treas.)","# Total de Ações (ex-tesouraria)")</f>
        <v># of shares (ex-treas.)</v>
      </c>
      <c r="C41" s="275">
        <v>26500000</v>
      </c>
      <c r="D41" s="275">
        <v>26500000</v>
      </c>
      <c r="E41" s="275">
        <v>26500000</v>
      </c>
      <c r="F41" s="275">
        <v>26500000</v>
      </c>
      <c r="G41" s="275">
        <v>26500000</v>
      </c>
      <c r="H41" s="275">
        <v>26500000</v>
      </c>
      <c r="I41" s="275">
        <v>26500000</v>
      </c>
      <c r="J41" s="275">
        <v>26500000</v>
      </c>
      <c r="K41" s="275">
        <v>26500000</v>
      </c>
      <c r="L41" s="275">
        <v>26500000</v>
      </c>
      <c r="M41" s="275">
        <v>26500000</v>
      </c>
      <c r="N41" s="275">
        <v>26500000</v>
      </c>
      <c r="O41" s="275">
        <v>26500000</v>
      </c>
      <c r="P41" s="275">
        <v>26500000</v>
      </c>
      <c r="Q41" s="275">
        <v>26500000</v>
      </c>
      <c r="R41" s="275">
        <v>26500000</v>
      </c>
      <c r="S41" s="275">
        <v>26500000</v>
      </c>
      <c r="T41" s="275">
        <v>26500000</v>
      </c>
      <c r="U41" s="275">
        <v>26500000</v>
      </c>
      <c r="V41" s="275">
        <v>26500000</v>
      </c>
      <c r="W41" s="275">
        <v>26500000</v>
      </c>
      <c r="X41" s="275">
        <v>26500000</v>
      </c>
      <c r="Y41" s="275">
        <v>26500000</v>
      </c>
      <c r="Z41" s="275">
        <v>26500000</v>
      </c>
      <c r="AA41" s="276">
        <v>26500000</v>
      </c>
      <c r="AB41" s="275">
        <v>26500000</v>
      </c>
      <c r="AC41" s="275">
        <v>26500000</v>
      </c>
      <c r="AD41" s="275">
        <v>26500000</v>
      </c>
      <c r="AE41" s="276">
        <v>26500000</v>
      </c>
      <c r="AF41" s="275">
        <v>26500000</v>
      </c>
      <c r="AG41" s="275">
        <v>26500000</v>
      </c>
      <c r="AH41" s="275">
        <v>26500000</v>
      </c>
      <c r="AI41" s="276">
        <v>26500000</v>
      </c>
      <c r="AJ41" s="275">
        <v>26500000</v>
      </c>
      <c r="AK41" s="275">
        <v>26500000</v>
      </c>
      <c r="AL41" s="275">
        <v>26500000</v>
      </c>
      <c r="AM41" s="276">
        <v>123017292</v>
      </c>
      <c r="AN41" s="276">
        <v>369051876</v>
      </c>
      <c r="AO41" s="276">
        <v>410051876</v>
      </c>
      <c r="AP41" s="276">
        <v>410051876</v>
      </c>
      <c r="AQ41" s="276">
        <v>410051876</v>
      </c>
      <c r="AR41" s="276">
        <v>410051876</v>
      </c>
      <c r="AS41" s="276">
        <v>410051876</v>
      </c>
      <c r="AT41" s="276">
        <v>404456792</v>
      </c>
      <c r="AU41" s="276">
        <v>403182505</v>
      </c>
      <c r="AV41" s="276">
        <v>400665030</v>
      </c>
      <c r="AW41" s="276">
        <v>370000000</v>
      </c>
      <c r="AX41" s="276">
        <v>370000000</v>
      </c>
      <c r="AY41" s="276">
        <v>370000000</v>
      </c>
      <c r="AZ41" s="276">
        <v>370000000</v>
      </c>
      <c r="BA41" s="276">
        <v>370000000</v>
      </c>
      <c r="BB41" s="276">
        <v>370000000</v>
      </c>
      <c r="BC41" s="276">
        <v>370000000</v>
      </c>
      <c r="BD41" s="276">
        <v>370000000</v>
      </c>
      <c r="BE41" s="276">
        <v>370000000</v>
      </c>
      <c r="BF41" s="276">
        <v>370000000</v>
      </c>
      <c r="BG41" s="276">
        <v>360000000</v>
      </c>
      <c r="BI41" s="275">
        <v>26500000</v>
      </c>
      <c r="BJ41" s="275">
        <v>26500000</v>
      </c>
      <c r="BK41" s="275">
        <v>26500000</v>
      </c>
      <c r="BL41" s="275">
        <v>26500000</v>
      </c>
      <c r="BM41" s="276">
        <v>26500000</v>
      </c>
      <c r="BN41" s="276">
        <v>26500000</v>
      </c>
      <c r="BO41" s="276">
        <v>26500000</v>
      </c>
      <c r="BP41" s="276">
        <v>26500000</v>
      </c>
      <c r="BQ41" s="276">
        <v>26500000</v>
      </c>
      <c r="BR41" s="276">
        <v>123017292</v>
      </c>
      <c r="BS41" s="276">
        <v>410051876</v>
      </c>
      <c r="BT41" s="276">
        <v>404456792</v>
      </c>
      <c r="BU41" s="276">
        <v>370000000</v>
      </c>
      <c r="BV41" s="276">
        <v>370000000</v>
      </c>
      <c r="BW41" s="276">
        <v>370000000</v>
      </c>
    </row>
    <row r="42" spans="1:78" s="7" customFormat="1" x14ac:dyDescent="0.35">
      <c r="B42" s="56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49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</row>
    <row r="43" spans="1:78" s="80" customFormat="1" x14ac:dyDescent="0.35">
      <c r="B43" s="129" t="str">
        <f>IF(Control!$D$5=1,"EBITDA Reconciliation","Reconciliação EBITDA")</f>
        <v>EBITDA Reconciliation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</row>
    <row r="44" spans="1:78" x14ac:dyDescent="0.35">
      <c r="B44" s="15" t="str">
        <f>IF(Control!$D$5=1,"Net Income","Lucro Líquido")</f>
        <v>Net Income</v>
      </c>
      <c r="C44" s="88">
        <f>+C34</f>
        <v>30.864999999999981</v>
      </c>
      <c r="D44" s="94">
        <v>-1.8390000000000395</v>
      </c>
      <c r="E44" s="94">
        <v>32.080000000000155</v>
      </c>
      <c r="F44" s="88">
        <f t="shared" ref="F44:AM44" si="57">+F34</f>
        <v>-4.1259999999999284</v>
      </c>
      <c r="G44" s="88">
        <f t="shared" si="57"/>
        <v>27.613299999999978</v>
      </c>
      <c r="H44" s="88">
        <f t="shared" si="57"/>
        <v>26.222699999999996</v>
      </c>
      <c r="I44" s="88">
        <f t="shared" si="57"/>
        <v>8.3019999999999214</v>
      </c>
      <c r="J44" s="88">
        <f t="shared" si="57"/>
        <v>9.2710000000002086</v>
      </c>
      <c r="K44" s="94">
        <f t="shared" si="57"/>
        <v>24.284000000000024</v>
      </c>
      <c r="L44" s="94">
        <f t="shared" si="57"/>
        <v>10.904999999999916</v>
      </c>
      <c r="M44" s="94">
        <f t="shared" si="57"/>
        <v>13.803000000000038</v>
      </c>
      <c r="N44" s="88">
        <f t="shared" si="57"/>
        <v>7.4370000000001157</v>
      </c>
      <c r="O44" s="88">
        <f t="shared" si="57"/>
        <v>26.675999999999995</v>
      </c>
      <c r="P44" s="88">
        <f t="shared" si="57"/>
        <v>9.1900000000000297</v>
      </c>
      <c r="Q44" s="88">
        <f t="shared" si="57"/>
        <v>18.253999999999976</v>
      </c>
      <c r="R44" s="88">
        <f t="shared" si="57"/>
        <v>19.712000000000202</v>
      </c>
      <c r="S44" s="88">
        <f t="shared" si="57"/>
        <v>29.065000000000055</v>
      </c>
      <c r="T44" s="88">
        <f t="shared" si="57"/>
        <v>37.329999999999934</v>
      </c>
      <c r="U44" s="88">
        <f t="shared" si="57"/>
        <v>34.178999999999945</v>
      </c>
      <c r="V44" s="88">
        <f t="shared" si="57"/>
        <v>36.013000000000048</v>
      </c>
      <c r="W44" s="88">
        <f t="shared" si="57"/>
        <v>44.916999999999909</v>
      </c>
      <c r="X44" s="94">
        <f t="shared" si="57"/>
        <v>27.02000000000011</v>
      </c>
      <c r="Y44" s="94">
        <f t="shared" si="57"/>
        <v>27.330999999999996</v>
      </c>
      <c r="Z44" s="88">
        <f t="shared" si="57"/>
        <v>24.945999999999792</v>
      </c>
      <c r="AA44" s="88">
        <f t="shared" si="57"/>
        <v>40.167999999999978</v>
      </c>
      <c r="AB44" s="88">
        <f t="shared" si="57"/>
        <v>33.34799999999975</v>
      </c>
      <c r="AC44" s="88">
        <f t="shared" si="57"/>
        <v>21.526999999999827</v>
      </c>
      <c r="AD44" s="88">
        <f t="shared" si="57"/>
        <v>9.9170000000007974</v>
      </c>
      <c r="AE44" s="88">
        <f t="shared" si="57"/>
        <v>33.615999999999978</v>
      </c>
      <c r="AF44" s="88">
        <f t="shared" si="57"/>
        <v>32.347999999999828</v>
      </c>
      <c r="AG44" s="88">
        <f t="shared" si="57"/>
        <v>27.627000000000336</v>
      </c>
      <c r="AH44" s="88">
        <f t="shared" si="57"/>
        <v>17.184999999999722</v>
      </c>
      <c r="AI44" s="88">
        <f t="shared" si="57"/>
        <v>50.83100000000006</v>
      </c>
      <c r="AJ44" s="88">
        <f t="shared" si="57"/>
        <v>63.54299999999985</v>
      </c>
      <c r="AK44" s="88">
        <f t="shared" si="57"/>
        <v>67.19000000000004</v>
      </c>
      <c r="AL44" s="88">
        <f t="shared" si="57"/>
        <v>19.967000000000002</v>
      </c>
      <c r="AM44" s="88">
        <f t="shared" si="57"/>
        <v>61.196999999999996</v>
      </c>
      <c r="AN44" s="88">
        <f t="shared" ref="AN44:AT44" si="58">+AN34</f>
        <v>40.318999999999747</v>
      </c>
      <c r="AO44" s="88">
        <f t="shared" si="58"/>
        <v>71.90900000000002</v>
      </c>
      <c r="AP44" s="88">
        <f t="shared" si="58"/>
        <v>77.269000000000489</v>
      </c>
      <c r="AQ44" s="94">
        <f t="shared" si="58"/>
        <v>32.599999999999838</v>
      </c>
      <c r="AR44" s="94">
        <f t="shared" si="58"/>
        <v>79.099999999999895</v>
      </c>
      <c r="AS44" s="94">
        <f t="shared" si="58"/>
        <v>150.30000000000001</v>
      </c>
      <c r="AT44" s="94">
        <f t="shared" si="58"/>
        <v>100.30000000000024</v>
      </c>
      <c r="AU44" s="94">
        <f t="shared" ref="AU44:AZ44" si="59">+AU34</f>
        <v>49.799999999999947</v>
      </c>
      <c r="AV44" s="94">
        <f t="shared" si="59"/>
        <v>40.115000000000109</v>
      </c>
      <c r="AW44" s="94">
        <f t="shared" si="59"/>
        <v>66.095999999999577</v>
      </c>
      <c r="AX44" s="94">
        <f t="shared" si="59"/>
        <v>83.622999999999891</v>
      </c>
      <c r="AY44" s="94">
        <f t="shared" si="59"/>
        <v>109.45199999999984</v>
      </c>
      <c r="AZ44" s="94">
        <f t="shared" si="59"/>
        <v>138.64400000000001</v>
      </c>
      <c r="BA44" s="94">
        <f t="shared" ref="BA44:BF44" si="60">+BA34</f>
        <v>129.50692098000013</v>
      </c>
      <c r="BB44" s="94">
        <f t="shared" si="60"/>
        <v>85.073999999999955</v>
      </c>
      <c r="BC44" s="94">
        <f t="shared" si="60"/>
        <v>108.17600000000022</v>
      </c>
      <c r="BD44" s="94">
        <f t="shared" si="60"/>
        <v>106.52299999999968</v>
      </c>
      <c r="BE44" s="94">
        <f t="shared" si="60"/>
        <v>120.50799999999987</v>
      </c>
      <c r="BF44" s="94">
        <f t="shared" si="60"/>
        <v>143.50900000000044</v>
      </c>
      <c r="BG44" s="94">
        <v>96.824000000000538</v>
      </c>
      <c r="BI44" s="88">
        <f t="shared" ref="BI44:BS44" si="61">+BI34</f>
        <v>57.448000000000008</v>
      </c>
      <c r="BJ44" s="114">
        <f t="shared" si="61"/>
        <v>58.067000000000014</v>
      </c>
      <c r="BK44" s="94">
        <f t="shared" si="61"/>
        <v>71.408999999999907</v>
      </c>
      <c r="BL44" s="88">
        <f t="shared" si="61"/>
        <v>56.429000000000102</v>
      </c>
      <c r="BM44" s="88">
        <f t="shared" si="61"/>
        <v>73.832000000000107</v>
      </c>
      <c r="BN44" s="88">
        <f t="shared" si="61"/>
        <v>136.58699999999988</v>
      </c>
      <c r="BO44" s="88">
        <f t="shared" si="61"/>
        <v>124.21399999999983</v>
      </c>
      <c r="BP44" s="88">
        <f t="shared" si="61"/>
        <v>104.96</v>
      </c>
      <c r="BQ44" s="88">
        <f t="shared" si="61"/>
        <v>110.77600000000029</v>
      </c>
      <c r="BR44" s="88">
        <f t="shared" si="61"/>
        <v>201.59199999999916</v>
      </c>
      <c r="BS44" s="88">
        <f t="shared" si="61"/>
        <v>250.69400000000095</v>
      </c>
      <c r="BT44" s="88">
        <f>+BT34</f>
        <v>362.29999999999944</v>
      </c>
      <c r="BU44" s="88">
        <f>+BU34</f>
        <v>239.63399999999962</v>
      </c>
      <c r="BV44" s="88">
        <f>+BV34</f>
        <v>462.67600000000164</v>
      </c>
      <c r="BW44" s="88">
        <f>+BW34</f>
        <v>478.71499999999816</v>
      </c>
    </row>
    <row r="45" spans="1:78" s="23" customFormat="1" x14ac:dyDescent="0.35">
      <c r="A45" s="80"/>
      <c r="B45" s="16" t="str">
        <f>IF(Control!$D$5=1,"(-) Net Finacial Result","(-) Resultado Financeiro Líquido")</f>
        <v>(-) Net Finacial Result</v>
      </c>
      <c r="C45" s="89">
        <f>-C26</f>
        <v>3.8090000000000002</v>
      </c>
      <c r="D45" s="116">
        <v>8.8429999999999964</v>
      </c>
      <c r="E45" s="116">
        <v>39.274000000000008</v>
      </c>
      <c r="F45" s="89">
        <f t="shared" ref="F45:AM45" si="62">-F26</f>
        <v>6.5470000000000041</v>
      </c>
      <c r="G45" s="89">
        <f t="shared" si="62"/>
        <v>-1.4420000000000002</v>
      </c>
      <c r="H45" s="89">
        <f t="shared" si="62"/>
        <v>4.2489999999999988</v>
      </c>
      <c r="I45" s="89">
        <f t="shared" si="62"/>
        <v>5.0010000000000012</v>
      </c>
      <c r="J45" s="89">
        <f t="shared" si="62"/>
        <v>7.7019999999999946</v>
      </c>
      <c r="K45" s="116">
        <f t="shared" si="62"/>
        <v>6.4510000000000005</v>
      </c>
      <c r="L45" s="116">
        <f t="shared" si="62"/>
        <v>9.4850000000000012</v>
      </c>
      <c r="M45" s="116">
        <f t="shared" si="62"/>
        <v>9.1869999999999976</v>
      </c>
      <c r="N45" s="89">
        <f t="shared" si="62"/>
        <v>10.532000000000002</v>
      </c>
      <c r="O45" s="89">
        <f t="shared" si="62"/>
        <v>8.5830000000000002</v>
      </c>
      <c r="P45" s="89">
        <f t="shared" si="62"/>
        <v>28.164999999999999</v>
      </c>
      <c r="Q45" s="89">
        <f t="shared" si="62"/>
        <v>17.654000000000011</v>
      </c>
      <c r="R45" s="89">
        <f t="shared" si="62"/>
        <v>11.639999999999992</v>
      </c>
      <c r="S45" s="89">
        <f t="shared" si="62"/>
        <v>19.709999999999994</v>
      </c>
      <c r="T45" s="89">
        <f t="shared" si="62"/>
        <v>13.321000000000005</v>
      </c>
      <c r="U45" s="89">
        <f t="shared" si="62"/>
        <v>15.535000000000004</v>
      </c>
      <c r="V45" s="89">
        <f t="shared" si="62"/>
        <v>19.102999999999994</v>
      </c>
      <c r="W45" s="89">
        <f t="shared" si="62"/>
        <v>21.224999999999998</v>
      </c>
      <c r="X45" s="116">
        <f t="shared" si="62"/>
        <v>33.999000000000002</v>
      </c>
      <c r="Y45" s="116">
        <f t="shared" si="62"/>
        <v>32.29</v>
      </c>
      <c r="Z45" s="89">
        <f t="shared" si="62"/>
        <v>32.078000000000017</v>
      </c>
      <c r="AA45" s="89">
        <f t="shared" si="62"/>
        <v>29.664999999999999</v>
      </c>
      <c r="AB45" s="89">
        <f t="shared" si="62"/>
        <v>33.003999999999998</v>
      </c>
      <c r="AC45" s="89">
        <f t="shared" si="62"/>
        <v>34.630999999999993</v>
      </c>
      <c r="AD45" s="89">
        <f t="shared" si="62"/>
        <v>30.969000000000001</v>
      </c>
      <c r="AE45" s="89">
        <f t="shared" si="62"/>
        <v>27.275000000000002</v>
      </c>
      <c r="AF45" s="89">
        <f t="shared" si="62"/>
        <v>42.408000000000001</v>
      </c>
      <c r="AG45" s="89">
        <f t="shared" si="62"/>
        <v>44.309999999999974</v>
      </c>
      <c r="AH45" s="89">
        <f t="shared" si="62"/>
        <v>41.952000000000012</v>
      </c>
      <c r="AI45" s="89">
        <f t="shared" si="62"/>
        <v>32.713000000000001</v>
      </c>
      <c r="AJ45" s="89">
        <f t="shared" si="62"/>
        <v>52.655999999999985</v>
      </c>
      <c r="AK45" s="89">
        <f t="shared" si="62"/>
        <v>33.31600000000001</v>
      </c>
      <c r="AL45" s="89">
        <f t="shared" si="62"/>
        <v>39.329000000000008</v>
      </c>
      <c r="AM45" s="89">
        <f t="shared" si="62"/>
        <v>22.795999999999999</v>
      </c>
      <c r="AN45" s="89">
        <f t="shared" ref="AN45:AT45" si="63">-AN26</f>
        <v>26.029000000000011</v>
      </c>
      <c r="AO45" s="89">
        <f t="shared" si="63"/>
        <v>12.557000000000002</v>
      </c>
      <c r="AP45" s="89">
        <f t="shared" si="63"/>
        <v>13.018000000000001</v>
      </c>
      <c r="AQ45" s="116">
        <f t="shared" si="63"/>
        <v>12</v>
      </c>
      <c r="AR45" s="116">
        <f t="shared" si="63"/>
        <v>6.1000000000000014</v>
      </c>
      <c r="AS45" s="116">
        <f t="shared" si="63"/>
        <v>-18.799999999999997</v>
      </c>
      <c r="AT45" s="116">
        <f t="shared" si="63"/>
        <v>16.600000000000001</v>
      </c>
      <c r="AU45" s="116">
        <f t="shared" ref="AU45:AZ45" si="64">-AU26</f>
        <v>10.800000000000004</v>
      </c>
      <c r="AV45" s="116">
        <f t="shared" si="64"/>
        <v>18.206000000000003</v>
      </c>
      <c r="AW45" s="116">
        <f t="shared" si="64"/>
        <v>19.404999999999973</v>
      </c>
      <c r="AX45" s="116">
        <f t="shared" si="64"/>
        <v>13.670999999999999</v>
      </c>
      <c r="AY45" s="116">
        <f t="shared" si="64"/>
        <v>16.798000000000002</v>
      </c>
      <c r="AZ45" s="116">
        <f t="shared" si="64"/>
        <v>14.368000000000009</v>
      </c>
      <c r="BA45" s="116">
        <f t="shared" ref="BA45:BF45" si="65">-BA26</f>
        <v>29.432000000000002</v>
      </c>
      <c r="BB45" s="116">
        <f t="shared" si="65"/>
        <v>24.431000000000004</v>
      </c>
      <c r="BC45" s="116">
        <f t="shared" si="65"/>
        <v>25.023000000000003</v>
      </c>
      <c r="BD45" s="116">
        <f t="shared" si="65"/>
        <v>24.476999999999997</v>
      </c>
      <c r="BE45" s="116">
        <f t="shared" si="65"/>
        <v>25.397999999999996</v>
      </c>
      <c r="BF45" s="116">
        <f t="shared" si="65"/>
        <v>52.692000000000007</v>
      </c>
      <c r="BG45" s="116">
        <v>84.921000000000006</v>
      </c>
      <c r="BH45" s="80"/>
      <c r="BI45" s="89">
        <f t="shared" ref="BI45:BS45" si="66">-BI26</f>
        <v>26.641999999999996</v>
      </c>
      <c r="BJ45" s="89">
        <f t="shared" si="66"/>
        <v>57.015000000000001</v>
      </c>
      <c r="BK45" s="116">
        <f t="shared" si="66"/>
        <v>15.509999999999998</v>
      </c>
      <c r="BL45" s="89">
        <f t="shared" si="66"/>
        <v>35.655000000000001</v>
      </c>
      <c r="BM45" s="89">
        <f t="shared" si="66"/>
        <v>66.042000000000002</v>
      </c>
      <c r="BN45" s="89">
        <f t="shared" si="66"/>
        <v>67.668999999999997</v>
      </c>
      <c r="BO45" s="89">
        <f t="shared" si="66"/>
        <v>119.59200000000001</v>
      </c>
      <c r="BP45" s="89">
        <f t="shared" si="66"/>
        <v>128.26900000000001</v>
      </c>
      <c r="BQ45" s="89">
        <f t="shared" si="66"/>
        <v>155.94499999999999</v>
      </c>
      <c r="BR45" s="89">
        <f t="shared" si="66"/>
        <v>158.01400000000001</v>
      </c>
      <c r="BS45" s="89">
        <f t="shared" si="66"/>
        <v>74.399999999999991</v>
      </c>
      <c r="BT45" s="89">
        <f>-BT26</f>
        <v>15.900000000000006</v>
      </c>
      <c r="BU45" s="89">
        <f>-BU26</f>
        <v>62.081999999999979</v>
      </c>
      <c r="BV45" s="89">
        <f>-BV26</f>
        <v>85.028999999999996</v>
      </c>
      <c r="BW45" s="89">
        <f>-BW26</f>
        <v>127.59</v>
      </c>
    </row>
    <row r="46" spans="1:78" s="23" customFormat="1" x14ac:dyDescent="0.35">
      <c r="A46" s="80"/>
      <c r="B46" s="16" t="str">
        <f>IF(Control!$D$5=1,"(+) Income Taxes","(+) Imposto de Renda / CSLL")</f>
        <v>(+) Income Taxes</v>
      </c>
      <c r="C46" s="89">
        <f>-C31</f>
        <v>10.081999999999999</v>
      </c>
      <c r="D46" s="116">
        <v>11.68</v>
      </c>
      <c r="E46" s="116">
        <v>4.0790000000000024</v>
      </c>
      <c r="F46" s="89">
        <f t="shared" ref="F46:AM46" si="67">-F31</f>
        <v>10.807000000000002</v>
      </c>
      <c r="G46" s="89">
        <f t="shared" si="67"/>
        <v>8.5440000000000005</v>
      </c>
      <c r="H46" s="89">
        <f t="shared" si="67"/>
        <v>-1.4280000000000002</v>
      </c>
      <c r="I46" s="89">
        <f t="shared" si="67"/>
        <v>2.8369999999999989</v>
      </c>
      <c r="J46" s="89">
        <f t="shared" si="67"/>
        <v>7.2440000000000015</v>
      </c>
      <c r="K46" s="116">
        <f t="shared" si="67"/>
        <v>8.5440000000000005</v>
      </c>
      <c r="L46" s="116">
        <f t="shared" si="67"/>
        <v>4.7760000000000007</v>
      </c>
      <c r="M46" s="116">
        <f t="shared" si="67"/>
        <v>2.9039999999999981</v>
      </c>
      <c r="N46" s="89">
        <f t="shared" si="67"/>
        <v>7.7369999999999992</v>
      </c>
      <c r="O46" s="89">
        <f t="shared" si="67"/>
        <v>3.802</v>
      </c>
      <c r="P46" s="89">
        <f t="shared" si="67"/>
        <v>8.0410000000000004</v>
      </c>
      <c r="Q46" s="89">
        <f t="shared" si="67"/>
        <v>4.1899999999999977</v>
      </c>
      <c r="R46" s="89">
        <f t="shared" si="67"/>
        <v>10.052000000000001</v>
      </c>
      <c r="S46" s="89">
        <f t="shared" si="67"/>
        <v>13.131</v>
      </c>
      <c r="T46" s="89">
        <f t="shared" si="67"/>
        <v>10.793999999999999</v>
      </c>
      <c r="U46" s="89">
        <f t="shared" si="67"/>
        <v>24.759000000000004</v>
      </c>
      <c r="V46" s="89">
        <f t="shared" si="67"/>
        <v>3.7829999999999995</v>
      </c>
      <c r="W46" s="89">
        <f t="shared" si="67"/>
        <v>23.677</v>
      </c>
      <c r="X46" s="116">
        <f t="shared" si="67"/>
        <v>8.9810000000000016</v>
      </c>
      <c r="Y46" s="116">
        <f t="shared" si="67"/>
        <v>6.2829999999999995</v>
      </c>
      <c r="Z46" s="89">
        <f t="shared" si="67"/>
        <v>16.143999999999998</v>
      </c>
      <c r="AA46" s="89">
        <f t="shared" si="67"/>
        <v>15.811</v>
      </c>
      <c r="AB46" s="89">
        <f t="shared" si="67"/>
        <v>6.3460000000000019</v>
      </c>
      <c r="AC46" s="89">
        <f t="shared" si="67"/>
        <v>14.071999999999999</v>
      </c>
      <c r="AD46" s="89">
        <f t="shared" si="67"/>
        <v>15.565999999999995</v>
      </c>
      <c r="AE46" s="89">
        <f t="shared" si="67"/>
        <v>21.35</v>
      </c>
      <c r="AF46" s="89">
        <f t="shared" si="67"/>
        <v>10.249999999999996</v>
      </c>
      <c r="AG46" s="89">
        <f t="shared" si="67"/>
        <v>15.134</v>
      </c>
      <c r="AH46" s="89">
        <f t="shared" si="67"/>
        <v>23.701000000000004</v>
      </c>
      <c r="AI46" s="89">
        <f t="shared" si="67"/>
        <v>19.824999999999999</v>
      </c>
      <c r="AJ46" s="89">
        <f t="shared" si="67"/>
        <v>39.412999999999997</v>
      </c>
      <c r="AK46" s="89">
        <f t="shared" si="67"/>
        <v>23.951000000000004</v>
      </c>
      <c r="AL46" s="89">
        <f t="shared" si="67"/>
        <v>17.657999999999998</v>
      </c>
      <c r="AM46" s="89">
        <f t="shared" si="67"/>
        <v>22.058</v>
      </c>
      <c r="AN46" s="89">
        <f t="shared" ref="AN46:AS46" si="68">-AN31</f>
        <v>25.406000000000002</v>
      </c>
      <c r="AO46" s="89">
        <f t="shared" si="68"/>
        <v>21.198</v>
      </c>
      <c r="AP46" s="89">
        <f t="shared" si="68"/>
        <v>5.8440000000000012</v>
      </c>
      <c r="AQ46" s="116">
        <f t="shared" si="68"/>
        <v>12.700000000000001</v>
      </c>
      <c r="AR46" s="116">
        <f t="shared" si="68"/>
        <v>23.8</v>
      </c>
      <c r="AS46" s="116">
        <f t="shared" si="68"/>
        <v>-3.8000000000000007</v>
      </c>
      <c r="AT46" s="116">
        <f t="shared" ref="AT46:AY46" si="69">-AT31</f>
        <v>-29</v>
      </c>
      <c r="AU46" s="116">
        <f t="shared" si="69"/>
        <v>-11.299999999999999</v>
      </c>
      <c r="AV46" s="116">
        <f t="shared" si="69"/>
        <v>-3.3460000000000001</v>
      </c>
      <c r="AW46" s="116">
        <f t="shared" si="69"/>
        <v>11.476999999999999</v>
      </c>
      <c r="AX46" s="116">
        <f t="shared" si="69"/>
        <v>-0.247</v>
      </c>
      <c r="AY46" s="116">
        <f t="shared" si="69"/>
        <v>29.384</v>
      </c>
      <c r="AZ46" s="116">
        <f t="shared" ref="AZ46:BE46" si="70">-AZ31</f>
        <v>13.269</v>
      </c>
      <c r="BA46" s="116">
        <f t="shared" si="70"/>
        <v>36.917999999999999</v>
      </c>
      <c r="BB46" s="116">
        <f t="shared" si="70"/>
        <v>-5.0839999999999996</v>
      </c>
      <c r="BC46" s="116">
        <f t="shared" si="70"/>
        <v>9.5659999999999989</v>
      </c>
      <c r="BD46" s="116">
        <f t="shared" si="70"/>
        <v>19.484000000000002</v>
      </c>
      <c r="BE46" s="116">
        <f t="shared" si="70"/>
        <v>12.917000000000002</v>
      </c>
      <c r="BF46" s="116">
        <f t="shared" ref="BF46" si="71">-BF31</f>
        <v>-11.349</v>
      </c>
      <c r="BG46" s="116">
        <v>8.2629999999999999</v>
      </c>
      <c r="BH46" s="80"/>
      <c r="BI46" s="89">
        <f t="shared" ref="BI46:BS46" si="72">-BI31</f>
        <v>22.691000000000003</v>
      </c>
      <c r="BJ46" s="89">
        <f t="shared" si="72"/>
        <v>36.314</v>
      </c>
      <c r="BK46" s="116">
        <f t="shared" si="72"/>
        <v>17.196999999999999</v>
      </c>
      <c r="BL46" s="89">
        <f t="shared" si="72"/>
        <v>23.960999999999999</v>
      </c>
      <c r="BM46" s="89">
        <f t="shared" si="72"/>
        <v>26.085000000000001</v>
      </c>
      <c r="BN46" s="89">
        <f t="shared" si="72"/>
        <v>52.466999999999999</v>
      </c>
      <c r="BO46" s="89">
        <f t="shared" si="72"/>
        <v>55.085000000000001</v>
      </c>
      <c r="BP46" s="89">
        <f t="shared" si="72"/>
        <v>51.795000000000002</v>
      </c>
      <c r="BQ46" s="89">
        <f t="shared" si="72"/>
        <v>70.435000000000002</v>
      </c>
      <c r="BR46" s="89">
        <f t="shared" si="72"/>
        <v>100.84700000000001</v>
      </c>
      <c r="BS46" s="89">
        <f t="shared" si="72"/>
        <v>74.506</v>
      </c>
      <c r="BT46" s="89">
        <f>-BT31</f>
        <v>3.6999999999999957</v>
      </c>
      <c r="BU46" s="89">
        <f>-BU31</f>
        <v>-3.4160000000000039</v>
      </c>
      <c r="BV46" s="89">
        <f>-BV31</f>
        <v>74.486999999999995</v>
      </c>
      <c r="BW46" s="89">
        <f>-BW31</f>
        <v>30.617999999999999</v>
      </c>
    </row>
    <row r="47" spans="1:78" s="23" customFormat="1" x14ac:dyDescent="0.35">
      <c r="A47" s="80"/>
      <c r="B47" s="132" t="str">
        <f>IF(Control!$D$5=1,"(+) Depreciation and Amortization","(+) Depreciação e Amortização")</f>
        <v>(+) Depreciation and Amortization</v>
      </c>
      <c r="C47" s="217">
        <v>4.4340000000000002</v>
      </c>
      <c r="D47" s="115">
        <v>3.8380000000000001</v>
      </c>
      <c r="E47" s="115">
        <v>5.4309999999999983</v>
      </c>
      <c r="F47" s="114">
        <v>3.4930000000000039</v>
      </c>
      <c r="G47" s="217">
        <v>3.585</v>
      </c>
      <c r="H47" s="218">
        <v>3.8879999999999999</v>
      </c>
      <c r="I47" s="218">
        <v>4.383</v>
      </c>
      <c r="J47" s="218">
        <v>7.3010000000000002</v>
      </c>
      <c r="K47" s="217">
        <v>4.3170000000000002</v>
      </c>
      <c r="L47" s="218">
        <v>6.1470000000000002</v>
      </c>
      <c r="M47" s="218">
        <v>5.2219999999999995</v>
      </c>
      <c r="N47" s="218">
        <v>9.8320000000000007</v>
      </c>
      <c r="O47" s="217">
        <v>8.18</v>
      </c>
      <c r="P47" s="218">
        <v>9.9649999999999999</v>
      </c>
      <c r="Q47" s="218">
        <v>13.276</v>
      </c>
      <c r="R47" s="218">
        <v>11.674000000000007</v>
      </c>
      <c r="S47" s="217">
        <v>11.504</v>
      </c>
      <c r="T47" s="218">
        <v>11.894</v>
      </c>
      <c r="U47" s="218">
        <v>15.279999999999998</v>
      </c>
      <c r="V47" s="218">
        <v>19.557000000000002</v>
      </c>
      <c r="W47" s="217">
        <v>17.053999999999998</v>
      </c>
      <c r="X47" s="218">
        <f>39.588-W47</f>
        <v>22.534000000000002</v>
      </c>
      <c r="Y47" s="218">
        <v>17.220999999999997</v>
      </c>
      <c r="Z47" s="218">
        <v>19.621000000000009</v>
      </c>
      <c r="AA47" s="217">
        <v>18.381</v>
      </c>
      <c r="AB47" s="218">
        <v>18.228999999999999</v>
      </c>
      <c r="AC47" s="218">
        <v>19.359000000000002</v>
      </c>
      <c r="AD47" s="218">
        <v>20.294000000000004</v>
      </c>
      <c r="AE47" s="217">
        <v>20.748999999999999</v>
      </c>
      <c r="AF47" s="218">
        <v>20.474</v>
      </c>
      <c r="AG47" s="218">
        <v>21.975000000000001</v>
      </c>
      <c r="AH47" s="218">
        <v>22.557000000000009</v>
      </c>
      <c r="AI47" s="217">
        <v>23.086000000000002</v>
      </c>
      <c r="AJ47" s="218">
        <v>21.331999999999997</v>
      </c>
      <c r="AK47" s="218">
        <v>21.270000000000003</v>
      </c>
      <c r="AL47" s="218">
        <v>20.910999999999987</v>
      </c>
      <c r="AM47" s="217">
        <v>21.292999999999999</v>
      </c>
      <c r="AN47" s="218">
        <v>22.501000000000001</v>
      </c>
      <c r="AO47" s="296">
        <v>23.212000000000003</v>
      </c>
      <c r="AP47" s="296">
        <v>23.194000000000003</v>
      </c>
      <c r="AQ47" s="297">
        <v>24.7</v>
      </c>
      <c r="AR47" s="297">
        <v>25.599999999999998</v>
      </c>
      <c r="AS47" s="297">
        <v>23.7</v>
      </c>
      <c r="AT47" s="297">
        <v>27.299999999999997</v>
      </c>
      <c r="AU47" s="297">
        <v>33.699999999999996</v>
      </c>
      <c r="AV47" s="297">
        <v>33.756999999999998</v>
      </c>
      <c r="AW47" s="297">
        <v>36.003</v>
      </c>
      <c r="AX47" s="297">
        <v>40.015000000000001</v>
      </c>
      <c r="AY47" s="297">
        <v>41.006999999999998</v>
      </c>
      <c r="AZ47" s="297">
        <v>41.173999999999999</v>
      </c>
      <c r="BA47" s="297">
        <v>41.113999999999997</v>
      </c>
      <c r="BB47" s="297">
        <v>41.540999999999997</v>
      </c>
      <c r="BC47" s="297">
        <v>41.125999999999998</v>
      </c>
      <c r="BD47" s="297">
        <v>40.590000000000003</v>
      </c>
      <c r="BE47" s="297">
        <v>41.859000000000002</v>
      </c>
      <c r="BF47" s="297">
        <v>49.281999999999996</v>
      </c>
      <c r="BG47" s="297">
        <v>54.600999999999999</v>
      </c>
      <c r="BH47" s="313"/>
      <c r="BI47" s="115">
        <v>0</v>
      </c>
      <c r="BJ47" s="89">
        <v>17.196000000000002</v>
      </c>
      <c r="BK47" s="217">
        <v>19.157</v>
      </c>
      <c r="BL47" s="217">
        <v>25.518000000000001</v>
      </c>
      <c r="BM47" s="217">
        <v>43.095000000000006</v>
      </c>
      <c r="BN47" s="217">
        <v>58.234999999999999</v>
      </c>
      <c r="BO47" s="217">
        <v>76.430000000000007</v>
      </c>
      <c r="BP47" s="217">
        <v>76.263000000000005</v>
      </c>
      <c r="BQ47" s="217">
        <v>85.75500000000001</v>
      </c>
      <c r="BR47" s="217">
        <v>86.59899999999999</v>
      </c>
      <c r="BS47" s="217">
        <v>90.2</v>
      </c>
      <c r="BT47" s="217">
        <v>101.3</v>
      </c>
      <c r="BU47" s="217">
        <v>143.47499999999999</v>
      </c>
      <c r="BV47" s="217">
        <v>164.83599999999998</v>
      </c>
      <c r="BW47" s="217">
        <v>172.85700000000003</v>
      </c>
    </row>
    <row r="48" spans="1:78" s="11" customFormat="1" x14ac:dyDescent="0.35">
      <c r="A48" s="130"/>
      <c r="B48" s="40" t="str">
        <f>IF(Control!$D$5=1,"(=) EBITDA","(=) EBITDA")</f>
        <v>(=) EBITDA</v>
      </c>
      <c r="C48" s="85">
        <f t="shared" ref="C48:AM48" si="73">SUM(C44:C47)</f>
        <v>49.189999999999976</v>
      </c>
      <c r="D48" s="85">
        <v>22.521999999999956</v>
      </c>
      <c r="E48" s="85">
        <v>80.864000000000161</v>
      </c>
      <c r="F48" s="85">
        <f t="shared" si="73"/>
        <v>16.721000000000082</v>
      </c>
      <c r="G48" s="85">
        <f t="shared" si="73"/>
        <v>38.300299999999979</v>
      </c>
      <c r="H48" s="85">
        <f t="shared" si="73"/>
        <v>32.931699999999992</v>
      </c>
      <c r="I48" s="85">
        <f t="shared" si="73"/>
        <v>20.522999999999922</v>
      </c>
      <c r="J48" s="85">
        <f t="shared" si="73"/>
        <v>31.518000000000207</v>
      </c>
      <c r="K48" s="85">
        <f t="shared" si="73"/>
        <v>43.596000000000025</v>
      </c>
      <c r="L48" s="85">
        <f t="shared" si="73"/>
        <v>31.312999999999917</v>
      </c>
      <c r="M48" s="85">
        <f t="shared" si="73"/>
        <v>31.116000000000035</v>
      </c>
      <c r="N48" s="85">
        <f t="shared" si="73"/>
        <v>35.538000000000117</v>
      </c>
      <c r="O48" s="85">
        <f t="shared" si="73"/>
        <v>47.240999999999993</v>
      </c>
      <c r="P48" s="85">
        <f t="shared" si="73"/>
        <v>55.361000000000033</v>
      </c>
      <c r="Q48" s="85">
        <f t="shared" si="73"/>
        <v>53.373999999999981</v>
      </c>
      <c r="R48" s="85">
        <f t="shared" si="73"/>
        <v>53.078000000000202</v>
      </c>
      <c r="S48" s="85">
        <f t="shared" si="73"/>
        <v>73.410000000000053</v>
      </c>
      <c r="T48" s="85">
        <f t="shared" si="73"/>
        <v>73.338999999999942</v>
      </c>
      <c r="U48" s="85">
        <f t="shared" si="73"/>
        <v>89.752999999999957</v>
      </c>
      <c r="V48" s="85">
        <f t="shared" si="73"/>
        <v>78.456000000000046</v>
      </c>
      <c r="W48" s="85">
        <f t="shared" si="73"/>
        <v>106.87299999999991</v>
      </c>
      <c r="X48" s="85">
        <f t="shared" si="73"/>
        <v>92.53400000000012</v>
      </c>
      <c r="Y48" s="85">
        <f t="shared" si="73"/>
        <v>83.125</v>
      </c>
      <c r="Z48" s="85">
        <f t="shared" si="73"/>
        <v>92.788999999999817</v>
      </c>
      <c r="AA48" s="85">
        <f t="shared" si="73"/>
        <v>104.02499999999998</v>
      </c>
      <c r="AB48" s="85">
        <f t="shared" si="73"/>
        <v>90.926999999999751</v>
      </c>
      <c r="AC48" s="85">
        <f t="shared" si="73"/>
        <v>89.588999999999828</v>
      </c>
      <c r="AD48" s="85">
        <f t="shared" si="73"/>
        <v>76.746000000000805</v>
      </c>
      <c r="AE48" s="85">
        <f t="shared" si="73"/>
        <v>102.98999999999998</v>
      </c>
      <c r="AF48" s="85">
        <f t="shared" si="73"/>
        <v>105.47999999999983</v>
      </c>
      <c r="AG48" s="85">
        <f t="shared" si="73"/>
        <v>109.0460000000003</v>
      </c>
      <c r="AH48" s="85">
        <f t="shared" si="73"/>
        <v>105.39499999999975</v>
      </c>
      <c r="AI48" s="85">
        <f t="shared" si="73"/>
        <v>126.45500000000007</v>
      </c>
      <c r="AJ48" s="85">
        <f t="shared" si="73"/>
        <v>176.94399999999985</v>
      </c>
      <c r="AK48" s="85">
        <f t="shared" si="73"/>
        <v>145.72700000000006</v>
      </c>
      <c r="AL48" s="85">
        <f t="shared" si="73"/>
        <v>97.864999999999995</v>
      </c>
      <c r="AM48" s="85">
        <f t="shared" si="73"/>
        <v>127.34399999999999</v>
      </c>
      <c r="AN48" s="85">
        <f t="shared" ref="AN48:AS48" si="74">SUM(AN44:AN47)</f>
        <v>114.25499999999977</v>
      </c>
      <c r="AO48" s="85">
        <f t="shared" si="74"/>
        <v>128.87600000000003</v>
      </c>
      <c r="AP48" s="85">
        <f t="shared" si="74"/>
        <v>119.32500000000049</v>
      </c>
      <c r="AQ48" s="85">
        <f t="shared" si="74"/>
        <v>81.999999999999844</v>
      </c>
      <c r="AR48" s="85">
        <f t="shared" si="74"/>
        <v>134.59999999999991</v>
      </c>
      <c r="AS48" s="85">
        <f t="shared" si="74"/>
        <v>151.4</v>
      </c>
      <c r="AT48" s="85">
        <f>SUM(AT44:AT47)</f>
        <v>115.20000000000023</v>
      </c>
      <c r="AU48" s="85">
        <f t="shared" ref="AU48:BC48" si="75">SUM(AU44:AU47)</f>
        <v>82.999999999999943</v>
      </c>
      <c r="AV48" s="85">
        <f t="shared" si="75"/>
        <v>88.732000000000113</v>
      </c>
      <c r="AW48" s="85">
        <f t="shared" si="75"/>
        <v>132.98099999999954</v>
      </c>
      <c r="AX48" s="85">
        <f t="shared" si="75"/>
        <v>137.0619999999999</v>
      </c>
      <c r="AY48" s="85">
        <f t="shared" si="75"/>
        <v>196.64099999999985</v>
      </c>
      <c r="AZ48" s="85">
        <f t="shared" si="75"/>
        <v>207.45500000000001</v>
      </c>
      <c r="BA48" s="85">
        <f t="shared" si="75"/>
        <v>236.97092098000016</v>
      </c>
      <c r="BB48" s="85">
        <f t="shared" si="75"/>
        <v>145.96199999999996</v>
      </c>
      <c r="BC48" s="85">
        <f t="shared" si="75"/>
        <v>183.89100000000022</v>
      </c>
      <c r="BD48" s="85">
        <f>SUM(BD44:BD47)</f>
        <v>191.0739999999997</v>
      </c>
      <c r="BE48" s="85">
        <f>SUM(BE44:BE47)</f>
        <v>200.68199999999987</v>
      </c>
      <c r="BF48" s="85">
        <f>SUM(BF44:BF47)</f>
        <v>234.13400000000047</v>
      </c>
      <c r="BG48" s="85">
        <v>244.60900000000055</v>
      </c>
      <c r="BH48" s="130"/>
      <c r="BI48" s="85">
        <f t="shared" ref="BI48:BR48" si="76">SUM(BI44:BI47)</f>
        <v>106.78100000000001</v>
      </c>
      <c r="BJ48" s="85">
        <f t="shared" si="76"/>
        <v>168.59200000000001</v>
      </c>
      <c r="BK48" s="85">
        <f t="shared" si="76"/>
        <v>123.2729999999999</v>
      </c>
      <c r="BL48" s="85">
        <f t="shared" si="76"/>
        <v>141.5630000000001</v>
      </c>
      <c r="BM48" s="85">
        <f t="shared" si="76"/>
        <v>209.05400000000012</v>
      </c>
      <c r="BN48" s="85">
        <f t="shared" si="76"/>
        <v>314.95799999999986</v>
      </c>
      <c r="BO48" s="85">
        <f t="shared" si="76"/>
        <v>375.32099999999986</v>
      </c>
      <c r="BP48" s="85">
        <f t="shared" si="76"/>
        <v>361.28700000000003</v>
      </c>
      <c r="BQ48" s="85">
        <f t="shared" si="76"/>
        <v>422.91100000000029</v>
      </c>
      <c r="BR48" s="85">
        <f t="shared" si="76"/>
        <v>547.05199999999923</v>
      </c>
      <c r="BS48" s="85">
        <f>SUM(BS44:BS47)</f>
        <v>489.80000000000092</v>
      </c>
      <c r="BT48" s="85">
        <f>SUM(BT44:BT47)</f>
        <v>483.19999999999948</v>
      </c>
      <c r="BU48" s="85">
        <f>SUM(BU44:BU47)</f>
        <v>441.77499999999964</v>
      </c>
      <c r="BV48" s="85">
        <f>SUM(BV44:BV47)</f>
        <v>787.02800000000161</v>
      </c>
      <c r="BW48" s="85">
        <f>SUM(BW44:BW47)</f>
        <v>809.77999999999815</v>
      </c>
    </row>
    <row r="49" spans="1:75" ht="12" customHeight="1" x14ac:dyDescent="0.35">
      <c r="B49" s="15"/>
      <c r="C49" s="94"/>
      <c r="D49" s="115"/>
      <c r="E49" s="115"/>
      <c r="F49" s="115"/>
      <c r="G49" s="94"/>
      <c r="H49" s="115"/>
      <c r="I49" s="115"/>
      <c r="J49" s="115"/>
      <c r="K49" s="94"/>
      <c r="L49" s="115"/>
      <c r="M49" s="115"/>
      <c r="N49" s="115"/>
      <c r="O49" s="94"/>
      <c r="P49" s="115"/>
      <c r="Q49" s="115"/>
      <c r="R49" s="115"/>
      <c r="S49" s="94"/>
      <c r="T49" s="115"/>
      <c r="U49" s="115"/>
      <c r="V49" s="115"/>
      <c r="W49" s="115"/>
      <c r="X49" s="115"/>
      <c r="Y49" s="115"/>
      <c r="Z49" s="115"/>
      <c r="AA49" s="94"/>
      <c r="AB49" s="115"/>
      <c r="AC49" s="115"/>
      <c r="AD49" s="115"/>
      <c r="AE49" s="94"/>
      <c r="AF49" s="115"/>
      <c r="AG49" s="115"/>
      <c r="AH49" s="115"/>
      <c r="AI49" s="94"/>
      <c r="AJ49" s="115"/>
      <c r="AK49" s="115"/>
      <c r="AL49" s="115"/>
      <c r="AM49" s="94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I49" s="115"/>
      <c r="BJ49" s="115"/>
      <c r="BK49" s="115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</row>
    <row r="50" spans="1:75" s="7" customFormat="1" x14ac:dyDescent="0.35">
      <c r="B50" s="56" t="str">
        <f>IF(Control!$D$5=1,"(-) Non Recurring Revenues/Expenses","(-) Receitas/Despesas Não Recorrentes")</f>
        <v>(-) Non Recurring Revenues/Expenses</v>
      </c>
      <c r="C50" s="94"/>
      <c r="D50" s="115"/>
      <c r="E50" s="115"/>
      <c r="F50" s="115"/>
      <c r="G50" s="94"/>
      <c r="H50" s="115"/>
      <c r="I50" s="115"/>
      <c r="J50" s="115"/>
      <c r="K50" s="94"/>
      <c r="L50" s="115"/>
      <c r="M50" s="115"/>
      <c r="N50" s="115"/>
      <c r="O50" s="94"/>
      <c r="P50" s="115"/>
      <c r="Q50" s="115"/>
      <c r="R50" s="115"/>
      <c r="S50" s="94"/>
      <c r="T50" s="115"/>
      <c r="U50" s="115"/>
      <c r="V50" s="115"/>
      <c r="W50" s="115"/>
      <c r="X50" s="115"/>
      <c r="Y50" s="115"/>
      <c r="Z50" s="115"/>
      <c r="AA50" s="94"/>
      <c r="AB50" s="115"/>
      <c r="AC50" s="115"/>
      <c r="AD50" s="115"/>
      <c r="AE50" s="94"/>
      <c r="AF50" s="115"/>
      <c r="AG50" s="115"/>
      <c r="AH50" s="115"/>
      <c r="AI50" s="94"/>
      <c r="AJ50" s="115"/>
      <c r="AK50" s="115"/>
      <c r="AL50" s="115"/>
      <c r="AM50" s="94"/>
      <c r="AN50" s="115"/>
      <c r="AO50" s="115"/>
      <c r="AP50" s="115"/>
      <c r="AQ50" s="115"/>
      <c r="AR50" s="115">
        <v>15.3</v>
      </c>
      <c r="AS50" s="115">
        <v>36</v>
      </c>
      <c r="AT50" s="115">
        <v>27.900000000000002</v>
      </c>
      <c r="AU50" s="115">
        <v>0</v>
      </c>
      <c r="AV50" s="115">
        <v>0</v>
      </c>
      <c r="AW50" s="115">
        <v>0</v>
      </c>
      <c r="AX50" s="115">
        <v>0</v>
      </c>
      <c r="AY50" s="115">
        <v>0</v>
      </c>
      <c r="AZ50" s="115">
        <v>0</v>
      </c>
      <c r="BA50" s="115">
        <v>0</v>
      </c>
      <c r="BB50" s="115">
        <v>0</v>
      </c>
      <c r="BC50" s="115">
        <v>0</v>
      </c>
      <c r="BD50" s="115">
        <v>0</v>
      </c>
      <c r="BE50" s="115">
        <v>0</v>
      </c>
      <c r="BF50" s="115">
        <v>88.363928230274013</v>
      </c>
      <c r="BG50" s="115"/>
      <c r="BH50" s="249"/>
      <c r="BI50" s="115">
        <v>0</v>
      </c>
      <c r="BJ50" s="115">
        <v>0</v>
      </c>
      <c r="BK50" s="115">
        <v>0</v>
      </c>
      <c r="BL50" s="115">
        <v>0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0</v>
      </c>
      <c r="BS50" s="115">
        <v>0</v>
      </c>
      <c r="BT50" s="217">
        <v>79.2</v>
      </c>
      <c r="BU50" s="115">
        <v>0</v>
      </c>
      <c r="BV50" s="115">
        <v>0</v>
      </c>
      <c r="BW50" s="217">
        <v>88.363928230274013</v>
      </c>
    </row>
    <row r="51" spans="1:75" s="130" customFormat="1" x14ac:dyDescent="0.35">
      <c r="B51" s="129" t="str">
        <f>IF(Control!$D$5=1,"(=) Adjusted EBITDA","(=) EBITDA Ajustado")</f>
        <v>(=) Adjusted EBITDA</v>
      </c>
      <c r="C51" s="85">
        <f t="shared" ref="C51:AR51" si="77">+C48-C50</f>
        <v>49.189999999999976</v>
      </c>
      <c r="D51" s="85">
        <f t="shared" si="77"/>
        <v>22.521999999999956</v>
      </c>
      <c r="E51" s="85">
        <f t="shared" si="77"/>
        <v>80.864000000000161</v>
      </c>
      <c r="F51" s="85">
        <f t="shared" si="77"/>
        <v>16.721000000000082</v>
      </c>
      <c r="G51" s="85">
        <f t="shared" si="77"/>
        <v>38.300299999999979</v>
      </c>
      <c r="H51" s="85">
        <f t="shared" si="77"/>
        <v>32.931699999999992</v>
      </c>
      <c r="I51" s="85">
        <f t="shared" si="77"/>
        <v>20.522999999999922</v>
      </c>
      <c r="J51" s="85">
        <f t="shared" si="77"/>
        <v>31.518000000000207</v>
      </c>
      <c r="K51" s="85">
        <f t="shared" si="77"/>
        <v>43.596000000000025</v>
      </c>
      <c r="L51" s="85">
        <f t="shared" si="77"/>
        <v>31.312999999999917</v>
      </c>
      <c r="M51" s="85">
        <f t="shared" si="77"/>
        <v>31.116000000000035</v>
      </c>
      <c r="N51" s="85">
        <f t="shared" si="77"/>
        <v>35.538000000000117</v>
      </c>
      <c r="O51" s="85">
        <f t="shared" si="77"/>
        <v>47.240999999999993</v>
      </c>
      <c r="P51" s="85">
        <f t="shared" si="77"/>
        <v>55.361000000000033</v>
      </c>
      <c r="Q51" s="85">
        <f t="shared" si="77"/>
        <v>53.373999999999981</v>
      </c>
      <c r="R51" s="85">
        <f t="shared" si="77"/>
        <v>53.078000000000202</v>
      </c>
      <c r="S51" s="85">
        <f t="shared" si="77"/>
        <v>73.410000000000053</v>
      </c>
      <c r="T51" s="85">
        <f t="shared" si="77"/>
        <v>73.338999999999942</v>
      </c>
      <c r="U51" s="85">
        <f t="shared" si="77"/>
        <v>89.752999999999957</v>
      </c>
      <c r="V51" s="85">
        <f t="shared" si="77"/>
        <v>78.456000000000046</v>
      </c>
      <c r="W51" s="85">
        <f t="shared" si="77"/>
        <v>106.87299999999991</v>
      </c>
      <c r="X51" s="85">
        <f t="shared" si="77"/>
        <v>92.53400000000012</v>
      </c>
      <c r="Y51" s="85">
        <f t="shared" si="77"/>
        <v>83.125</v>
      </c>
      <c r="Z51" s="85">
        <f t="shared" si="77"/>
        <v>92.788999999999817</v>
      </c>
      <c r="AA51" s="85">
        <f t="shared" si="77"/>
        <v>104.02499999999998</v>
      </c>
      <c r="AB51" s="85">
        <f t="shared" si="77"/>
        <v>90.926999999999751</v>
      </c>
      <c r="AC51" s="85">
        <f t="shared" si="77"/>
        <v>89.588999999999828</v>
      </c>
      <c r="AD51" s="85">
        <f t="shared" si="77"/>
        <v>76.746000000000805</v>
      </c>
      <c r="AE51" s="85">
        <f t="shared" si="77"/>
        <v>102.98999999999998</v>
      </c>
      <c r="AF51" s="85">
        <f t="shared" si="77"/>
        <v>105.47999999999983</v>
      </c>
      <c r="AG51" s="85">
        <f t="shared" si="77"/>
        <v>109.0460000000003</v>
      </c>
      <c r="AH51" s="85">
        <f t="shared" si="77"/>
        <v>105.39499999999975</v>
      </c>
      <c r="AI51" s="85">
        <f t="shared" si="77"/>
        <v>126.45500000000007</v>
      </c>
      <c r="AJ51" s="85">
        <f t="shared" si="77"/>
        <v>176.94399999999985</v>
      </c>
      <c r="AK51" s="85">
        <f t="shared" si="77"/>
        <v>145.72700000000006</v>
      </c>
      <c r="AL51" s="85">
        <f t="shared" si="77"/>
        <v>97.864999999999995</v>
      </c>
      <c r="AM51" s="85">
        <f t="shared" si="77"/>
        <v>127.34399999999999</v>
      </c>
      <c r="AN51" s="85">
        <f t="shared" si="77"/>
        <v>114.25499999999977</v>
      </c>
      <c r="AO51" s="85">
        <f t="shared" si="77"/>
        <v>128.87600000000003</v>
      </c>
      <c r="AP51" s="85">
        <f t="shared" si="77"/>
        <v>119.32500000000049</v>
      </c>
      <c r="AQ51" s="85">
        <f t="shared" si="77"/>
        <v>81.999999999999844</v>
      </c>
      <c r="AR51" s="85">
        <f t="shared" si="77"/>
        <v>119.29999999999991</v>
      </c>
      <c r="AS51" s="85">
        <f t="shared" ref="AS51:AX51" si="78">+AS48-AS50</f>
        <v>115.4</v>
      </c>
      <c r="AT51" s="85">
        <f t="shared" si="78"/>
        <v>87.300000000000225</v>
      </c>
      <c r="AU51" s="85">
        <f t="shared" si="78"/>
        <v>82.999999999999943</v>
      </c>
      <c r="AV51" s="85">
        <f t="shared" si="78"/>
        <v>88.732000000000113</v>
      </c>
      <c r="AW51" s="85">
        <f t="shared" si="78"/>
        <v>132.98099999999954</v>
      </c>
      <c r="AX51" s="85">
        <f t="shared" si="78"/>
        <v>137.0619999999999</v>
      </c>
      <c r="AY51" s="85">
        <f t="shared" ref="AY51:BE51" si="79">+AY48-AY50</f>
        <v>196.64099999999985</v>
      </c>
      <c r="AZ51" s="85">
        <f t="shared" si="79"/>
        <v>207.45500000000001</v>
      </c>
      <c r="BA51" s="85">
        <f t="shared" si="79"/>
        <v>236.97092098000016</v>
      </c>
      <c r="BB51" s="85">
        <f t="shared" si="79"/>
        <v>145.96199999999996</v>
      </c>
      <c r="BC51" s="85">
        <f t="shared" si="79"/>
        <v>183.89100000000022</v>
      </c>
      <c r="BD51" s="85">
        <f t="shared" si="79"/>
        <v>191.0739999999997</v>
      </c>
      <c r="BE51" s="85">
        <f t="shared" si="79"/>
        <v>200.68199999999987</v>
      </c>
      <c r="BF51" s="85">
        <f>+BF48-BF50</f>
        <v>145.77007176972646</v>
      </c>
      <c r="BG51" s="85">
        <v>244.60900000000055</v>
      </c>
      <c r="BI51" s="85">
        <f t="shared" ref="BI51:BS51" si="80">+BI48-BI50</f>
        <v>106.78100000000001</v>
      </c>
      <c r="BJ51" s="85">
        <f t="shared" si="80"/>
        <v>168.59200000000001</v>
      </c>
      <c r="BK51" s="85">
        <f t="shared" si="80"/>
        <v>123.2729999999999</v>
      </c>
      <c r="BL51" s="85">
        <f t="shared" si="80"/>
        <v>141.5630000000001</v>
      </c>
      <c r="BM51" s="85">
        <f t="shared" si="80"/>
        <v>209.05400000000012</v>
      </c>
      <c r="BN51" s="85">
        <f t="shared" si="80"/>
        <v>314.95799999999986</v>
      </c>
      <c r="BO51" s="85">
        <f t="shared" si="80"/>
        <v>375.32099999999986</v>
      </c>
      <c r="BP51" s="85">
        <f t="shared" si="80"/>
        <v>361.28700000000003</v>
      </c>
      <c r="BQ51" s="85">
        <f t="shared" si="80"/>
        <v>422.91100000000029</v>
      </c>
      <c r="BR51" s="85">
        <f t="shared" si="80"/>
        <v>547.05199999999923</v>
      </c>
      <c r="BS51" s="85">
        <f t="shared" si="80"/>
        <v>489.80000000000092</v>
      </c>
      <c r="BT51" s="85">
        <f>+BT48-BT50</f>
        <v>403.99999999999949</v>
      </c>
      <c r="BU51" s="85">
        <f>+BU48-BU50</f>
        <v>441.77499999999964</v>
      </c>
      <c r="BV51" s="85">
        <f>+BV48-BV50</f>
        <v>787.02800000000161</v>
      </c>
      <c r="BW51" s="85">
        <f t="shared" si="47"/>
        <v>721.41707176972625</v>
      </c>
    </row>
    <row r="52" spans="1:75" ht="12" customHeight="1" x14ac:dyDescent="0.35">
      <c r="B52" s="15"/>
      <c r="C52" s="94"/>
      <c r="D52" s="115"/>
      <c r="E52" s="115"/>
      <c r="F52" s="115"/>
      <c r="G52" s="94"/>
      <c r="H52" s="115"/>
      <c r="I52" s="115"/>
      <c r="J52" s="115"/>
      <c r="K52" s="94"/>
      <c r="L52" s="115"/>
      <c r="M52" s="115"/>
      <c r="N52" s="115"/>
      <c r="O52" s="94"/>
      <c r="P52" s="115"/>
      <c r="Q52" s="115"/>
      <c r="R52" s="115"/>
      <c r="S52" s="94"/>
      <c r="T52" s="115"/>
      <c r="U52" s="115"/>
      <c r="V52" s="115"/>
      <c r="W52" s="115"/>
      <c r="X52" s="115"/>
      <c r="Y52" s="115"/>
      <c r="Z52" s="115"/>
      <c r="AA52" s="94"/>
      <c r="AB52" s="115"/>
      <c r="AC52" s="115"/>
      <c r="AD52" s="115"/>
      <c r="AE52" s="94"/>
      <c r="AF52" s="115"/>
      <c r="AG52" s="115"/>
      <c r="AH52" s="115"/>
      <c r="AI52" s="94"/>
      <c r="AJ52" s="115"/>
      <c r="AK52" s="115"/>
      <c r="AL52" s="115"/>
      <c r="AM52" s="9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I52" s="115"/>
      <c r="BJ52" s="115"/>
      <c r="BK52" s="115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</row>
    <row r="53" spans="1:75" s="23" customFormat="1" x14ac:dyDescent="0.35">
      <c r="A53" s="80"/>
      <c r="B53" s="42" t="str">
        <f>IF(Control!$D$5=1,"Operating Metrics and Margins","Crescimento e Margens")</f>
        <v>Operating Metrics and Margins</v>
      </c>
      <c r="C53" s="90"/>
      <c r="D53" s="133"/>
      <c r="E53" s="133"/>
      <c r="F53" s="90"/>
      <c r="G53" s="90"/>
      <c r="H53" s="90"/>
      <c r="I53" s="90"/>
      <c r="J53" s="90"/>
      <c r="K53" s="133"/>
      <c r="L53" s="133"/>
      <c r="M53" s="133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133"/>
      <c r="Y53" s="133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80"/>
      <c r="BI53" s="90"/>
      <c r="BJ53" s="90"/>
      <c r="BK53" s="133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</row>
    <row r="54" spans="1:75" s="28" customFormat="1" x14ac:dyDescent="0.35">
      <c r="A54" s="250"/>
      <c r="B54" s="43" t="str">
        <f>IF(Control!$D$5=1,"Gross Revenues Growth YoY","Receita Bruta - Var. YoY (%)")</f>
        <v>Gross Revenues Growth YoY</v>
      </c>
      <c r="C54" s="44" t="s">
        <v>4</v>
      </c>
      <c r="D54" s="134" t="s">
        <v>4</v>
      </c>
      <c r="E54" s="134" t="s">
        <v>4</v>
      </c>
      <c r="F54" s="44" t="s">
        <v>4</v>
      </c>
      <c r="G54" s="44">
        <f t="shared" ref="G54:AO54" si="81">IF(ISERROR(G9/C9-1),"--  ",G9/C9-1)</f>
        <v>0.1615376252141385</v>
      </c>
      <c r="H54" s="44">
        <f t="shared" si="81"/>
        <v>-0.16565118577988014</v>
      </c>
      <c r="I54" s="44">
        <f t="shared" si="81"/>
        <v>-0.25738113518020289</v>
      </c>
      <c r="J54" s="44">
        <f t="shared" si="81"/>
        <v>-0.17998212892060939</v>
      </c>
      <c r="K54" s="134">
        <f t="shared" si="81"/>
        <v>8.1686656159638549E-3</v>
      </c>
      <c r="L54" s="134">
        <f t="shared" si="81"/>
        <v>0.1083924117560755</v>
      </c>
      <c r="M54" s="134">
        <f t="shared" si="81"/>
        <v>0.20612430496514866</v>
      </c>
      <c r="N54" s="44">
        <f t="shared" si="81"/>
        <v>1.0253991111552452E-2</v>
      </c>
      <c r="O54" s="44">
        <f t="shared" si="81"/>
        <v>3.2201646090534997E-2</v>
      </c>
      <c r="P54" s="44">
        <f t="shared" si="81"/>
        <v>0.18470325849964664</v>
      </c>
      <c r="Q54" s="44">
        <f t="shared" si="81"/>
        <v>0.33944320958848562</v>
      </c>
      <c r="R54" s="44">
        <f t="shared" si="81"/>
        <v>0.51068785669424677</v>
      </c>
      <c r="S54" s="44">
        <f t="shared" si="81"/>
        <v>0.61206068753600951</v>
      </c>
      <c r="T54" s="44">
        <f t="shared" si="81"/>
        <v>0.43063619153627886</v>
      </c>
      <c r="U54" s="44">
        <f t="shared" si="81"/>
        <v>0.73409539736064722</v>
      </c>
      <c r="V54" s="44">
        <f t="shared" si="81"/>
        <v>0.65765713655647051</v>
      </c>
      <c r="W54" s="44">
        <f t="shared" si="81"/>
        <v>0.47515102710495416</v>
      </c>
      <c r="X54" s="134">
        <f t="shared" si="81"/>
        <v>0.50717477027178393</v>
      </c>
      <c r="Y54" s="134">
        <f t="shared" si="81"/>
        <v>0.10113269635024769</v>
      </c>
      <c r="Z54" s="44">
        <f t="shared" si="81"/>
        <v>0.13729139950974001</v>
      </c>
      <c r="AA54" s="44">
        <f t="shared" si="81"/>
        <v>7.4988933880318465E-2</v>
      </c>
      <c r="AB54" s="44">
        <f t="shared" si="81"/>
        <v>-3.2400903001632564E-3</v>
      </c>
      <c r="AC54" s="44">
        <f t="shared" si="81"/>
        <v>2.0119076199164532E-2</v>
      </c>
      <c r="AD54" s="44">
        <f t="shared" si="81"/>
        <v>1.5508610514790133E-2</v>
      </c>
      <c r="AE54" s="44">
        <f t="shared" si="81"/>
        <v>5.0906933088365358E-2</v>
      </c>
      <c r="AF54" s="44">
        <f t="shared" si="81"/>
        <v>0.14750509319792027</v>
      </c>
      <c r="AG54" s="44">
        <f t="shared" si="81"/>
        <v>0.22986422868847955</v>
      </c>
      <c r="AH54" s="44">
        <f t="shared" si="81"/>
        <v>0.22886500796869913</v>
      </c>
      <c r="AI54" s="44">
        <f t="shared" si="81"/>
        <v>0.18589030113166438</v>
      </c>
      <c r="AJ54" s="44">
        <f t="shared" si="81"/>
        <v>0.25519327656388091</v>
      </c>
      <c r="AK54" s="44">
        <f t="shared" si="81"/>
        <v>0.12967150049828291</v>
      </c>
      <c r="AL54" s="44">
        <f t="shared" si="81"/>
        <v>0.13022830559066323</v>
      </c>
      <c r="AM54" s="44">
        <f t="shared" si="81"/>
        <v>8.9187920871406368E-2</v>
      </c>
      <c r="AN54" s="44">
        <f t="shared" si="81"/>
        <v>-8.6523433642758163E-2</v>
      </c>
      <c r="AO54" s="44">
        <f t="shared" si="81"/>
        <v>-8.4998306118300726E-2</v>
      </c>
      <c r="AP54" s="44">
        <f t="shared" ref="AP54:BG54" si="82">IF(ISERROR(AP9/AL9-1),"--  ",AP9/AL9-1)</f>
        <v>-0.10528040308814879</v>
      </c>
      <c r="AQ54" s="134">
        <f t="shared" si="82"/>
        <v>-0.17479795545492249</v>
      </c>
      <c r="AR54" s="134">
        <f t="shared" si="82"/>
        <v>-1.3247649790885441E-2</v>
      </c>
      <c r="AS54" s="134">
        <f t="shared" si="82"/>
        <v>8.3415836635316598E-2</v>
      </c>
      <c r="AT54" s="134">
        <f t="shared" si="82"/>
        <v>0.16876910371068798</v>
      </c>
      <c r="AU54" s="134">
        <f t="shared" si="82"/>
        <v>0.23567365650734362</v>
      </c>
      <c r="AV54" s="134">
        <f t="shared" si="82"/>
        <v>5.9718192807494797E-2</v>
      </c>
      <c r="AW54" s="134">
        <f t="shared" si="82"/>
        <v>0.13195201968423209</v>
      </c>
      <c r="AX54" s="134">
        <f t="shared" si="82"/>
        <v>0.12910290580510941</v>
      </c>
      <c r="AY54" s="134">
        <f t="shared" si="82"/>
        <v>0.3515279972518035</v>
      </c>
      <c r="AZ54" s="134">
        <f t="shared" si="82"/>
        <v>0.54057019498190195</v>
      </c>
      <c r="BA54" s="134">
        <f t="shared" si="82"/>
        <v>0.36257443939863276</v>
      </c>
      <c r="BB54" s="134">
        <f t="shared" si="82"/>
        <v>0.2156181792953995</v>
      </c>
      <c r="BC54" s="134">
        <f t="shared" si="82"/>
        <v>0.3081911944646798</v>
      </c>
      <c r="BD54" s="134">
        <f t="shared" si="82"/>
        <v>0.16400061086506823</v>
      </c>
      <c r="BE54" s="134">
        <f t="shared" si="82"/>
        <v>0.14752024721579415</v>
      </c>
      <c r="BF54" s="134">
        <f t="shared" si="82"/>
        <v>0.22341937078894358</v>
      </c>
      <c r="BG54" s="134">
        <f t="shared" si="82"/>
        <v>6.9079240089111593E-2</v>
      </c>
      <c r="BH54" s="250"/>
      <c r="BI54" s="44" t="str">
        <f>IF(ISERROR(BI9/#REF!-1),"--  ",BI9/#REF!-1)</f>
        <v xml:space="preserve">--  </v>
      </c>
      <c r="BJ54" s="44">
        <f t="shared" ref="BJ54:BP54" si="83">IF(ISERROR(BJ9/BI9-1),"--  ",BJ9/BI9-1)</f>
        <v>0.64340867846837591</v>
      </c>
      <c r="BK54" s="134">
        <f t="shared" si="83"/>
        <v>-0.12773585594886427</v>
      </c>
      <c r="BL54" s="44">
        <f t="shared" si="83"/>
        <v>7.9420568447068574E-2</v>
      </c>
      <c r="BM54" s="44">
        <f t="shared" si="83"/>
        <v>0.262047441810767</v>
      </c>
      <c r="BN54" s="44">
        <f t="shared" si="83"/>
        <v>0.61494272278796958</v>
      </c>
      <c r="BO54" s="44">
        <f t="shared" si="83"/>
        <v>0.27486592400873011</v>
      </c>
      <c r="BP54" s="44">
        <f t="shared" si="83"/>
        <v>2.6232081973083687E-2</v>
      </c>
      <c r="BQ54" s="44">
        <f t="shared" ref="BQ54:BV54" si="84">IF(ISERROR(BQ9/BP9-1),"--  ",BQ9/BP9-1)</f>
        <v>0.16469831423100456</v>
      </c>
      <c r="BR54" s="44">
        <f t="shared" si="84"/>
        <v>0.17261576729257166</v>
      </c>
      <c r="BS54" s="44">
        <f t="shared" si="84"/>
        <v>-5.0732890304757694E-2</v>
      </c>
      <c r="BT54" s="44">
        <f t="shared" si="84"/>
        <v>1.2418589248261336E-2</v>
      </c>
      <c r="BU54" s="44">
        <f t="shared" si="84"/>
        <v>0.13598302713114885</v>
      </c>
      <c r="BV54" s="44">
        <f t="shared" si="84"/>
        <v>0.35910939353893778</v>
      </c>
      <c r="BW54" s="44">
        <f>IF(ISERROR(BW9/BV9-1),"--  ",BW9/BV9-1)</f>
        <v>0.20777498668207128</v>
      </c>
    </row>
    <row r="55" spans="1:75" x14ac:dyDescent="0.35">
      <c r="B55" s="15" t="str">
        <f>IF(Control!$D$5=1,"Net Revenues Growth YoY","Receita Líquida - Var. YoY (%)")</f>
        <v>Net Revenues Growth YoY</v>
      </c>
      <c r="C55" s="44" t="s">
        <v>4</v>
      </c>
      <c r="D55" s="134" t="s">
        <v>4</v>
      </c>
      <c r="E55" s="134" t="s">
        <v>4</v>
      </c>
      <c r="F55" s="44" t="s">
        <v>4</v>
      </c>
      <c r="G55" s="44">
        <f t="shared" ref="G55:AO55" si="85">IF(ISERROR(G15/C15-1),"--  ",G15/C15-1)</f>
        <v>0.20176442029515629</v>
      </c>
      <c r="H55" s="44">
        <f t="shared" si="85"/>
        <v>-0.21188471314099455</v>
      </c>
      <c r="I55" s="44">
        <f t="shared" si="85"/>
        <v>-0.31638464412308764</v>
      </c>
      <c r="J55" s="44">
        <f t="shared" si="85"/>
        <v>-9.5501371819966319E-2</v>
      </c>
      <c r="K55" s="134">
        <f t="shared" si="85"/>
        <v>-1.4629341140075858E-2</v>
      </c>
      <c r="L55" s="134">
        <f t="shared" si="85"/>
        <v>0.11628436555658794</v>
      </c>
      <c r="M55" s="134">
        <f t="shared" si="85"/>
        <v>0.20417344245687974</v>
      </c>
      <c r="N55" s="44">
        <f t="shared" si="85"/>
        <v>-6.3666193251388226E-4</v>
      </c>
      <c r="O55" s="44">
        <f t="shared" si="85"/>
        <v>4.1178287607761543E-2</v>
      </c>
      <c r="P55" s="44">
        <f t="shared" si="85"/>
        <v>0.17392419021364591</v>
      </c>
      <c r="Q55" s="44">
        <f t="shared" si="85"/>
        <v>0.3641707115934889</v>
      </c>
      <c r="R55" s="44">
        <f t="shared" si="85"/>
        <v>0.51355299911790686</v>
      </c>
      <c r="S55" s="44">
        <f t="shared" si="85"/>
        <v>0.57848716468792327</v>
      </c>
      <c r="T55" s="44">
        <f t="shared" si="85"/>
        <v>0.41696783541274796</v>
      </c>
      <c r="U55" s="44">
        <f t="shared" si="85"/>
        <v>0.65549118173298093</v>
      </c>
      <c r="V55" s="44">
        <f t="shared" si="85"/>
        <v>0.56114810925007341</v>
      </c>
      <c r="W55" s="44">
        <f t="shared" si="85"/>
        <v>0.45761385499143947</v>
      </c>
      <c r="X55" s="134">
        <f t="shared" si="85"/>
        <v>0.47965953102652836</v>
      </c>
      <c r="Y55" s="134">
        <f t="shared" si="85"/>
        <v>0.12053827990113741</v>
      </c>
      <c r="Z55" s="44">
        <f t="shared" si="85"/>
        <v>0.19407728871208407</v>
      </c>
      <c r="AA55" s="44">
        <f t="shared" si="85"/>
        <v>8.4480345475133944E-2</v>
      </c>
      <c r="AB55" s="44">
        <f t="shared" si="85"/>
        <v>2.8135223799350406E-3</v>
      </c>
      <c r="AC55" s="44">
        <f t="shared" si="85"/>
        <v>1.7756028213680386E-2</v>
      </c>
      <c r="AD55" s="44">
        <f t="shared" si="85"/>
        <v>3.6919396089434287E-3</v>
      </c>
      <c r="AE55" s="44">
        <f t="shared" si="85"/>
        <v>3.9546886737897857E-2</v>
      </c>
      <c r="AF55" s="44">
        <f t="shared" si="85"/>
        <v>0.14422629092984485</v>
      </c>
      <c r="AG55" s="44">
        <f t="shared" si="85"/>
        <v>0.22899105714380941</v>
      </c>
      <c r="AH55" s="44">
        <f t="shared" si="85"/>
        <v>0.18854592865864772</v>
      </c>
      <c r="AI55" s="44">
        <f t="shared" si="85"/>
        <v>0.18141559794622686</v>
      </c>
      <c r="AJ55" s="44">
        <f t="shared" si="85"/>
        <v>0.24265697064350022</v>
      </c>
      <c r="AK55" s="44">
        <f t="shared" si="85"/>
        <v>0.11568919904249464</v>
      </c>
      <c r="AL55" s="44">
        <f t="shared" si="85"/>
        <v>0.14867607100023106</v>
      </c>
      <c r="AM55" s="44">
        <f t="shared" si="85"/>
        <v>7.8631106557990105E-2</v>
      </c>
      <c r="AN55" s="44">
        <f t="shared" si="85"/>
        <v>-8.733684138590847E-2</v>
      </c>
      <c r="AO55" s="44">
        <f t="shared" si="85"/>
        <v>-9.1659013330909422E-2</v>
      </c>
      <c r="AP55" s="44">
        <f t="shared" ref="AP55:BG55" si="86">IF(ISERROR(AP15/AL15-1),"--  ",AP15/AL15-1)</f>
        <v>-0.11559521829027708</v>
      </c>
      <c r="AQ55" s="134">
        <f t="shared" si="86"/>
        <v>-0.1804556125000919</v>
      </c>
      <c r="AR55" s="134">
        <f t="shared" si="86"/>
        <v>-1.4016017075700105E-2</v>
      </c>
      <c r="AS55" s="134">
        <f t="shared" si="86"/>
        <v>9.2857518744128287E-2</v>
      </c>
      <c r="AT55" s="134">
        <f t="shared" si="86"/>
        <v>0.19312822635039795</v>
      </c>
      <c r="AU55" s="134">
        <f t="shared" si="86"/>
        <v>0.23168060533651946</v>
      </c>
      <c r="AV55" s="134">
        <f t="shared" si="86"/>
        <v>6.8047311452514192E-2</v>
      </c>
      <c r="AW55" s="134">
        <f t="shared" si="86"/>
        <v>0.1394924218503315</v>
      </c>
      <c r="AX55" s="134">
        <f t="shared" si="86"/>
        <v>0.12006081081081055</v>
      </c>
      <c r="AY55" s="134">
        <f t="shared" si="86"/>
        <v>0.39761054078085856</v>
      </c>
      <c r="AZ55" s="134">
        <f t="shared" si="86"/>
        <v>0.56315653975505797</v>
      </c>
      <c r="BA55" s="134">
        <f t="shared" si="86"/>
        <v>0.38123137505897131</v>
      </c>
      <c r="BB55" s="134">
        <f t="shared" si="86"/>
        <v>0.22698654955590825</v>
      </c>
      <c r="BC55" s="134">
        <f t="shared" si="86"/>
        <v>0.30548460830175439</v>
      </c>
      <c r="BD55" s="134">
        <f t="shared" si="86"/>
        <v>0.15994756897388251</v>
      </c>
      <c r="BE55" s="134">
        <f t="shared" si="86"/>
        <v>0.1400011485905901</v>
      </c>
      <c r="BF55" s="134">
        <f t="shared" si="86"/>
        <v>0.238526096012875</v>
      </c>
      <c r="BG55" s="134">
        <f t="shared" si="86"/>
        <v>6.1786881047970921E-2</v>
      </c>
      <c r="BI55" s="44" t="str">
        <f>IF(ISERROR(BI15/#REF!-1),"--  ",BI15/#REF!-1)</f>
        <v xml:space="preserve">--  </v>
      </c>
      <c r="BJ55" s="44">
        <f t="shared" ref="BJ55:BV55" si="87">IF(ISERROR(BJ15/BI15-1),"--  ",BJ15/BI15-1)</f>
        <v>0.75078907056280864</v>
      </c>
      <c r="BK55" s="134">
        <f t="shared" si="87"/>
        <v>-0.13221465998687576</v>
      </c>
      <c r="BL55" s="44">
        <f t="shared" si="87"/>
        <v>7.1250754863683152E-2</v>
      </c>
      <c r="BM55" s="44">
        <f t="shared" si="87"/>
        <v>0.26801752168528914</v>
      </c>
      <c r="BN55" s="44">
        <f t="shared" si="87"/>
        <v>0.55640402346084428</v>
      </c>
      <c r="BO55" s="44">
        <f t="shared" si="87"/>
        <v>0.29008755439506362</v>
      </c>
      <c r="BP55" s="44">
        <f t="shared" si="87"/>
        <v>2.6306671137712678E-2</v>
      </c>
      <c r="BQ55" s="44">
        <f t="shared" si="87"/>
        <v>0.15048961010201389</v>
      </c>
      <c r="BR55" s="44">
        <f t="shared" si="87"/>
        <v>0.16998124120200986</v>
      </c>
      <c r="BS55" s="44">
        <f t="shared" si="87"/>
        <v>-5.7559221883058176E-2</v>
      </c>
      <c r="BT55" s="44">
        <f t="shared" si="87"/>
        <v>1.8400171563370815E-2</v>
      </c>
      <c r="BU55" s="44">
        <f t="shared" si="87"/>
        <v>0.13630496125336933</v>
      </c>
      <c r="BV55" s="44">
        <f t="shared" si="87"/>
        <v>0.38359180776433321</v>
      </c>
      <c r="BW55" s="44">
        <f>IF(ISERROR(BW15/BV15-1),"--  ",BW15/BV15-1)</f>
        <v>0.20759099375982659</v>
      </c>
    </row>
    <row r="56" spans="1:75" x14ac:dyDescent="0.35">
      <c r="B56" s="15" t="str">
        <f>IF(Control!$D$5=1,"EBITDA Growth YoY","EBITDA - Var. YoY (%)")</f>
        <v>EBITDA Growth YoY</v>
      </c>
      <c r="C56" s="44" t="s">
        <v>4</v>
      </c>
      <c r="D56" s="134" t="s">
        <v>4</v>
      </c>
      <c r="E56" s="134" t="s">
        <v>4</v>
      </c>
      <c r="F56" s="44" t="s">
        <v>4</v>
      </c>
      <c r="G56" s="44">
        <f t="shared" ref="G56:AO56" si="88">IF(ISERROR(G48/C48-1),"--  ",G48/C48-1)</f>
        <v>-0.22138036186216714</v>
      </c>
      <c r="H56" s="44">
        <f t="shared" si="88"/>
        <v>0.46220140307255386</v>
      </c>
      <c r="I56" s="44">
        <f t="shared" si="88"/>
        <v>-0.74620350217649534</v>
      </c>
      <c r="J56" s="44">
        <f t="shared" si="88"/>
        <v>0.88493511153639459</v>
      </c>
      <c r="K56" s="134">
        <f t="shared" si="88"/>
        <v>0.13826784646595591</v>
      </c>
      <c r="L56" s="134">
        <f t="shared" si="88"/>
        <v>-4.9153247478875284E-2</v>
      </c>
      <c r="M56" s="134">
        <f t="shared" si="88"/>
        <v>0.51615260926765849</v>
      </c>
      <c r="N56" s="44">
        <f t="shared" si="88"/>
        <v>0.12754616409670305</v>
      </c>
      <c r="O56" s="44">
        <f t="shared" si="88"/>
        <v>8.360858794384729E-2</v>
      </c>
      <c r="P56" s="44">
        <f t="shared" si="88"/>
        <v>0.76798773672277254</v>
      </c>
      <c r="Q56" s="44">
        <f t="shared" si="88"/>
        <v>0.71532330633757302</v>
      </c>
      <c r="R56" s="44">
        <f t="shared" si="88"/>
        <v>0.49355619337047751</v>
      </c>
      <c r="S56" s="44">
        <f t="shared" si="88"/>
        <v>0.55394678351432147</v>
      </c>
      <c r="T56" s="44">
        <f t="shared" si="88"/>
        <v>0.32474124383591163</v>
      </c>
      <c r="U56" s="44">
        <f t="shared" si="88"/>
        <v>0.68158654026304921</v>
      </c>
      <c r="V56" s="44">
        <f t="shared" si="88"/>
        <v>0.47812653076603762</v>
      </c>
      <c r="W56" s="44">
        <f t="shared" si="88"/>
        <v>0.45583707941697083</v>
      </c>
      <c r="X56" s="134">
        <f t="shared" si="88"/>
        <v>0.26172977542644693</v>
      </c>
      <c r="Y56" s="134">
        <f t="shared" si="88"/>
        <v>-7.3847113745501125E-2</v>
      </c>
      <c r="Z56" s="44">
        <f t="shared" si="88"/>
        <v>0.18268838584684111</v>
      </c>
      <c r="AA56" s="44">
        <f t="shared" si="88"/>
        <v>-2.6648451900853631E-2</v>
      </c>
      <c r="AB56" s="44">
        <f t="shared" si="88"/>
        <v>-1.7366589577888836E-2</v>
      </c>
      <c r="AC56" s="44">
        <f t="shared" si="88"/>
        <v>7.7762406015035479E-2</v>
      </c>
      <c r="AD56" s="44">
        <f t="shared" si="88"/>
        <v>-0.17289764950585784</v>
      </c>
      <c r="AE56" s="44">
        <f t="shared" si="88"/>
        <v>-9.9495313626531967E-3</v>
      </c>
      <c r="AF56" s="44">
        <f t="shared" si="88"/>
        <v>0.16005146986043894</v>
      </c>
      <c r="AG56" s="44">
        <f t="shared" si="88"/>
        <v>0.21718068066392648</v>
      </c>
      <c r="AH56" s="44">
        <f t="shared" si="88"/>
        <v>0.37329632814737779</v>
      </c>
      <c r="AI56" s="44">
        <f t="shared" si="88"/>
        <v>0.22783765414117974</v>
      </c>
      <c r="AJ56" s="44">
        <f t="shared" si="88"/>
        <v>0.67751232461130195</v>
      </c>
      <c r="AK56" s="44">
        <f t="shared" si="88"/>
        <v>0.33638097683546064</v>
      </c>
      <c r="AL56" s="44">
        <f t="shared" si="88"/>
        <v>-7.144551449309533E-2</v>
      </c>
      <c r="AM56" s="44">
        <f t="shared" si="88"/>
        <v>7.0301688347627067E-3</v>
      </c>
      <c r="AN56" s="44">
        <f t="shared" si="88"/>
        <v>-0.35428723211863711</v>
      </c>
      <c r="AO56" s="44">
        <f t="shared" si="88"/>
        <v>-0.11563402801128153</v>
      </c>
      <c r="AP56" s="44">
        <f t="shared" ref="AP56:AU56" si="89">IF(ISERROR(AP48/AL48-1),"--  ",AP48/AL48-1)</f>
        <v>0.21928166351607303</v>
      </c>
      <c r="AQ56" s="134">
        <f t="shared" si="89"/>
        <v>-0.35607488377937047</v>
      </c>
      <c r="AR56" s="134">
        <f t="shared" si="89"/>
        <v>0.17806660540020292</v>
      </c>
      <c r="AS56" s="134">
        <f t="shared" si="89"/>
        <v>0.17477264967876072</v>
      </c>
      <c r="AT56" s="134">
        <f t="shared" si="89"/>
        <v>-3.4569453174106313E-2</v>
      </c>
      <c r="AU56" s="134">
        <f t="shared" si="89"/>
        <v>1.2195121951220855E-2</v>
      </c>
      <c r="AV56" s="134">
        <f t="shared" ref="AV56:BG56" si="90">IF(ISERROR(AV48/AR48-1),"--  ",AV48/AR48-1)</f>
        <v>-0.34077265973253956</v>
      </c>
      <c r="AW56" s="134">
        <f t="shared" si="90"/>
        <v>-0.12165785997358303</v>
      </c>
      <c r="AX56" s="134">
        <f t="shared" si="90"/>
        <v>0.1897743055555523</v>
      </c>
      <c r="AY56" s="134">
        <f t="shared" si="90"/>
        <v>1.3691686746987948</v>
      </c>
      <c r="AZ56" s="134">
        <f t="shared" si="90"/>
        <v>1.3379953117251921</v>
      </c>
      <c r="BA56" s="134">
        <f t="shared" si="90"/>
        <v>0.78199081808680182</v>
      </c>
      <c r="BB56" s="134">
        <f t="shared" si="90"/>
        <v>6.4934117406721503E-2</v>
      </c>
      <c r="BC56" s="134">
        <f t="shared" si="90"/>
        <v>-6.4838970509708771E-2</v>
      </c>
      <c r="BD56" s="134">
        <f t="shared" si="90"/>
        <v>-7.8961702537901246E-2</v>
      </c>
      <c r="BE56" s="134">
        <f t="shared" si="90"/>
        <v>-0.153136599334325</v>
      </c>
      <c r="BF56" s="134">
        <f t="shared" si="90"/>
        <v>0.60407503322782996</v>
      </c>
      <c r="BG56" s="134">
        <f t="shared" si="90"/>
        <v>0.3301847289970703</v>
      </c>
      <c r="BI56" s="44" t="str">
        <f>IF(ISERROR(BI48/#REF!-1),"--  ",BI48/#REF!-1)</f>
        <v xml:space="preserve">--  </v>
      </c>
      <c r="BJ56" s="44">
        <f t="shared" ref="BJ56:BV56" si="91">IF(ISERROR(BJ48/BI48-1),"--  ",BJ48/BI48-1)</f>
        <v>0.57885766194360433</v>
      </c>
      <c r="BK56" s="134">
        <f t="shared" si="91"/>
        <v>-0.26880872164752845</v>
      </c>
      <c r="BL56" s="44">
        <f t="shared" si="91"/>
        <v>0.14836987823773429</v>
      </c>
      <c r="BM56" s="44">
        <f t="shared" si="91"/>
        <v>0.47675593198787802</v>
      </c>
      <c r="BN56" s="44">
        <f t="shared" si="91"/>
        <v>0.50658681488993129</v>
      </c>
      <c r="BO56" s="44">
        <f t="shared" si="91"/>
        <v>0.19165412531194637</v>
      </c>
      <c r="BP56" s="44">
        <f t="shared" si="91"/>
        <v>-3.7391992454458567E-2</v>
      </c>
      <c r="BQ56" s="44">
        <f t="shared" si="91"/>
        <v>0.170567997187832</v>
      </c>
      <c r="BR56" s="44">
        <f t="shared" si="91"/>
        <v>0.29353930259557881</v>
      </c>
      <c r="BS56" s="44">
        <f t="shared" si="91"/>
        <v>-0.10465549892880088</v>
      </c>
      <c r="BT56" s="44">
        <f t="shared" si="91"/>
        <v>-1.3474887709271965E-2</v>
      </c>
      <c r="BU56" s="44">
        <f t="shared" si="91"/>
        <v>-8.5730546357615678E-2</v>
      </c>
      <c r="BV56" s="44">
        <f t="shared" si="91"/>
        <v>0.78151321374003113</v>
      </c>
      <c r="BW56" s="44">
        <f>IF(ISERROR(BW48/BV48-1),"--  ",BW48/BV48-1)</f>
        <v>2.8908755469940761E-2</v>
      </c>
    </row>
    <row r="57" spans="1:75" x14ac:dyDescent="0.35">
      <c r="B57" s="45" t="str">
        <f>IF(Control!$D$5=1,"EBIT Growth YoY","Lucro Operacional (EBIT) - Var. YoY (%)")</f>
        <v>EBIT Growth YoY</v>
      </c>
      <c r="C57" s="46" t="s">
        <v>4</v>
      </c>
      <c r="D57" s="135" t="s">
        <v>4</v>
      </c>
      <c r="E57" s="135" t="s">
        <v>4</v>
      </c>
      <c r="F57" s="46" t="s">
        <v>4</v>
      </c>
      <c r="G57" s="46">
        <f t="shared" ref="G57:AO57" si="92">IF(ISERROR(G25/C25-1),"--  ",G25/C25-1)</f>
        <v>-0.24472866363853707</v>
      </c>
      <c r="H57" s="46">
        <f t="shared" si="92"/>
        <v>-0.50969895708321356</v>
      </c>
      <c r="I57" s="46">
        <f t="shared" si="92"/>
        <v>-0.56093579978237429</v>
      </c>
      <c r="J57" s="46">
        <f t="shared" si="92"/>
        <v>0.77387928508643888</v>
      </c>
      <c r="K57" s="135">
        <f t="shared" si="92"/>
        <v>0.13025612693260746</v>
      </c>
      <c r="L57" s="135">
        <f t="shared" si="92"/>
        <v>-0.13240734037308888</v>
      </c>
      <c r="M57" s="135">
        <f t="shared" si="92"/>
        <v>0.60433705080546218</v>
      </c>
      <c r="N57" s="46">
        <f t="shared" si="92"/>
        <v>6.1485733162650158E-2</v>
      </c>
      <c r="O57" s="46">
        <f t="shared" si="92"/>
        <v>-5.5500394612905124E-3</v>
      </c>
      <c r="P57" s="46">
        <f t="shared" si="92"/>
        <v>0.80386235396964856</v>
      </c>
      <c r="Q57" s="46">
        <f t="shared" si="92"/>
        <v>0.54854406426198854</v>
      </c>
      <c r="R57" s="46">
        <f t="shared" si="92"/>
        <v>0.61067455068855558</v>
      </c>
      <c r="S57" s="46">
        <f t="shared" si="92"/>
        <v>0.58485445841120454</v>
      </c>
      <c r="T57" s="46">
        <f t="shared" si="92"/>
        <v>0.353533350956029</v>
      </c>
      <c r="U57" s="46">
        <f t="shared" si="92"/>
        <v>0.85727467704124849</v>
      </c>
      <c r="V57" s="46">
        <f t="shared" si="92"/>
        <v>0.42254371558302983</v>
      </c>
      <c r="W57" s="46">
        <f t="shared" si="92"/>
        <v>0.45089328982650856</v>
      </c>
      <c r="X57" s="135">
        <f t="shared" si="92"/>
        <v>0.13923020587517598</v>
      </c>
      <c r="Y57" s="135">
        <f t="shared" si="92"/>
        <v>-0.11506183449035179</v>
      </c>
      <c r="Z57" s="46">
        <f t="shared" si="92"/>
        <v>0.24226217762610158</v>
      </c>
      <c r="AA57" s="46">
        <f t="shared" si="92"/>
        <v>-4.6482370099866777E-2</v>
      </c>
      <c r="AB57" s="46">
        <f t="shared" si="92"/>
        <v>3.8542857142851883E-2</v>
      </c>
      <c r="AC57" s="46">
        <f t="shared" si="92"/>
        <v>6.5640932265110141E-2</v>
      </c>
      <c r="AD57" s="46">
        <f t="shared" si="92"/>
        <v>-0.22846052919307702</v>
      </c>
      <c r="AE57" s="46">
        <f t="shared" si="92"/>
        <v>-3.9734248750642132E-2</v>
      </c>
      <c r="AF57" s="46">
        <f t="shared" si="92"/>
        <v>0.16930314451566919</v>
      </c>
      <c r="AG57" s="46">
        <f t="shared" si="92"/>
        <v>0.23979780720490584</v>
      </c>
      <c r="AH57" s="46">
        <f t="shared" si="92"/>
        <v>0.46740593778782991</v>
      </c>
      <c r="AI57" s="46">
        <f t="shared" si="92"/>
        <v>0.25690349095949805</v>
      </c>
      <c r="AJ57" s="46">
        <f t="shared" si="92"/>
        <v>0.83060019292755971</v>
      </c>
      <c r="AK57" s="46">
        <f t="shared" si="92"/>
        <v>0.42937372948512831</v>
      </c>
      <c r="AL57" s="46">
        <f t="shared" si="92"/>
        <v>-7.1030203529777958E-2</v>
      </c>
      <c r="AM57" s="46">
        <f t="shared" si="92"/>
        <v>2.5945883195154451E-2</v>
      </c>
      <c r="AN57" s="46">
        <f t="shared" si="92"/>
        <v>-0.41036680975760309</v>
      </c>
      <c r="AO57" s="46">
        <f t="shared" si="92"/>
        <v>-0.15099994375567483</v>
      </c>
      <c r="AP57" s="46">
        <f t="shared" ref="AP57:BG57" si="93">IF(ISERROR(AP25/AL25-1),"--  ",AP25/AL25-1)</f>
        <v>0.24920082126985577</v>
      </c>
      <c r="AQ57" s="135">
        <f t="shared" si="93"/>
        <v>-0.45969392084940408</v>
      </c>
      <c r="AR57" s="135">
        <f t="shared" si="93"/>
        <v>0.1879591080497871</v>
      </c>
      <c r="AS57" s="135">
        <f t="shared" si="93"/>
        <v>0.20854784978800689</v>
      </c>
      <c r="AT57" s="135">
        <f t="shared" si="93"/>
        <v>-8.5622743963967962E-2</v>
      </c>
      <c r="AU57" s="135">
        <f t="shared" si="93"/>
        <v>-0.13961605584642078</v>
      </c>
      <c r="AV57" s="135">
        <f t="shared" si="93"/>
        <v>-0.49564220183486085</v>
      </c>
      <c r="AW57" s="135">
        <f t="shared" si="93"/>
        <v>-0.24057948316366828</v>
      </c>
      <c r="AX57" s="135">
        <f t="shared" si="93"/>
        <v>0.10406143344709462</v>
      </c>
      <c r="AY57" s="135">
        <f t="shared" si="93"/>
        <v>2.1568762677484785</v>
      </c>
      <c r="AZ57" s="135">
        <f t="shared" si="93"/>
        <v>2.0246657571623405</v>
      </c>
      <c r="BA57" s="135">
        <f t="shared" si="93"/>
        <v>1.019601569221896</v>
      </c>
      <c r="BB57" s="135">
        <f t="shared" si="93"/>
        <v>7.5983801663112693E-2</v>
      </c>
      <c r="BC57" s="135">
        <f t="shared" si="93"/>
        <v>-8.268758754513561E-2</v>
      </c>
      <c r="BD57" s="135">
        <f t="shared" si="93"/>
        <v>-9.5001834244443528E-2</v>
      </c>
      <c r="BE57" s="135">
        <f t="shared" si="93"/>
        <v>-0.18908660870749616</v>
      </c>
      <c r="BF57" s="135">
        <f t="shared" si="93"/>
        <v>0.77025694065370498</v>
      </c>
      <c r="BG57" s="135">
        <f t="shared" si="93"/>
        <v>0.33091443981368163</v>
      </c>
      <c r="BI57" s="46" t="str">
        <f>IF(ISERROR(BI25/#REF!-1),"--  ",BI25/#REF!-1)</f>
        <v xml:space="preserve">--  </v>
      </c>
      <c r="BJ57" s="46">
        <f t="shared" ref="BJ57:BV57" si="94">IF(ISERROR(BJ25/BI25-1),"--  ",BJ25/BI25-1)</f>
        <v>0.41425104305854776</v>
      </c>
      <c r="BK57" s="135">
        <f t="shared" si="94"/>
        <v>-0.33081382643682666</v>
      </c>
      <c r="BL57" s="46">
        <f t="shared" si="94"/>
        <v>0.11457412885627782</v>
      </c>
      <c r="BM57" s="46">
        <f t="shared" si="94"/>
        <v>0.43012624412943223</v>
      </c>
      <c r="BN57" s="46">
        <f t="shared" si="94"/>
        <v>0.54690616357051836</v>
      </c>
      <c r="BO57" s="46">
        <f t="shared" si="94"/>
        <v>0.16425485834927156</v>
      </c>
      <c r="BP57" s="46">
        <f t="shared" si="94"/>
        <v>-4.6394839590351844E-2</v>
      </c>
      <c r="BQ57" s="46">
        <f t="shared" si="94"/>
        <v>0.1829038958122835</v>
      </c>
      <c r="BR57" s="46">
        <f t="shared" si="94"/>
        <v>0.36569718468601708</v>
      </c>
      <c r="BS57" s="46">
        <f t="shared" si="94"/>
        <v>-0.13215898256716396</v>
      </c>
      <c r="BT57" s="46">
        <f t="shared" si="94"/>
        <v>-4.4294294294297987E-2</v>
      </c>
      <c r="BU57" s="46">
        <f t="shared" si="94"/>
        <v>-0.2189054726368157</v>
      </c>
      <c r="BV57" s="46">
        <f t="shared" si="94"/>
        <v>1.0857928260140879</v>
      </c>
      <c r="BW57" s="46">
        <f>IF(ISERROR(BW25/BV25-1),"--  ",BW25/BV25-1)</f>
        <v>2.3675971404319762E-2</v>
      </c>
    </row>
    <row r="58" spans="1:75" x14ac:dyDescent="0.35">
      <c r="B58" s="15" t="str">
        <f>IF(Control!$D$5=1,"Gross Margin","Margem Bruta")</f>
        <v>Gross Margin</v>
      </c>
      <c r="C58" s="44">
        <f>IF(ISERROR(C17/C$15),"--  ",C17/C$15)</f>
        <v>0.30484966181390116</v>
      </c>
      <c r="D58" s="134">
        <v>0.16602277239410609</v>
      </c>
      <c r="E58" s="134">
        <v>0.26264815031510702</v>
      </c>
      <c r="F58" s="44">
        <f>IF(ISERROR(F17/F$15),"--  ",F17/F$15)</f>
        <v>0.18781336603921955</v>
      </c>
      <c r="G58" s="44">
        <f t="shared" ref="G58:AM58" si="95">IF(ISERROR(G17/G$15),"--  ",G17/G$15)</f>
        <v>0.24602307158056094</v>
      </c>
      <c r="H58" s="44">
        <f t="shared" si="95"/>
        <v>0.23014690948480127</v>
      </c>
      <c r="I58" s="44">
        <f t="shared" si="95"/>
        <v>0.22137173095891849</v>
      </c>
      <c r="J58" s="44">
        <f t="shared" si="95"/>
        <v>0.21145746608550908</v>
      </c>
      <c r="K58" s="134">
        <f t="shared" si="95"/>
        <v>0.25589284209935143</v>
      </c>
      <c r="L58" s="134">
        <f t="shared" si="95"/>
        <v>0.24111647139903497</v>
      </c>
      <c r="M58" s="134">
        <f t="shared" si="95"/>
        <v>0.23776697900696822</v>
      </c>
      <c r="N58" s="44">
        <f t="shared" si="95"/>
        <v>0.23431833774380123</v>
      </c>
      <c r="O58" s="44">
        <f t="shared" si="95"/>
        <v>0.29165475464838414</v>
      </c>
      <c r="P58" s="44">
        <f t="shared" si="95"/>
        <v>0.29613165477255604</v>
      </c>
      <c r="Q58" s="44">
        <f t="shared" si="95"/>
        <v>0.25210060167885845</v>
      </c>
      <c r="R58" s="44">
        <f t="shared" si="95"/>
        <v>0.25444129437500157</v>
      </c>
      <c r="S58" s="44">
        <f t="shared" si="95"/>
        <v>0.24656136909623388</v>
      </c>
      <c r="T58" s="44">
        <f t="shared" si="95"/>
        <v>0.24454303342873662</v>
      </c>
      <c r="U58" s="44">
        <f t="shared" si="95"/>
        <v>0.23342413314364624</v>
      </c>
      <c r="V58" s="44">
        <f t="shared" si="95"/>
        <v>0.24113284880442701</v>
      </c>
      <c r="W58" s="44">
        <f t="shared" si="95"/>
        <v>0.28330320741402382</v>
      </c>
      <c r="X58" s="134">
        <f t="shared" si="95"/>
        <v>0.25128607765635386</v>
      </c>
      <c r="Y58" s="134">
        <f t="shared" si="95"/>
        <v>0.21673464924271421</v>
      </c>
      <c r="Z58" s="44">
        <f t="shared" si="95"/>
        <v>0.23325980573081062</v>
      </c>
      <c r="AA58" s="44">
        <f t="shared" si="95"/>
        <v>0.25560257470369829</v>
      </c>
      <c r="AB58" s="44">
        <f t="shared" si="95"/>
        <v>0.24246238592360669</v>
      </c>
      <c r="AC58" s="44">
        <f t="shared" si="95"/>
        <v>0.22244750383318967</v>
      </c>
      <c r="AD58" s="44">
        <f t="shared" si="95"/>
        <v>0.2063915413958739</v>
      </c>
      <c r="AE58" s="44">
        <f>IF(ISERROR(AE17/AE$15),"--  ",AE17/AE$15)</f>
        <v>0.24301423874594225</v>
      </c>
      <c r="AF58" s="44">
        <f t="shared" si="95"/>
        <v>0.24170233534249236</v>
      </c>
      <c r="AG58" s="44">
        <f t="shared" si="95"/>
        <v>0.24357889362356919</v>
      </c>
      <c r="AH58" s="44">
        <f t="shared" si="95"/>
        <v>0.24952271581525942</v>
      </c>
      <c r="AI58" s="44">
        <f t="shared" si="95"/>
        <v>0.2586284134104665</v>
      </c>
      <c r="AJ58" s="44">
        <f t="shared" si="95"/>
        <v>0.27722412968326188</v>
      </c>
      <c r="AK58" s="44">
        <f t="shared" si="95"/>
        <v>0.23034137534361651</v>
      </c>
      <c r="AL58" s="44">
        <f t="shared" si="95"/>
        <v>0.22213877732094336</v>
      </c>
      <c r="AM58" s="44">
        <f t="shared" si="95"/>
        <v>0.24266477582882584</v>
      </c>
      <c r="AN58" s="44">
        <f t="shared" ref="AN58:AS58" si="96">IF(ISERROR(AN17/AN$15),"--  ",AN17/AN$15)</f>
        <v>0.24292851702190821</v>
      </c>
      <c r="AO58" s="44">
        <f t="shared" si="96"/>
        <v>0.2466797163125462</v>
      </c>
      <c r="AP58" s="44">
        <f t="shared" si="96"/>
        <v>0.25519955786179277</v>
      </c>
      <c r="AQ58" s="134">
        <f t="shared" si="96"/>
        <v>0.26214655515730773</v>
      </c>
      <c r="AR58" s="134">
        <f t="shared" si="96"/>
        <v>0.27592527932960886</v>
      </c>
      <c r="AS58" s="134">
        <f t="shared" si="96"/>
        <v>0.25252604988948529</v>
      </c>
      <c r="AT58" s="134">
        <f>IF(ISERROR(AT17/AT$15),"--  ",AT17/AT$15)</f>
        <v>0.24204204204204216</v>
      </c>
      <c r="AU58" s="134">
        <f t="shared" ref="AU58:AZ58" si="97">IF(ISERROR(AU17/AU$15),"--  ",AU17/AU$15)</f>
        <v>0.23183251151887477</v>
      </c>
      <c r="AV58" s="134">
        <f t="shared" si="97"/>
        <v>0.23183265157675795</v>
      </c>
      <c r="AW58" s="134">
        <f t="shared" si="97"/>
        <v>0.23740759496476962</v>
      </c>
      <c r="AX58" s="134">
        <f t="shared" si="97"/>
        <v>0.22633168914439833</v>
      </c>
      <c r="AY58" s="134">
        <f t="shared" si="97"/>
        <v>0.23921158321881514</v>
      </c>
      <c r="AZ58" s="134">
        <f t="shared" si="97"/>
        <v>0.22716102829225854</v>
      </c>
      <c r="BA58" s="134">
        <f t="shared" ref="BA58:BF58" si="98">IF(ISERROR(BA17/BA$15),"--  ",BA17/BA$15)</f>
        <v>0.23527797874014003</v>
      </c>
      <c r="BB58" s="134">
        <f t="shared" si="98"/>
        <v>0.18782158751905828</v>
      </c>
      <c r="BC58" s="134">
        <f t="shared" si="98"/>
        <v>0.19831762186320706</v>
      </c>
      <c r="BD58" s="134">
        <f t="shared" si="98"/>
        <v>0.19515128294700296</v>
      </c>
      <c r="BE58" s="134">
        <f t="shared" si="98"/>
        <v>0.20753010285720316</v>
      </c>
      <c r="BF58" s="134">
        <f t="shared" si="98"/>
        <v>0.1878334777843205</v>
      </c>
      <c r="BG58" s="134">
        <f t="shared" ref="BG58" si="99">IF(ISERROR(BG17/BG$15),"--  ",BG17/BG$15)</f>
        <v>0.22840035466541508</v>
      </c>
      <c r="BI58" s="44">
        <f t="shared" ref="BI58:BQ58" si="100">IF(ISERROR(BI17/BI$15),"--  ",BI17/BI$15)</f>
        <v>0.26729244667410229</v>
      </c>
      <c r="BJ58" s="44">
        <f t="shared" si="100"/>
        <v>0.22936900822814382</v>
      </c>
      <c r="BK58" s="134">
        <f t="shared" si="100"/>
        <v>0.2278610761443276</v>
      </c>
      <c r="BL58" s="44">
        <f t="shared" si="100"/>
        <v>0.24241885699580731</v>
      </c>
      <c r="BM58" s="44">
        <f t="shared" si="100"/>
        <v>0.27148269532857411</v>
      </c>
      <c r="BN58" s="44">
        <f t="shared" si="100"/>
        <v>0.24075243397760332</v>
      </c>
      <c r="BO58" s="44">
        <f t="shared" si="100"/>
        <v>0.24545400988339447</v>
      </c>
      <c r="BP58" s="44">
        <f t="shared" si="100"/>
        <v>0.23162880714906378</v>
      </c>
      <c r="BQ58" s="44">
        <f t="shared" si="100"/>
        <v>0.24454042836648071</v>
      </c>
      <c r="BR58" s="44">
        <f t="shared" ref="BR58:BW58" si="101">IF(ISERROR(BR17/BR$15),"--  ",BR17/BR$15)</f>
        <v>0.24681701389569594</v>
      </c>
      <c r="BS58" s="44">
        <f t="shared" si="101"/>
        <v>0.24672957323611425</v>
      </c>
      <c r="BT58" s="44">
        <f t="shared" si="101"/>
        <v>0.25726499326145541</v>
      </c>
      <c r="BU58" s="44">
        <f t="shared" si="101"/>
        <v>0.23180305721648192</v>
      </c>
      <c r="BV58" s="44">
        <f t="shared" si="101"/>
        <v>0.22247383765745943</v>
      </c>
      <c r="BW58" s="44">
        <f t="shared" si="101"/>
        <v>0.19722457640983102</v>
      </c>
    </row>
    <row r="59" spans="1:75" x14ac:dyDescent="0.35">
      <c r="B59" s="15" t="str">
        <f>IF(Control!$D$5=1,"EBITDA Margin","Margem EBITDA")</f>
        <v>EBITDA Margin</v>
      </c>
      <c r="C59" s="44">
        <f>IF(ISERROR(C48/C$15),"--  ",C48/C$15)</f>
        <v>0.16357300097764707</v>
      </c>
      <c r="D59" s="134">
        <v>6.0424111694193032E-2</v>
      </c>
      <c r="E59" s="134">
        <v>0.16897076277561421</v>
      </c>
      <c r="F59" s="44">
        <f>IF(ISERROR(F48/F$15),"--  ",F48/F$15)</f>
        <v>4.6293040678407414E-2</v>
      </c>
      <c r="G59" s="44">
        <f t="shared" ref="G59:AM59" si="102">IF(ISERROR(G48/G$15),"--  ",G48/G$15)</f>
        <v>0.10597846689374837</v>
      </c>
      <c r="H59" s="44">
        <f t="shared" si="102"/>
        <v>0.10134015669524435</v>
      </c>
      <c r="I59" s="44">
        <f t="shared" si="102"/>
        <v>6.8389938951240722E-2</v>
      </c>
      <c r="J59" s="44">
        <f t="shared" si="102"/>
        <v>9.6472648023899918E-2</v>
      </c>
      <c r="K59" s="134">
        <f t="shared" si="102"/>
        <v>0.12242284687315724</v>
      </c>
      <c r="L59" s="134">
        <f t="shared" si="102"/>
        <v>8.632115782219138E-2</v>
      </c>
      <c r="M59" s="134">
        <f t="shared" si="102"/>
        <v>8.6108512887496699E-2</v>
      </c>
      <c r="N59" s="44">
        <f t="shared" si="102"/>
        <v>0.10884666274625145</v>
      </c>
      <c r="O59" s="44">
        <f t="shared" si="102"/>
        <v>0.12741184656960841</v>
      </c>
      <c r="P59" s="44">
        <f t="shared" si="102"/>
        <v>0.13000392165150851</v>
      </c>
      <c r="Q59" s="44">
        <f t="shared" si="102"/>
        <v>0.10827379430940814</v>
      </c>
      <c r="R59" s="44">
        <f t="shared" si="102"/>
        <v>0.10740859908250049</v>
      </c>
      <c r="S59" s="44">
        <f t="shared" si="102"/>
        <v>0.12543100355054668</v>
      </c>
      <c r="T59" s="44">
        <f t="shared" si="102"/>
        <v>0.12154231914657361</v>
      </c>
      <c r="U59" s="44">
        <f t="shared" si="102"/>
        <v>0.10998050438620673</v>
      </c>
      <c r="V59" s="44">
        <f t="shared" si="102"/>
        <v>0.1016966289076324</v>
      </c>
      <c r="W59" s="44">
        <f t="shared" si="102"/>
        <v>0.12527810795160149</v>
      </c>
      <c r="X59" s="134">
        <f t="shared" si="102"/>
        <v>0.10364111461183595</v>
      </c>
      <c r="Y59" s="134">
        <f t="shared" si="102"/>
        <v>9.0901634862485647E-2</v>
      </c>
      <c r="Z59" s="44">
        <f t="shared" si="102"/>
        <v>0.10072666403240983</v>
      </c>
      <c r="AA59" s="44">
        <f t="shared" si="102"/>
        <v>0.11244061805859557</v>
      </c>
      <c r="AB59" s="44">
        <f t="shared" si="102"/>
        <v>0.10155549325789084</v>
      </c>
      <c r="AC59" s="44">
        <f t="shared" si="102"/>
        <v>9.6261149022173767E-2</v>
      </c>
      <c r="AD59" s="44">
        <f t="shared" si="102"/>
        <v>8.3004811826126179E-2</v>
      </c>
      <c r="AE59" s="44">
        <f>IF(ISERROR(AE48/AE$15),"--  ",AE48/AE$15)</f>
        <v>0.10708693183826846</v>
      </c>
      <c r="AF59" s="44">
        <f t="shared" si="102"/>
        <v>0.10296005270992445</v>
      </c>
      <c r="AG59" s="44">
        <f t="shared" si="102"/>
        <v>9.5336097205295525E-2</v>
      </c>
      <c r="AH59" s="44">
        <f t="shared" si="102"/>
        <v>9.5907276741108827E-2</v>
      </c>
      <c r="AI59" s="44">
        <f t="shared" si="102"/>
        <v>0.11129476147602092</v>
      </c>
      <c r="AJ59" s="44">
        <f t="shared" si="102"/>
        <v>0.1389898913729084</v>
      </c>
      <c r="AK59" s="44">
        <f t="shared" si="102"/>
        <v>0.11419429964925262</v>
      </c>
      <c r="AL59" s="44">
        <f t="shared" si="102"/>
        <v>7.7528499338514315E-2</v>
      </c>
      <c r="AM59" s="44">
        <f t="shared" si="102"/>
        <v>0.10390687025267653</v>
      </c>
      <c r="AN59" s="44">
        <f t="shared" ref="AN59:AS59" si="103">IF(ISERROR(AN48/AN$15),"--  ",AN48/AN$15)</f>
        <v>9.833589382770222E-2</v>
      </c>
      <c r="AO59" s="44">
        <f t="shared" si="103"/>
        <v>0.11118022228107698</v>
      </c>
      <c r="AP59" s="44">
        <f t="shared" si="103"/>
        <v>0.10688440361055691</v>
      </c>
      <c r="AQ59" s="134">
        <f t="shared" si="103"/>
        <v>8.1640780565511606E-2</v>
      </c>
      <c r="AR59" s="134">
        <f t="shared" si="103"/>
        <v>0.11749301675977647</v>
      </c>
      <c r="AS59" s="134">
        <f t="shared" si="103"/>
        <v>0.11951373539627408</v>
      </c>
      <c r="AT59" s="134">
        <f>IF(ISERROR(AT48/AT$15),"--  ",AT48/AT$15)</f>
        <v>8.6486486486486644E-2</v>
      </c>
      <c r="AU59" s="134">
        <f t="shared" ref="AU59:AZ59" si="104">IF(ISERROR(AU48/AU$15),"--  ",AU48/AU$15)</f>
        <v>6.7092393500929548E-2</v>
      </c>
      <c r="AV59" s="134">
        <f t="shared" si="104"/>
        <v>7.2519829513180936E-2</v>
      </c>
      <c r="AW59" s="134">
        <f t="shared" si="104"/>
        <v>9.2123429781178753E-2</v>
      </c>
      <c r="AX59" s="134">
        <f t="shared" si="104"/>
        <v>9.1869475662585298E-2</v>
      </c>
      <c r="AY59" s="134">
        <f t="shared" si="104"/>
        <v>0.11373211088130362</v>
      </c>
      <c r="AZ59" s="134">
        <f t="shared" si="104"/>
        <v>0.10846707741471333</v>
      </c>
      <c r="BA59" s="134">
        <f t="shared" ref="BA59:BF59" si="105">IF(ISERROR(BA48/BA$15),"--  ",BA48/BA$15)</f>
        <v>0.11885272009095207</v>
      </c>
      <c r="BB59" s="134">
        <f t="shared" si="105"/>
        <v>7.9735950664466232E-2</v>
      </c>
      <c r="BC59" s="134">
        <f t="shared" si="105"/>
        <v>8.1470005254385899E-2</v>
      </c>
      <c r="BD59" s="134">
        <f t="shared" si="105"/>
        <v>8.6126593119302111E-2</v>
      </c>
      <c r="BE59" s="134">
        <f t="shared" si="105"/>
        <v>8.8291155529998971E-2</v>
      </c>
      <c r="BF59" s="134">
        <f t="shared" si="105"/>
        <v>0.10326988516697891</v>
      </c>
      <c r="BG59" s="134">
        <f t="shared" ref="BG59" si="106">IF(ISERROR(BG48/BG$15),"--  ",BG48/BG$15)</f>
        <v>0.10206394408804069</v>
      </c>
      <c r="BI59" s="44">
        <f t="shared" ref="BI59:BQ59" si="107">IF(ISERROR(BI48/BI$15),"--  ",BI48/BI$15)</f>
        <v>0.12354507883763659</v>
      </c>
      <c r="BJ59" s="44">
        <f t="shared" si="107"/>
        <v>0.11141267534616557</v>
      </c>
      <c r="BK59" s="134">
        <f t="shared" si="107"/>
        <v>9.3875723355501317E-2</v>
      </c>
      <c r="BL59" s="44">
        <f t="shared" si="107"/>
        <v>0.10063381753504982</v>
      </c>
      <c r="BM59" s="44">
        <f t="shared" si="107"/>
        <v>0.11719994752592595</v>
      </c>
      <c r="BN59" s="44">
        <f t="shared" si="107"/>
        <v>0.1134486245131414</v>
      </c>
      <c r="BO59" s="44">
        <f t="shared" si="107"/>
        <v>0.10479251656329927</v>
      </c>
      <c r="BP59" s="44">
        <f t="shared" si="107"/>
        <v>9.8288473037846116E-2</v>
      </c>
      <c r="BQ59" s="44">
        <f t="shared" si="107"/>
        <v>0.10000380709249514</v>
      </c>
      <c r="BR59" s="44">
        <f t="shared" ref="BR59:BW59" si="108">IF(ISERROR(BR48/BR$15),"--  ",BR48/BR$15)</f>
        <v>0.11056489653665631</v>
      </c>
      <c r="BS59" s="44">
        <f t="shared" si="108"/>
        <v>0.10503967402959485</v>
      </c>
      <c r="BT59" s="44">
        <f t="shared" si="108"/>
        <v>0.10175202156334222</v>
      </c>
      <c r="BU59" s="44">
        <f t="shared" si="108"/>
        <v>8.1869540602121663E-2</v>
      </c>
      <c r="BV59" s="44">
        <f t="shared" si="108"/>
        <v>0.10541524427004167</v>
      </c>
      <c r="BW59" s="44">
        <f t="shared" si="108"/>
        <v>8.9817387136807453E-2</v>
      </c>
    </row>
    <row r="60" spans="1:75" s="7" customFormat="1" x14ac:dyDescent="0.35">
      <c r="B60" s="56" t="str">
        <f>IF(Control!$D$5=1,"EBIT Margin","Margem EBIT")</f>
        <v>EBIT Margin</v>
      </c>
      <c r="C60" s="134">
        <f>IF(ISERROR(C25/C$15),"--  ",C25/C$15)</f>
        <v>0.1530084263871615</v>
      </c>
      <c r="D60" s="134">
        <v>4.6754772866295244E-2</v>
      </c>
      <c r="E60" s="134">
        <v>0.1655020812089403</v>
      </c>
      <c r="F60" s="134">
        <f>IF(ISERROR(F25/F$15),"--  ",F25/F$15)</f>
        <v>3.7796339414007452E-2</v>
      </c>
      <c r="G60" s="134">
        <f t="shared" ref="G60:AM60" si="109">IF(ISERROR(G25/G$15),"--  ",G25/G$15)</f>
        <v>9.6161008530784645E-2</v>
      </c>
      <c r="H60" s="134">
        <f t="shared" si="109"/>
        <v>8.9261821382192366E-2</v>
      </c>
      <c r="I60" s="134">
        <f t="shared" si="109"/>
        <v>5.3784223294500028E-2</v>
      </c>
      <c r="J60" s="134">
        <f t="shared" si="109"/>
        <v>7.4125202017729194E-2</v>
      </c>
      <c r="K60" s="134">
        <f t="shared" si="109"/>
        <v>0.11030018814411284</v>
      </c>
      <c r="L60" s="134">
        <f t="shared" si="109"/>
        <v>6.9375603032391236E-2</v>
      </c>
      <c r="M60" s="134">
        <f t="shared" si="109"/>
        <v>7.1657469877517671E-2</v>
      </c>
      <c r="N60" s="134">
        <f t="shared" si="109"/>
        <v>7.8732970694894003E-2</v>
      </c>
      <c r="O60" s="134">
        <f t="shared" si="109"/>
        <v>0.10534988969021558</v>
      </c>
      <c r="P60" s="134">
        <f t="shared" si="109"/>
        <v>0.10660316878835066</v>
      </c>
      <c r="Q60" s="134">
        <f t="shared" si="109"/>
        <v>8.1342275344149728E-2</v>
      </c>
      <c r="R60" s="134">
        <f t="shared" si="109"/>
        <v>8.3785101857866806E-2</v>
      </c>
      <c r="S60" s="134">
        <f t="shared" si="109"/>
        <v>0.10577484955455854</v>
      </c>
      <c r="T60" s="134">
        <f t="shared" si="109"/>
        <v>0.10183078307532437</v>
      </c>
      <c r="U60" s="134">
        <f t="shared" si="109"/>
        <v>9.1256872785912144E-2</v>
      </c>
      <c r="V60" s="134">
        <f t="shared" si="109"/>
        <v>7.6346356505947802E-2</v>
      </c>
      <c r="W60" s="134">
        <f t="shared" si="109"/>
        <v>0.10528715744954191</v>
      </c>
      <c r="X60" s="134">
        <f t="shared" si="109"/>
        <v>7.8402295619215842E-2</v>
      </c>
      <c r="Y60" s="134">
        <f t="shared" si="109"/>
        <v>7.2069550002733879E-2</v>
      </c>
      <c r="Z60" s="134">
        <f t="shared" si="109"/>
        <v>7.9427179449324356E-2</v>
      </c>
      <c r="AA60" s="134">
        <f t="shared" si="109"/>
        <v>9.2572595943382435E-2</v>
      </c>
      <c r="AB60" s="134">
        <f t="shared" si="109"/>
        <v>8.1195698184941156E-2</v>
      </c>
      <c r="AC60" s="134">
        <f t="shared" si="109"/>
        <v>7.5460385715068357E-2</v>
      </c>
      <c r="AD60" s="134">
        <f t="shared" si="109"/>
        <v>6.1055789711626555E-2</v>
      </c>
      <c r="AE60" s="134">
        <f>IF(ISERROR(AE25/AE$15),"--  ",AE25/AE$15)</f>
        <v>8.5512538705806745E-2</v>
      </c>
      <c r="AF60" s="134">
        <f t="shared" si="109"/>
        <v>8.2975182410502779E-2</v>
      </c>
      <c r="AG60" s="134">
        <f t="shared" si="109"/>
        <v>7.6123923112835806E-2</v>
      </c>
      <c r="AH60" s="134">
        <f t="shared" si="109"/>
        <v>7.53808718694432E-2</v>
      </c>
      <c r="AI60" s="134">
        <f t="shared" si="109"/>
        <v>9.0976459602347126E-2</v>
      </c>
      <c r="AJ60" s="134">
        <f t="shared" si="109"/>
        <v>0.12223355963650093</v>
      </c>
      <c r="AK60" s="134">
        <f t="shared" si="109"/>
        <v>9.7526744882190902E-2</v>
      </c>
      <c r="AL60" s="134">
        <f t="shared" si="109"/>
        <v>6.0962837971655151E-2</v>
      </c>
      <c r="AM60" s="134">
        <f t="shared" si="109"/>
        <v>8.6532757704851415E-2</v>
      </c>
      <c r="AN60" s="134">
        <f>IF(ISERROR(AN25/AN$15),"--  ",AN25/AN$15)</f>
        <v>7.8969949693816321E-2</v>
      </c>
      <c r="AO60" s="134">
        <f>IF(ISERROR(AO25/AO$15),"--  ",AO25/AO$15)</f>
        <v>9.1155428529033466E-2</v>
      </c>
      <c r="AP60" s="134">
        <f t="shared" ref="AP60:AU60" si="110">IF(ISERROR(AP25/AP$15),"--  ",AP25/AP$15)</f>
        <v>8.6108565711179183E-2</v>
      </c>
      <c r="AQ60" s="134">
        <f t="shared" si="110"/>
        <v>5.7048984468339156E-2</v>
      </c>
      <c r="AR60" s="134">
        <f t="shared" si="110"/>
        <v>9.5146648044692639E-2</v>
      </c>
      <c r="AS60" s="134">
        <f t="shared" si="110"/>
        <v>0.10080517840227345</v>
      </c>
      <c r="AT60" s="134">
        <f t="shared" si="110"/>
        <v>6.599099099099115E-2</v>
      </c>
      <c r="AU60" s="134">
        <f t="shared" si="110"/>
        <v>3.9851265055371399E-2</v>
      </c>
      <c r="AV60" s="134">
        <f t="shared" ref="AV60:BA60" si="111">IF(ISERROR(AV25/AV$15),"--  ",AV25/AV$15)</f>
        <v>4.4930550731270849E-2</v>
      </c>
      <c r="AW60" s="134">
        <f t="shared" si="111"/>
        <v>6.7182123561404586E-2</v>
      </c>
      <c r="AX60" s="134">
        <f t="shared" si="111"/>
        <v>6.5048350415336936E-2</v>
      </c>
      <c r="AY60" s="134">
        <f t="shared" si="111"/>
        <v>9.0014713843505692E-2</v>
      </c>
      <c r="AZ60" s="134">
        <f t="shared" si="111"/>
        <v>8.6939404206193852E-2</v>
      </c>
      <c r="BA60" s="134">
        <f t="shared" si="111"/>
        <v>9.8232001255024459E-2</v>
      </c>
      <c r="BB60" s="134">
        <f t="shared" ref="BB60:BG60" si="112">IF(ISERROR(BB25/BB$15),"--  ",BB25/BB$15)</f>
        <v>5.7042981764666337E-2</v>
      </c>
      <c r="BC60" s="134">
        <f t="shared" si="112"/>
        <v>6.3249780033511199E-2</v>
      </c>
      <c r="BD60" s="134">
        <f t="shared" si="112"/>
        <v>6.7830653249343467E-2</v>
      </c>
      <c r="BE60" s="134">
        <f t="shared" si="112"/>
        <v>6.9875057029235424E-2</v>
      </c>
      <c r="BF60" s="134">
        <f t="shared" si="112"/>
        <v>8.1532988856323277E-2</v>
      </c>
      <c r="BG60" s="134">
        <f t="shared" si="112"/>
        <v>7.9281489594742821E-2</v>
      </c>
      <c r="BH60" s="249"/>
      <c r="BI60" s="134">
        <f t="shared" ref="BI60:BQ60" si="113">IF(ISERROR(BI25/BI$15),"--  ",BI25/BI$15)</f>
        <v>0.12728448654877661</v>
      </c>
      <c r="BJ60" s="134">
        <f t="shared" si="113"/>
        <v>0.10281776422611107</v>
      </c>
      <c r="BK60" s="134">
        <f t="shared" si="113"/>
        <v>7.9287149764193085E-2</v>
      </c>
      <c r="BL60" s="134">
        <f t="shared" si="113"/>
        <v>8.2493669644291653E-2</v>
      </c>
      <c r="BM60" s="134">
        <f t="shared" si="113"/>
        <v>9.304000923902507E-2</v>
      </c>
      <c r="BN60" s="134">
        <f t="shared" si="113"/>
        <v>9.2472238301256671E-2</v>
      </c>
      <c r="BO60" s="134">
        <f t="shared" si="113"/>
        <v>8.3452671361637323E-2</v>
      </c>
      <c r="BP60" s="134">
        <f t="shared" si="113"/>
        <v>7.7541051128712207E-2</v>
      </c>
      <c r="BQ60" s="134">
        <f t="shared" si="113"/>
        <v>7.9725719085285793E-2</v>
      </c>
      <c r="BR60" s="134">
        <f t="shared" ref="BR60:BW60" si="114">IF(ISERROR(BR25/BR$15),"--  ",BR25/BR$15)</f>
        <v>9.3062338324314681E-2</v>
      </c>
      <c r="BS60" s="134">
        <f t="shared" si="114"/>
        <v>8.5695903924512304E-2</v>
      </c>
      <c r="BT60" s="134">
        <f t="shared" si="114"/>
        <v>8.0420316711590181E-2</v>
      </c>
      <c r="BU60" s="134">
        <f t="shared" si="114"/>
        <v>5.5280819334758376E-2</v>
      </c>
      <c r="BV60" s="134">
        <f t="shared" si="114"/>
        <v>8.3336960899568768E-2</v>
      </c>
      <c r="BW60" s="134">
        <f t="shared" si="114"/>
        <v>7.064481670001331E-2</v>
      </c>
    </row>
    <row r="61" spans="1:75" s="7" customFormat="1" x14ac:dyDescent="0.35">
      <c r="B61" s="215" t="str">
        <f>IF(Control!$D$5=1,"Net Margin","Margem Líquida")</f>
        <v>Net Margin</v>
      </c>
      <c r="C61" s="136">
        <f>IF(ISERROR(C34/C$15),"--  ",C34/C$15)</f>
        <v>0.10263632191858256</v>
      </c>
      <c r="D61" s="136">
        <v>-4.9338398634945204E-3</v>
      </c>
      <c r="E61" s="136">
        <v>6.7033316059578046E-2</v>
      </c>
      <c r="F61" s="136">
        <f>IF(ISERROR(F34/F$15),"--  ",F34/F$15)</f>
        <v>-1.1423065955331902E-2</v>
      </c>
      <c r="G61" s="136">
        <f t="shared" ref="G61:AM61" si="115">IF(ISERROR(G34/G$15),"--  ",G34/G$15)</f>
        <v>7.6407109079488708E-2</v>
      </c>
      <c r="H61" s="136">
        <f t="shared" si="115"/>
        <v>8.0694665837851801E-2</v>
      </c>
      <c r="I61" s="136">
        <f t="shared" si="115"/>
        <v>2.7665218202660293E-2</v>
      </c>
      <c r="J61" s="136">
        <f t="shared" si="115"/>
        <v>2.8377369116999507E-2</v>
      </c>
      <c r="K61" s="136">
        <f t="shared" si="115"/>
        <v>6.8192412456825197E-2</v>
      </c>
      <c r="L61" s="136">
        <f t="shared" si="115"/>
        <v>3.0062026188835057E-2</v>
      </c>
      <c r="M61" s="136">
        <f t="shared" si="115"/>
        <v>3.8197576918180959E-2</v>
      </c>
      <c r="N61" s="136">
        <f t="shared" si="115"/>
        <v>2.2778226992061511E-2</v>
      </c>
      <c r="O61" s="136">
        <f t="shared" si="115"/>
        <v>7.1946792385658098E-2</v>
      </c>
      <c r="P61" s="136">
        <f t="shared" si="115"/>
        <v>2.1580824767929885E-2</v>
      </c>
      <c r="Q61" s="136">
        <f t="shared" si="115"/>
        <v>3.7029824283807362E-2</v>
      </c>
      <c r="R61" s="136">
        <f t="shared" si="115"/>
        <v>3.9889187707039891E-2</v>
      </c>
      <c r="S61" s="136">
        <f t="shared" si="115"/>
        <v>4.9661519114516321E-2</v>
      </c>
      <c r="T61" s="136">
        <f t="shared" si="115"/>
        <v>6.1865784558578496E-2</v>
      </c>
      <c r="U61" s="136">
        <f t="shared" si="115"/>
        <v>4.1881872020056769E-2</v>
      </c>
      <c r="V61" s="136">
        <f t="shared" si="115"/>
        <v>4.6680951066209952E-2</v>
      </c>
      <c r="W61" s="136">
        <f t="shared" si="115"/>
        <v>5.265237033546432E-2</v>
      </c>
      <c r="X61" s="136">
        <f t="shared" si="115"/>
        <v>3.0263286109017389E-2</v>
      </c>
      <c r="Y61" s="136">
        <f t="shared" si="115"/>
        <v>2.9887910766034226E-2</v>
      </c>
      <c r="Z61" s="136">
        <f t="shared" si="115"/>
        <v>2.7080013373918028E-2</v>
      </c>
      <c r="AA61" s="136">
        <f t="shared" si="115"/>
        <v>4.3417589485005195E-2</v>
      </c>
      <c r="AB61" s="136">
        <f t="shared" si="115"/>
        <v>3.7246061006787068E-2</v>
      </c>
      <c r="AC61" s="136">
        <f t="shared" si="115"/>
        <v>2.3130225306681868E-2</v>
      </c>
      <c r="AD61" s="136">
        <f t="shared" si="115"/>
        <v>1.0725754031216622E-2</v>
      </c>
      <c r="AE61" s="136">
        <f>IF(ISERROR(AE34/AE$15),"--  ",AE34/AE$15)</f>
        <v>3.4953241097924373E-2</v>
      </c>
      <c r="AF61" s="136">
        <f t="shared" si="115"/>
        <v>3.15751970521485E-2</v>
      </c>
      <c r="AG61" s="136">
        <f t="shared" si="115"/>
        <v>2.415357149726468E-2</v>
      </c>
      <c r="AH61" s="136">
        <f t="shared" si="115"/>
        <v>1.5637995643018477E-2</v>
      </c>
      <c r="AI61" s="136">
        <f t="shared" si="115"/>
        <v>4.4737052869302303E-2</v>
      </c>
      <c r="AJ61" s="136">
        <f t="shared" si="115"/>
        <v>4.9913162737977586E-2</v>
      </c>
      <c r="AK61" s="136">
        <f t="shared" si="115"/>
        <v>5.2651293126416421E-2</v>
      </c>
      <c r="AL61" s="136">
        <f t="shared" si="115"/>
        <v>1.5817826049068773E-2</v>
      </c>
      <c r="AM61" s="136">
        <f t="shared" si="115"/>
        <v>4.9933948508394943E-2</v>
      </c>
      <c r="AN61" s="136">
        <f t="shared" ref="AN61:AS61" si="116">IF(ISERROR(AN34/AN$15),"--  ",AN34/AN$15)</f>
        <v>3.4701368896233063E-2</v>
      </c>
      <c r="AO61" s="136">
        <f t="shared" si="116"/>
        <v>6.203527890382976E-2</v>
      </c>
      <c r="AP61" s="136">
        <f t="shared" si="116"/>
        <v>6.9213081773175283E-2</v>
      </c>
      <c r="AQ61" s="136">
        <f t="shared" si="116"/>
        <v>3.2457188371166706E-2</v>
      </c>
      <c r="AR61" s="136">
        <f t="shared" si="116"/>
        <v>6.9046787709497126E-2</v>
      </c>
      <c r="AS61" s="136">
        <f t="shared" si="116"/>
        <v>0.11864540574676351</v>
      </c>
      <c r="AT61" s="136">
        <f>IF(ISERROR(AT34/AT$15),"--  ",AT34/AT$15)</f>
        <v>7.5300300300300466E-2</v>
      </c>
      <c r="AU61" s="136">
        <f t="shared" ref="AU61:AZ61" si="117">IF(ISERROR(AU34/AU$15),"--  ",AU34/AU$15)</f>
        <v>4.0255436100557714E-2</v>
      </c>
      <c r="AV61" s="136">
        <f t="shared" si="117"/>
        <v>3.2785612416278878E-2</v>
      </c>
      <c r="AW61" s="136">
        <f t="shared" si="117"/>
        <v>4.578842251762863E-2</v>
      </c>
      <c r="AX61" s="136">
        <f t="shared" si="117"/>
        <v>5.6050554955657771E-2</v>
      </c>
      <c r="AY61" s="136">
        <f t="shared" si="117"/>
        <v>6.33042295359586E-2</v>
      </c>
      <c r="AZ61" s="136">
        <f t="shared" si="117"/>
        <v>7.2489501246465568E-2</v>
      </c>
      <c r="BA61" s="136">
        <f t="shared" ref="BA61:BF61" si="118">IF(ISERROR(BA34/BA$15),"--  ",BA34/BA$15)</f>
        <v>6.495417144610785E-2</v>
      </c>
      <c r="BB61" s="136">
        <f t="shared" si="118"/>
        <v>4.6474125230051649E-2</v>
      </c>
      <c r="BC61" s="136">
        <f t="shared" si="118"/>
        <v>4.792566949115757E-2</v>
      </c>
      <c r="BD61" s="136">
        <f t="shared" si="118"/>
        <v>4.8015235347809784E-2</v>
      </c>
      <c r="BE61" s="136">
        <f t="shared" si="118"/>
        <v>5.301816092429372E-2</v>
      </c>
      <c r="BF61" s="136">
        <f t="shared" si="118"/>
        <v>6.3297760899433633E-2</v>
      </c>
      <c r="BG61" s="136">
        <f t="shared" ref="BG61" si="119">IF(ISERROR(BG34/BG$15),"--  ",BG34/BG$15)</f>
        <v>4.0400146038700471E-2</v>
      </c>
      <c r="BH61" s="249"/>
      <c r="BI61" s="136">
        <f t="shared" ref="BI61:BQ61" si="120">IF(ISERROR(BI34/BI$15),"--  ",BI34/BI$15)</f>
        <v>6.6467046469545585E-2</v>
      </c>
      <c r="BJ61" s="136">
        <f t="shared" si="120"/>
        <v>3.8373112717838317E-2</v>
      </c>
      <c r="BK61" s="136">
        <f t="shared" si="120"/>
        <v>5.4379884720035944E-2</v>
      </c>
      <c r="BL61" s="136">
        <f t="shared" si="120"/>
        <v>4.0114053034234459E-2</v>
      </c>
      <c r="BM61" s="136">
        <f t="shared" si="120"/>
        <v>4.1391729054379121E-2</v>
      </c>
      <c r="BN61" s="136">
        <f t="shared" si="120"/>
        <v>4.9198963913843874E-2</v>
      </c>
      <c r="BO61" s="136">
        <f t="shared" si="120"/>
        <v>3.4681506370263439E-2</v>
      </c>
      <c r="BP61" s="136">
        <f t="shared" si="120"/>
        <v>2.8554468137664313E-2</v>
      </c>
      <c r="BQ61" s="136">
        <f t="shared" si="120"/>
        <v>2.6194688089168319E-2</v>
      </c>
      <c r="BR61" s="136">
        <f t="shared" ref="BR61:BW61" si="121">IF(ISERROR(BR34/BR$15),"--  ",BR34/BR$15)</f>
        <v>4.0743839018260709E-2</v>
      </c>
      <c r="BS61" s="136">
        <f t="shared" si="121"/>
        <v>5.3762384730860154E-2</v>
      </c>
      <c r="BT61" s="136">
        <f t="shared" si="121"/>
        <v>7.6292958221024151E-2</v>
      </c>
      <c r="BU61" s="136">
        <f t="shared" si="121"/>
        <v>4.4408863092408601E-2</v>
      </c>
      <c r="BV61" s="136">
        <f t="shared" si="121"/>
        <v>6.1971243155117574E-2</v>
      </c>
      <c r="BW61" s="136">
        <f t="shared" si="121"/>
        <v>5.3097051647603928E-2</v>
      </c>
    </row>
    <row r="62" spans="1:75" s="7" customFormat="1" ht="6.75" customHeight="1" x14ac:dyDescent="0.35">
      <c r="B62" s="56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I62" s="158"/>
      <c r="BJ62" s="158"/>
      <c r="BK62" s="158"/>
      <c r="BL62" s="158"/>
      <c r="BM62" s="158"/>
      <c r="BN62" s="158"/>
      <c r="BO62" s="123"/>
      <c r="BP62" s="123"/>
      <c r="BQ62" s="86"/>
      <c r="BR62" s="86"/>
      <c r="BS62" s="86"/>
      <c r="BT62" s="86"/>
      <c r="BU62" s="86"/>
      <c r="BV62" s="86"/>
      <c r="BW62" s="86"/>
    </row>
    <row r="63" spans="1:75" x14ac:dyDescent="0.35">
      <c r="B63" s="15"/>
      <c r="C63" s="83"/>
      <c r="D63" s="87"/>
      <c r="E63" s="87"/>
      <c r="F63" s="83"/>
      <c r="G63" s="83"/>
      <c r="H63" s="83"/>
      <c r="I63" s="83"/>
      <c r="J63" s="83"/>
      <c r="K63" s="158"/>
      <c r="L63" s="87"/>
      <c r="M63" s="87"/>
      <c r="N63" s="83"/>
      <c r="O63" s="77"/>
      <c r="P63" s="83"/>
      <c r="Q63" s="83"/>
      <c r="R63" s="83"/>
      <c r="S63" s="77"/>
      <c r="T63" s="83"/>
      <c r="U63" s="83"/>
      <c r="V63" s="83"/>
      <c r="W63" s="83"/>
      <c r="X63" s="158"/>
      <c r="Y63" s="158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I63" s="83"/>
      <c r="BJ63" s="83"/>
      <c r="BK63" s="87"/>
      <c r="BL63" s="83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</row>
    <row r="64" spans="1:75" x14ac:dyDescent="0.35">
      <c r="B64" s="15"/>
      <c r="C64" s="83"/>
      <c r="D64" s="87"/>
      <c r="E64" s="87"/>
      <c r="F64" s="83"/>
      <c r="G64" s="83"/>
      <c r="H64" s="83"/>
      <c r="I64" s="83"/>
      <c r="J64" s="83"/>
      <c r="K64" s="158"/>
      <c r="L64" s="87"/>
      <c r="M64" s="87"/>
      <c r="N64" s="83"/>
      <c r="O64" s="77"/>
      <c r="P64" s="83"/>
      <c r="Q64" s="83"/>
      <c r="R64" s="83"/>
      <c r="S64" s="77"/>
      <c r="T64" s="83"/>
      <c r="U64" s="83"/>
      <c r="V64" s="83"/>
      <c r="W64" s="83"/>
      <c r="X64" s="158"/>
      <c r="Y64" s="158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I64" s="83"/>
      <c r="BJ64" s="83"/>
      <c r="BK64" s="87"/>
      <c r="BL64" s="83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</row>
    <row r="65" spans="3:75" x14ac:dyDescent="0.35">
      <c r="C65" s="91"/>
      <c r="D65" s="139"/>
      <c r="E65" s="139"/>
      <c r="F65" s="91"/>
      <c r="G65" s="91"/>
      <c r="H65" s="91"/>
      <c r="I65" s="91"/>
      <c r="J65" s="91"/>
      <c r="L65" s="139"/>
      <c r="M65" s="139"/>
      <c r="N65" s="91"/>
      <c r="P65" s="91"/>
      <c r="Q65" s="91"/>
      <c r="R65" s="91"/>
      <c r="T65" s="91"/>
      <c r="U65" s="91"/>
      <c r="V65" s="91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I65" s="91"/>
      <c r="BJ65" s="91"/>
      <c r="BK65" s="139"/>
      <c r="BL65" s="91"/>
    </row>
    <row r="66" spans="3:75" x14ac:dyDescent="0.35">
      <c r="C66" s="117"/>
      <c r="D66" s="176"/>
      <c r="E66" s="176"/>
      <c r="F66" s="117"/>
      <c r="G66" s="117"/>
      <c r="H66" s="117"/>
      <c r="I66" s="117"/>
      <c r="J66" s="117"/>
      <c r="L66" s="176"/>
      <c r="M66" s="176"/>
      <c r="N66" s="117"/>
      <c r="P66" s="117"/>
      <c r="Q66" s="117"/>
      <c r="R66" s="117"/>
      <c r="T66" s="117"/>
      <c r="U66" s="117"/>
      <c r="V66" s="117"/>
      <c r="W66" s="117"/>
      <c r="X66" s="193"/>
      <c r="Y66" s="193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I66" s="117"/>
      <c r="BJ66" s="117"/>
      <c r="BK66" s="176"/>
      <c r="BL66" s="117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</row>
    <row r="67" spans="3:75" x14ac:dyDescent="0.35">
      <c r="C67" s="119"/>
      <c r="D67" s="177"/>
      <c r="E67" s="177"/>
      <c r="F67" s="119"/>
      <c r="G67" s="119"/>
      <c r="H67" s="119"/>
      <c r="I67" s="119"/>
      <c r="J67" s="119"/>
      <c r="L67" s="177"/>
      <c r="M67" s="177"/>
      <c r="N67" s="119"/>
      <c r="P67" s="119"/>
      <c r="Q67" s="119"/>
      <c r="R67" s="119"/>
      <c r="T67" s="119"/>
      <c r="U67" s="119"/>
      <c r="V67" s="119"/>
      <c r="W67" s="119"/>
      <c r="X67" s="194"/>
      <c r="Y67" s="194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I67" s="119"/>
      <c r="BJ67" s="119"/>
      <c r="BK67" s="177"/>
      <c r="BL67" s="119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</row>
    <row r="68" spans="3:75" x14ac:dyDescent="0.35">
      <c r="C68" s="121"/>
      <c r="D68" s="178"/>
      <c r="E68" s="178"/>
      <c r="F68" s="121"/>
      <c r="G68" s="121"/>
      <c r="H68" s="121"/>
      <c r="I68" s="121"/>
      <c r="J68" s="121"/>
      <c r="L68" s="178"/>
      <c r="M68" s="178"/>
      <c r="N68" s="121"/>
      <c r="P68" s="121"/>
      <c r="Q68" s="121"/>
      <c r="R68" s="121"/>
      <c r="T68" s="121"/>
      <c r="U68" s="121"/>
      <c r="V68" s="121"/>
      <c r="W68" s="121"/>
      <c r="X68" s="195"/>
      <c r="Y68" s="195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I68" s="121"/>
      <c r="BJ68" s="121"/>
      <c r="BK68" s="178"/>
      <c r="BL68" s="121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</row>
    <row r="69" spans="3:75" x14ac:dyDescent="0.35">
      <c r="C69" s="91"/>
      <c r="D69" s="139"/>
      <c r="E69" s="139"/>
      <c r="F69" s="91"/>
      <c r="G69" s="91"/>
      <c r="H69" s="91"/>
      <c r="I69" s="91"/>
      <c r="J69" s="91"/>
      <c r="L69" s="139"/>
      <c r="M69" s="139"/>
      <c r="N69" s="91"/>
      <c r="P69" s="91"/>
      <c r="Q69" s="91"/>
      <c r="R69" s="91"/>
      <c r="T69" s="91"/>
      <c r="U69" s="91"/>
      <c r="V69" s="91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I69" s="91"/>
      <c r="BJ69" s="91"/>
      <c r="BK69" s="139"/>
      <c r="BL69" s="91"/>
    </row>
    <row r="70" spans="3:75" x14ac:dyDescent="0.35">
      <c r="C70" s="121"/>
      <c r="D70" s="178"/>
      <c r="E70" s="178"/>
      <c r="F70" s="121"/>
      <c r="G70" s="121"/>
      <c r="H70" s="121"/>
      <c r="I70" s="121"/>
      <c r="J70" s="121"/>
      <c r="L70" s="178"/>
      <c r="M70" s="178"/>
      <c r="N70" s="121"/>
      <c r="P70" s="121"/>
      <c r="Q70" s="121"/>
      <c r="R70" s="121"/>
      <c r="T70" s="121"/>
      <c r="U70" s="121"/>
      <c r="V70" s="121"/>
      <c r="W70" s="121"/>
      <c r="X70" s="195"/>
      <c r="Y70" s="195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I70" s="121"/>
      <c r="BJ70" s="121"/>
      <c r="BK70" s="178"/>
      <c r="BL70" s="121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</row>
    <row r="71" spans="3:75" ht="10.5" x14ac:dyDescent="0.25">
      <c r="C71" s="91"/>
      <c r="D71" s="139"/>
      <c r="E71" s="139"/>
      <c r="F71" s="91"/>
      <c r="G71" s="91"/>
      <c r="H71" s="91"/>
      <c r="I71" s="91"/>
      <c r="J71" s="91"/>
      <c r="L71" s="139"/>
      <c r="M71" s="139"/>
      <c r="N71" s="91"/>
      <c r="P71" s="91"/>
      <c r="Q71" s="91"/>
      <c r="R71" s="91"/>
      <c r="T71" s="91"/>
      <c r="U71" s="91"/>
      <c r="V71" s="91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7"/>
      <c r="BI71" s="91"/>
      <c r="BJ71" s="91"/>
      <c r="BK71" s="139"/>
      <c r="BL71" s="91"/>
    </row>
    <row r="72" spans="3:75" ht="10.5" x14ac:dyDescent="0.25">
      <c r="C72" s="91"/>
      <c r="D72" s="139"/>
      <c r="E72" s="139"/>
      <c r="F72" s="91"/>
      <c r="G72" s="91"/>
      <c r="H72" s="91"/>
      <c r="I72" s="91"/>
      <c r="J72" s="91"/>
      <c r="L72" s="139"/>
      <c r="M72" s="139"/>
      <c r="N72" s="91"/>
      <c r="P72" s="91"/>
      <c r="Q72" s="91"/>
      <c r="R72" s="91"/>
      <c r="T72" s="91"/>
      <c r="U72" s="91"/>
      <c r="V72" s="91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7"/>
      <c r="BI72" s="91"/>
      <c r="BJ72" s="91"/>
      <c r="BK72" s="139"/>
      <c r="BL72" s="91"/>
    </row>
    <row r="73" spans="3:75" x14ac:dyDescent="0.35">
      <c r="C73" s="91"/>
      <c r="D73" s="139"/>
      <c r="E73" s="139"/>
      <c r="F73" s="91"/>
      <c r="G73" s="91"/>
      <c r="H73" s="91"/>
      <c r="I73" s="91"/>
      <c r="J73" s="91"/>
      <c r="L73" s="139"/>
      <c r="M73" s="139"/>
      <c r="N73" s="91"/>
      <c r="P73" s="91"/>
      <c r="Q73" s="91"/>
      <c r="R73" s="91"/>
      <c r="T73" s="91"/>
      <c r="U73" s="91"/>
      <c r="V73" s="91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I73" s="91"/>
      <c r="BJ73" s="91"/>
      <c r="BK73" s="139"/>
      <c r="BL73" s="91"/>
    </row>
    <row r="74" spans="3:75" x14ac:dyDescent="0.35">
      <c r="C74" s="91"/>
      <c r="D74" s="139"/>
      <c r="E74" s="139"/>
      <c r="F74" s="91"/>
      <c r="G74" s="91"/>
      <c r="H74" s="91"/>
      <c r="I74" s="91"/>
      <c r="J74" s="91"/>
      <c r="L74" s="139"/>
      <c r="M74" s="139"/>
      <c r="N74" s="91"/>
      <c r="P74" s="91"/>
      <c r="Q74" s="91"/>
      <c r="R74" s="91"/>
      <c r="T74" s="91"/>
      <c r="U74" s="91"/>
      <c r="V74" s="91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I74" s="91"/>
      <c r="BJ74" s="91"/>
      <c r="BK74" s="139"/>
      <c r="BL74" s="91"/>
    </row>
    <row r="75" spans="3:75" x14ac:dyDescent="0.35">
      <c r="C75" s="91"/>
      <c r="D75" s="139"/>
      <c r="E75" s="139"/>
      <c r="F75" s="91"/>
      <c r="G75" s="91"/>
      <c r="H75" s="91"/>
      <c r="I75" s="91"/>
      <c r="J75" s="91"/>
      <c r="L75" s="139"/>
      <c r="M75" s="139"/>
      <c r="N75" s="91"/>
      <c r="P75" s="91"/>
      <c r="Q75" s="91"/>
      <c r="R75" s="91"/>
      <c r="T75" s="91"/>
      <c r="U75" s="91"/>
      <c r="V75" s="91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I75" s="91"/>
      <c r="BJ75" s="91"/>
      <c r="BK75" s="139"/>
      <c r="BL75" s="91"/>
    </row>
    <row r="76" spans="3:75" x14ac:dyDescent="0.35">
      <c r="L76" s="139"/>
      <c r="M76" s="139"/>
      <c r="N76" s="91"/>
      <c r="P76" s="91"/>
      <c r="Q76" s="91"/>
      <c r="R76" s="91"/>
      <c r="T76" s="91"/>
      <c r="U76" s="91"/>
      <c r="V76" s="91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K76" s="139"/>
      <c r="BL76" s="91"/>
    </row>
    <row r="77" spans="3:75" x14ac:dyDescent="0.35">
      <c r="L77" s="139"/>
      <c r="M77" s="139"/>
      <c r="N77" s="91"/>
      <c r="P77" s="91"/>
      <c r="Q77" s="91"/>
      <c r="R77" s="91"/>
      <c r="T77" s="91"/>
      <c r="U77" s="91"/>
      <c r="V77" s="91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K77" s="139"/>
      <c r="BL77" s="91"/>
    </row>
    <row r="78" spans="3:75" x14ac:dyDescent="0.35">
      <c r="L78" s="139"/>
      <c r="M78" s="139"/>
      <c r="N78" s="91"/>
      <c r="P78" s="91"/>
      <c r="Q78" s="91"/>
      <c r="R78" s="91"/>
      <c r="T78" s="91"/>
      <c r="U78" s="91"/>
      <c r="V78" s="91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K78" s="139"/>
      <c r="BL78" s="91"/>
    </row>
    <row r="79" spans="3:75" x14ac:dyDescent="0.35">
      <c r="L79" s="139"/>
      <c r="M79" s="139"/>
      <c r="N79" s="91"/>
      <c r="P79" s="91"/>
      <c r="Q79" s="91"/>
      <c r="R79" s="91"/>
      <c r="T79" s="91"/>
      <c r="U79" s="91"/>
      <c r="V79" s="91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K79" s="139"/>
      <c r="BL79" s="91"/>
    </row>
    <row r="80" spans="3:75" x14ac:dyDescent="0.35">
      <c r="L80" s="139"/>
      <c r="M80" s="139"/>
      <c r="N80" s="91"/>
      <c r="P80" s="91"/>
      <c r="Q80" s="91"/>
      <c r="R80" s="91"/>
      <c r="T80" s="91"/>
      <c r="U80" s="91"/>
      <c r="V80" s="91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K80" s="139"/>
      <c r="BL80" s="91"/>
    </row>
    <row r="81" spans="3:75" x14ac:dyDescent="0.35">
      <c r="L81" s="139"/>
      <c r="M81" s="139"/>
      <c r="N81" s="91"/>
      <c r="P81" s="91"/>
      <c r="Q81" s="91"/>
      <c r="R81" s="91"/>
      <c r="T81" s="91"/>
      <c r="U81" s="91"/>
      <c r="V81" s="91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K81" s="139"/>
      <c r="BL81" s="91"/>
    </row>
    <row r="82" spans="3:75" x14ac:dyDescent="0.35">
      <c r="L82" s="139"/>
      <c r="M82" s="139"/>
      <c r="N82" s="91"/>
      <c r="P82" s="91"/>
      <c r="Q82" s="91"/>
      <c r="R82" s="91"/>
      <c r="T82" s="91"/>
      <c r="U82" s="91"/>
      <c r="V82" s="91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K82" s="139"/>
      <c r="BL82" s="91"/>
    </row>
    <row r="83" spans="3:75" x14ac:dyDescent="0.35">
      <c r="L83" s="139"/>
      <c r="M83" s="139"/>
      <c r="N83" s="91"/>
      <c r="P83" s="91"/>
      <c r="Q83" s="91"/>
      <c r="R83" s="91"/>
      <c r="T83" s="91"/>
      <c r="U83" s="91"/>
      <c r="V83" s="91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K83" s="139"/>
      <c r="BL83" s="91"/>
    </row>
    <row r="84" spans="3:75" x14ac:dyDescent="0.35">
      <c r="L84" s="139"/>
      <c r="M84" s="139"/>
      <c r="N84" s="91"/>
      <c r="P84" s="91"/>
      <c r="Q84" s="91"/>
      <c r="R84" s="91"/>
      <c r="T84" s="91"/>
      <c r="U84" s="91"/>
      <c r="V84" s="91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K84" s="139"/>
      <c r="BL84" s="91"/>
    </row>
    <row r="85" spans="3:75" x14ac:dyDescent="0.35">
      <c r="L85" s="139"/>
      <c r="M85" s="139"/>
      <c r="N85" s="91"/>
      <c r="P85" s="91"/>
      <c r="Q85" s="91"/>
      <c r="R85" s="91"/>
      <c r="T85" s="91"/>
      <c r="U85" s="91"/>
      <c r="V85" s="91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K85" s="139"/>
      <c r="BL85" s="91"/>
    </row>
    <row r="86" spans="3:75" x14ac:dyDescent="0.35">
      <c r="L86" s="139"/>
      <c r="M86" s="139"/>
      <c r="N86" s="91"/>
      <c r="P86" s="91"/>
      <c r="Q86" s="91"/>
      <c r="R86" s="91"/>
      <c r="T86" s="91"/>
      <c r="U86" s="91"/>
      <c r="V86" s="91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K86" s="139"/>
      <c r="BL86" s="91"/>
    </row>
    <row r="87" spans="3:75" x14ac:dyDescent="0.35">
      <c r="L87" s="139"/>
      <c r="M87" s="139"/>
      <c r="N87" s="91"/>
      <c r="P87" s="91"/>
      <c r="Q87" s="91"/>
      <c r="R87" s="91"/>
      <c r="T87" s="91"/>
      <c r="U87" s="91"/>
      <c r="V87" s="91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K87" s="139"/>
      <c r="BL87" s="91"/>
    </row>
    <row r="88" spans="3:75" x14ac:dyDescent="0.35">
      <c r="L88" s="139"/>
      <c r="M88" s="139"/>
      <c r="N88" s="91"/>
      <c r="P88" s="91"/>
      <c r="Q88" s="91"/>
      <c r="R88" s="91"/>
      <c r="T88" s="91"/>
      <c r="U88" s="91"/>
      <c r="V88" s="91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K88" s="139"/>
      <c r="BL88" s="91"/>
    </row>
    <row r="89" spans="3:75" x14ac:dyDescent="0.35">
      <c r="L89" s="139"/>
      <c r="M89" s="139"/>
      <c r="N89" s="91"/>
      <c r="P89" s="91"/>
      <c r="Q89" s="91"/>
      <c r="R89" s="91"/>
      <c r="T89" s="91"/>
      <c r="U89" s="91"/>
      <c r="V89" s="91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K89" s="139"/>
      <c r="BL89" s="91"/>
    </row>
    <row r="90" spans="3:75" ht="10.5" x14ac:dyDescent="0.25">
      <c r="C90" s="91"/>
      <c r="D90" s="139"/>
      <c r="E90" s="139"/>
      <c r="F90" s="91"/>
      <c r="G90" s="91"/>
      <c r="H90" s="91"/>
      <c r="I90" s="91"/>
      <c r="J90" s="91"/>
      <c r="L90" s="139"/>
      <c r="M90" s="139"/>
      <c r="N90" s="91"/>
      <c r="P90" s="91"/>
      <c r="Q90" s="91"/>
      <c r="R90" s="91"/>
      <c r="T90" s="91"/>
      <c r="U90" s="91"/>
      <c r="V90" s="9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7"/>
      <c r="BI90" s="91"/>
      <c r="BJ90" s="91"/>
      <c r="BK90" s="139"/>
      <c r="BL90" s="91"/>
      <c r="BO90" s="241"/>
      <c r="BP90" s="241"/>
      <c r="BQ90" s="241"/>
      <c r="BR90" s="241"/>
      <c r="BS90" s="241"/>
      <c r="BT90" s="241"/>
      <c r="BU90" s="241"/>
      <c r="BV90" s="241"/>
      <c r="BW90" s="241"/>
    </row>
    <row r="91" spans="3:75" ht="10.5" x14ac:dyDescent="0.25">
      <c r="C91" s="91"/>
      <c r="D91" s="139"/>
      <c r="E91" s="139"/>
      <c r="F91" s="91"/>
      <c r="G91" s="91"/>
      <c r="H91" s="91"/>
      <c r="I91" s="91"/>
      <c r="J91" s="91"/>
      <c r="L91" s="139"/>
      <c r="M91" s="139"/>
      <c r="N91" s="91"/>
      <c r="P91" s="91"/>
      <c r="Q91" s="91"/>
      <c r="R91" s="91"/>
      <c r="T91" s="91"/>
      <c r="U91" s="91"/>
      <c r="V91" s="9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7"/>
      <c r="BI91" s="91"/>
      <c r="BJ91" s="91"/>
      <c r="BK91" s="139"/>
      <c r="BL91" s="91"/>
      <c r="BO91" s="241"/>
      <c r="BP91" s="241"/>
      <c r="BQ91" s="241"/>
      <c r="BR91" s="241"/>
      <c r="BS91" s="241"/>
      <c r="BT91" s="241"/>
      <c r="BU91" s="241"/>
      <c r="BV91" s="241"/>
      <c r="BW91" s="241"/>
    </row>
    <row r="92" spans="3:75" x14ac:dyDescent="0.35">
      <c r="L92" s="139"/>
      <c r="M92" s="139"/>
      <c r="N92" s="91"/>
      <c r="P92" s="91"/>
      <c r="Q92" s="91"/>
      <c r="R92" s="91"/>
      <c r="T92" s="91"/>
      <c r="U92" s="91"/>
      <c r="V92" s="91"/>
      <c r="BK92" s="139"/>
      <c r="BL92" s="91"/>
    </row>
    <row r="93" spans="3:75" x14ac:dyDescent="0.35">
      <c r="L93" s="139"/>
      <c r="M93" s="139"/>
      <c r="N93" s="91"/>
      <c r="P93" s="91"/>
      <c r="Q93" s="91"/>
      <c r="R93" s="91"/>
      <c r="T93" s="91"/>
      <c r="U93" s="91"/>
      <c r="V93" s="91"/>
      <c r="BK93" s="139"/>
      <c r="BL93" s="91"/>
    </row>
    <row r="94" spans="3:75" x14ac:dyDescent="0.35">
      <c r="L94" s="139"/>
      <c r="M94" s="139"/>
      <c r="N94" s="91"/>
      <c r="P94" s="91"/>
      <c r="Q94" s="91"/>
      <c r="R94" s="91"/>
      <c r="T94" s="91"/>
      <c r="U94" s="91"/>
      <c r="V94" s="91"/>
      <c r="BK94" s="139"/>
      <c r="BL94" s="91"/>
    </row>
    <row r="95" spans="3:75" x14ac:dyDescent="0.35">
      <c r="L95" s="139"/>
      <c r="M95" s="139"/>
      <c r="N95" s="91"/>
      <c r="P95" s="91"/>
      <c r="Q95" s="91"/>
      <c r="R95" s="91"/>
      <c r="T95" s="91"/>
      <c r="U95" s="91"/>
      <c r="V95" s="91"/>
      <c r="BK95" s="139"/>
      <c r="BL95" s="91"/>
    </row>
    <row r="96" spans="3:75" x14ac:dyDescent="0.35">
      <c r="L96" s="139"/>
      <c r="M96" s="139"/>
      <c r="N96" s="91"/>
      <c r="P96" s="91"/>
      <c r="Q96" s="91"/>
      <c r="R96" s="91"/>
      <c r="T96" s="91"/>
      <c r="U96" s="91"/>
      <c r="V96" s="91"/>
      <c r="BK96" s="139"/>
      <c r="BL96" s="91"/>
    </row>
    <row r="97" spans="12:64" x14ac:dyDescent="0.35">
      <c r="L97" s="139"/>
      <c r="M97" s="139"/>
      <c r="N97" s="91"/>
      <c r="P97" s="91"/>
      <c r="Q97" s="91"/>
      <c r="R97" s="91"/>
      <c r="T97" s="91"/>
      <c r="U97" s="91"/>
      <c r="V97" s="91"/>
      <c r="BK97" s="139"/>
      <c r="BL97" s="91"/>
    </row>
    <row r="98" spans="12:64" x14ac:dyDescent="0.35">
      <c r="L98" s="139"/>
      <c r="M98" s="139"/>
      <c r="N98" s="91"/>
      <c r="P98" s="91"/>
      <c r="Q98" s="91"/>
      <c r="R98" s="91"/>
      <c r="T98" s="91"/>
      <c r="U98" s="91"/>
      <c r="V98" s="91"/>
      <c r="BK98" s="139"/>
      <c r="BL98" s="91"/>
    </row>
    <row r="99" spans="12:64" x14ac:dyDescent="0.35">
      <c r="L99" s="139"/>
      <c r="M99" s="139"/>
      <c r="N99" s="91"/>
      <c r="P99" s="91"/>
      <c r="Q99" s="91"/>
      <c r="R99" s="91"/>
      <c r="T99" s="91"/>
      <c r="U99" s="91"/>
      <c r="V99" s="91"/>
      <c r="BK99" s="139"/>
      <c r="BL99" s="91"/>
    </row>
    <row r="100" spans="12:64" x14ac:dyDescent="0.35">
      <c r="L100" s="139"/>
      <c r="M100" s="139"/>
      <c r="N100" s="91"/>
      <c r="P100" s="91"/>
      <c r="Q100" s="91"/>
      <c r="R100" s="91"/>
      <c r="T100" s="91"/>
      <c r="U100" s="91"/>
      <c r="V100" s="91"/>
      <c r="BK100" s="139"/>
      <c r="BL100" s="91"/>
    </row>
    <row r="101" spans="12:64" x14ac:dyDescent="0.35">
      <c r="L101" s="139"/>
      <c r="M101" s="139"/>
      <c r="N101" s="91"/>
      <c r="P101" s="91"/>
      <c r="Q101" s="91"/>
      <c r="R101" s="91"/>
      <c r="T101" s="91"/>
      <c r="U101" s="91"/>
      <c r="V101" s="91"/>
      <c r="BK101" s="139"/>
      <c r="BL101" s="91"/>
    </row>
    <row r="102" spans="12:64" x14ac:dyDescent="0.35">
      <c r="L102" s="139"/>
      <c r="M102" s="139"/>
      <c r="N102" s="91"/>
      <c r="P102" s="91"/>
      <c r="Q102" s="91"/>
      <c r="R102" s="91"/>
      <c r="T102" s="91"/>
      <c r="U102" s="91"/>
      <c r="V102" s="91"/>
      <c r="BK102" s="139"/>
      <c r="BL102" s="91"/>
    </row>
    <row r="103" spans="12:64" x14ac:dyDescent="0.35">
      <c r="L103" s="139"/>
      <c r="M103" s="139"/>
      <c r="N103" s="91"/>
      <c r="P103" s="91"/>
      <c r="Q103" s="91"/>
      <c r="R103" s="91"/>
      <c r="T103" s="91"/>
      <c r="U103" s="91"/>
      <c r="V103" s="91"/>
      <c r="BK103" s="139"/>
      <c r="BL103" s="91"/>
    </row>
    <row r="104" spans="12:64" x14ac:dyDescent="0.35">
      <c r="L104" s="139"/>
      <c r="M104" s="139"/>
      <c r="N104" s="91"/>
      <c r="P104" s="91"/>
      <c r="Q104" s="91"/>
      <c r="R104" s="91"/>
      <c r="T104" s="91"/>
      <c r="U104" s="91"/>
      <c r="V104" s="91"/>
      <c r="BK104" s="139"/>
      <c r="BL104" s="91"/>
    </row>
    <row r="105" spans="12:64" x14ac:dyDescent="0.35">
      <c r="L105" s="139"/>
      <c r="M105" s="139"/>
      <c r="N105" s="91"/>
      <c r="P105" s="91"/>
      <c r="Q105" s="91"/>
      <c r="R105" s="91"/>
      <c r="T105" s="91"/>
      <c r="U105" s="91"/>
      <c r="V105" s="91"/>
      <c r="BK105" s="139"/>
      <c r="BL105" s="91"/>
    </row>
    <row r="106" spans="12:64" x14ac:dyDescent="0.35">
      <c r="L106" s="139"/>
      <c r="M106" s="139"/>
      <c r="N106" s="91"/>
      <c r="P106" s="91"/>
      <c r="Q106" s="91"/>
      <c r="R106" s="91"/>
      <c r="T106" s="91"/>
      <c r="U106" s="91"/>
      <c r="V106" s="91"/>
      <c r="BK106" s="139"/>
      <c r="BL106" s="91"/>
    </row>
    <row r="107" spans="12:64" x14ac:dyDescent="0.35">
      <c r="L107" s="139"/>
      <c r="M107" s="139"/>
      <c r="N107" s="91"/>
      <c r="P107" s="91"/>
      <c r="Q107" s="91"/>
      <c r="R107" s="91"/>
      <c r="T107" s="91"/>
      <c r="U107" s="91"/>
      <c r="V107" s="91"/>
      <c r="BK107" s="139"/>
      <c r="BL107" s="91"/>
    </row>
    <row r="108" spans="12:64" x14ac:dyDescent="0.35">
      <c r="L108" s="139"/>
      <c r="M108" s="139"/>
      <c r="N108" s="91"/>
      <c r="P108" s="91"/>
      <c r="Q108" s="91"/>
      <c r="R108" s="91"/>
      <c r="T108" s="91"/>
      <c r="U108" s="91"/>
      <c r="V108" s="91"/>
      <c r="BK108" s="139"/>
      <c r="BL108" s="91"/>
    </row>
    <row r="109" spans="12:64" x14ac:dyDescent="0.35">
      <c r="L109" s="139"/>
      <c r="M109" s="139"/>
      <c r="N109" s="91"/>
      <c r="P109" s="91"/>
      <c r="Q109" s="91"/>
      <c r="R109" s="91"/>
      <c r="T109" s="91"/>
      <c r="U109" s="91"/>
      <c r="V109" s="91"/>
      <c r="BK109" s="139"/>
      <c r="BL109" s="91"/>
    </row>
    <row r="110" spans="12:64" x14ac:dyDescent="0.35">
      <c r="L110" s="139"/>
      <c r="M110" s="139"/>
      <c r="N110" s="91"/>
      <c r="P110" s="91"/>
      <c r="Q110" s="91"/>
      <c r="R110" s="91"/>
      <c r="T110" s="91"/>
      <c r="U110" s="91"/>
      <c r="V110" s="91"/>
      <c r="BK110" s="139"/>
      <c r="BL110" s="91"/>
    </row>
    <row r="111" spans="12:64" x14ac:dyDescent="0.35">
      <c r="L111" s="139"/>
      <c r="M111" s="139"/>
      <c r="N111" s="91"/>
      <c r="P111" s="91"/>
      <c r="Q111" s="91"/>
      <c r="R111" s="91"/>
      <c r="T111" s="91"/>
      <c r="U111" s="91"/>
      <c r="V111" s="91"/>
      <c r="BK111" s="139"/>
      <c r="BL111" s="91"/>
    </row>
    <row r="112" spans="12:64" x14ac:dyDescent="0.35">
      <c r="L112" s="139"/>
      <c r="M112" s="139"/>
      <c r="N112" s="91"/>
      <c r="P112" s="91"/>
      <c r="Q112" s="91"/>
      <c r="R112" s="91"/>
      <c r="T112" s="91"/>
      <c r="U112" s="91"/>
      <c r="V112" s="91"/>
      <c r="BK112" s="139"/>
      <c r="BL112" s="91"/>
    </row>
    <row r="113" spans="12:64" x14ac:dyDescent="0.35">
      <c r="L113" s="139"/>
      <c r="M113" s="139"/>
      <c r="N113" s="91"/>
      <c r="P113" s="91"/>
      <c r="Q113" s="91"/>
      <c r="R113" s="91"/>
      <c r="T113" s="91"/>
      <c r="U113" s="91"/>
      <c r="V113" s="91"/>
      <c r="BK113" s="139"/>
      <c r="BL113" s="91"/>
    </row>
    <row r="114" spans="12:64" x14ac:dyDescent="0.35">
      <c r="L114" s="139"/>
      <c r="M114" s="139"/>
      <c r="N114" s="91"/>
      <c r="P114" s="91"/>
      <c r="Q114" s="91"/>
      <c r="R114" s="91"/>
      <c r="T114" s="91"/>
      <c r="U114" s="91"/>
      <c r="V114" s="91"/>
      <c r="BK114" s="139"/>
      <c r="BL114" s="91"/>
    </row>
    <row r="115" spans="12:64" x14ac:dyDescent="0.35">
      <c r="L115" s="139"/>
      <c r="M115" s="139"/>
      <c r="N115" s="91"/>
      <c r="P115" s="91"/>
      <c r="Q115" s="91"/>
      <c r="R115" s="91"/>
      <c r="T115" s="91"/>
      <c r="U115" s="91"/>
      <c r="V115" s="91"/>
      <c r="BK115" s="139"/>
      <c r="BL115" s="91"/>
    </row>
  </sheetData>
  <phoneticPr fontId="1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fitToWidth="0" orientation="landscape" r:id="rId1"/>
  <ignoredErrors>
    <ignoredError sqref="C6:F6 S6:V6 C7:F8 D25:F25 C5:F5 C13:F22 C12:F12 C26:F26 G6:J6 G7:J8 G25:J25 G5:J5 G13:J22 G26:J26 K6:N6 K7:N8 K25:N25 K5:N5 K13:N22 K26:N26 O7:R8 O25:R25 O5:R5 O13:R22 O26:R26 S7:V8 S25:V25 S5:V5 S13:V22 S26:V26 W6:Z6 W7:Z8 W25:Z25 W5:Z5 W13:Z22 W26:Z26 AA6:AD6 AA7:AD8 AA25:AD25 AA5:AD5 AA13:AD22 AA26:AD26 AE6:AH6 AE7:AH8 AE25:AH25 AE5:AH5 AE13:AH22 AE26:AH26 AI6:AL6 AI7:AL8 AI25:AL25 AI5:AL5 AI13:AL22 AI26:AL26 AM6 AM7:AM8 AM25 AM5 AM13:AM22 AM26:BB26 BI26:BS26 BU29 BU10:BU12 BU31 BU35 BU26 BC26:BF26 BV13:BW36" formulaRange="1"/>
    <ignoredError sqref="BT12 BT15 BT17 BT22 BT29:BT31 BT25:BT26 BU15 BU17" formula="1" formulaRange="1"/>
    <ignoredError sqref="BT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CG153"/>
  <sheetViews>
    <sheetView showGridLines="0" zoomScale="85" zoomScaleNormal="85" workbookViewId="0">
      <pane xSplit="2" ySplit="7" topLeftCell="AZ8" activePane="bottomRight" state="frozen"/>
      <selection activeCell="AI67" sqref="AI67"/>
      <selection pane="topRight" activeCell="AI67" sqref="AI67"/>
      <selection pane="bottomLeft" activeCell="AI67" sqref="AI67"/>
      <selection pane="bottomRight"/>
    </sheetView>
  </sheetViews>
  <sheetFormatPr defaultColWidth="11.7265625" defaultRowHeight="14.5" outlineLevelRow="1" x14ac:dyDescent="0.35"/>
  <cols>
    <col min="1" max="1" width="5.26953125" style="7" customWidth="1"/>
    <col min="2" max="2" width="48" style="8" customWidth="1"/>
    <col min="3" max="4" width="11.453125" style="78" customWidth="1"/>
    <col min="5" max="6" width="11.453125" style="91" customWidth="1"/>
    <col min="7" max="8" width="11.453125" style="78" customWidth="1"/>
    <col min="9" max="10" width="11.453125" style="91" customWidth="1"/>
    <col min="11" max="12" width="11.453125" style="78" customWidth="1"/>
    <col min="13" max="14" width="11.453125" style="91" customWidth="1"/>
    <col min="15" max="16" width="11.453125" style="78" customWidth="1"/>
    <col min="17" max="18" width="11.453125" style="91" customWidth="1"/>
    <col min="19" max="20" width="11.453125" style="78" customWidth="1"/>
    <col min="21" max="22" width="11.453125" style="91" customWidth="1"/>
    <col min="23" max="23" width="11.453125" style="78" customWidth="1"/>
    <col min="24" max="24" width="11.453125" style="91" customWidth="1"/>
    <col min="25" max="76" width="11.453125" style="78" customWidth="1"/>
    <col min="85" max="85" width="12.453125" style="8" customWidth="1"/>
    <col min="86" max="16384" width="11.7265625" style="8"/>
  </cols>
  <sheetData>
    <row r="1" spans="1:85" s="20" customFormat="1" ht="13" x14ac:dyDescent="0.3">
      <c r="A1" s="181"/>
      <c r="C1" s="71"/>
      <c r="D1" s="108"/>
      <c r="E1" s="71"/>
      <c r="F1" s="71"/>
      <c r="G1" s="71"/>
      <c r="H1" s="108"/>
      <c r="I1" s="71"/>
      <c r="J1" s="71"/>
      <c r="K1" s="71"/>
      <c r="L1" s="108"/>
      <c r="M1" s="71"/>
      <c r="N1" s="71"/>
      <c r="O1" s="71"/>
      <c r="P1" s="108"/>
      <c r="Q1" s="71"/>
      <c r="R1" s="71"/>
      <c r="S1" s="71"/>
      <c r="T1" s="108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109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85" s="20" customFormat="1" ht="18.5" x14ac:dyDescent="0.45">
      <c r="A2" s="181"/>
      <c r="B2" s="21" t="str">
        <f>IF(Control!$D$5=1,"Balance Sheet","Balanço Patrimonial")</f>
        <v>Balance Sheet</v>
      </c>
      <c r="C2" s="72"/>
      <c r="D2" s="81"/>
      <c r="E2" s="72"/>
      <c r="F2" s="72"/>
      <c r="G2" s="72"/>
      <c r="H2" s="81"/>
      <c r="I2" s="72"/>
      <c r="J2" s="72"/>
      <c r="K2" s="72"/>
      <c r="L2" s="81"/>
      <c r="M2" s="72"/>
      <c r="N2" s="72"/>
      <c r="O2" s="72"/>
      <c r="P2" s="81"/>
      <c r="Q2" s="72"/>
      <c r="R2" s="72"/>
      <c r="S2" s="72"/>
      <c r="T2" s="81"/>
      <c r="U2" s="72"/>
      <c r="V2" s="72"/>
      <c r="W2" s="72"/>
      <c r="X2" s="72"/>
      <c r="Y2" s="72"/>
      <c r="Z2" s="81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</row>
    <row r="3" spans="1:85" s="20" customFormat="1" x14ac:dyDescent="0.35">
      <c r="A3" s="181"/>
      <c r="B3" s="29" t="str">
        <f>IF(Control!$D$5=1,"Consolidated Financials","Consolidado")</f>
        <v>Consolidated Financials</v>
      </c>
      <c r="C3" s="71"/>
      <c r="D3" s="110"/>
      <c r="E3" s="71"/>
      <c r="F3" s="71"/>
      <c r="G3" s="71"/>
      <c r="H3" s="110"/>
      <c r="I3" s="71"/>
      <c r="J3" s="71"/>
      <c r="K3" s="71"/>
      <c r="L3" s="110"/>
      <c r="M3" s="71"/>
      <c r="N3" s="71"/>
      <c r="O3" s="71"/>
      <c r="P3" s="110"/>
      <c r="Q3" s="71"/>
      <c r="R3" s="71"/>
      <c r="S3" s="71"/>
      <c r="T3" s="110"/>
      <c r="U3" s="71"/>
      <c r="V3" s="71"/>
      <c r="W3" s="71"/>
      <c r="X3" s="71"/>
      <c r="Y3" s="71"/>
      <c r="Z3" s="16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</row>
    <row r="4" spans="1:85" s="20" customFormat="1" ht="13" x14ac:dyDescent="0.3">
      <c r="A4" s="181"/>
      <c r="C4" s="73"/>
      <c r="D4" s="108"/>
      <c r="E4" s="73"/>
      <c r="F4" s="73"/>
      <c r="G4" s="73"/>
      <c r="H4" s="108"/>
      <c r="I4" s="73"/>
      <c r="J4" s="73"/>
      <c r="K4" s="73"/>
      <c r="L4" s="108"/>
      <c r="M4" s="73"/>
      <c r="N4" s="73"/>
      <c r="O4" s="73"/>
      <c r="P4" s="108"/>
      <c r="Q4" s="73"/>
      <c r="R4" s="73"/>
      <c r="S4" s="73"/>
      <c r="T4" s="108"/>
      <c r="U4" s="73"/>
      <c r="V4" s="73"/>
      <c r="W4" s="73"/>
      <c r="X4" s="73"/>
      <c r="Y4" s="73"/>
      <c r="Z4" s="71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</row>
    <row r="5" spans="1:85" s="2" customFormat="1" x14ac:dyDescent="0.35">
      <c r="A5" s="80"/>
      <c r="B5" s="30" t="str">
        <f>IF(Control!$D$5=1,"FINANCIAL STATEMENTS","DEMONSTRATIVOS FINANCEIROS")</f>
        <v>FINANCIAL STATEMENTS</v>
      </c>
      <c r="C5" s="74"/>
      <c r="D5" s="162"/>
      <c r="E5" s="163"/>
      <c r="F5" s="163"/>
      <c r="G5" s="74"/>
      <c r="H5" s="162"/>
      <c r="I5" s="163"/>
      <c r="J5" s="163"/>
      <c r="K5" s="74"/>
      <c r="L5" s="162"/>
      <c r="M5" s="163"/>
      <c r="N5" s="163"/>
      <c r="O5" s="74"/>
      <c r="P5" s="162"/>
      <c r="Q5" s="163"/>
      <c r="R5" s="163"/>
      <c r="S5" s="74"/>
      <c r="T5" s="162"/>
      <c r="U5" s="163"/>
      <c r="V5" s="163"/>
      <c r="W5" s="74"/>
      <c r="X5" s="163"/>
      <c r="Y5" s="74"/>
      <c r="Z5" s="162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3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</row>
    <row r="6" spans="1:85" s="23" customFormat="1" x14ac:dyDescent="0.35">
      <c r="A6" s="80"/>
      <c r="B6" s="30" t="str">
        <f>IF(Control!D4=1,"In "&amp;TEXT(Control!D8,0)&amp;" "&amp;TEXT(Control!D9,0)&amp;", except where noted","Em "&amp;TEXT(Control!D8,0)&amp;" "&amp;TEXT(Control!D7,0)&amp;", exceto se especificado")</f>
        <v>Em millions R$, exceto se especificado</v>
      </c>
      <c r="C6" s="74" t="str">
        <f>IF(Control!$D$5=1,"4Q07","4T07")</f>
        <v>4Q07</v>
      </c>
      <c r="D6" s="74" t="str">
        <f>IF(Control!$D$5=1,"1Q08","1T08")</f>
        <v>1Q08</v>
      </c>
      <c r="E6" s="111" t="s">
        <v>6</v>
      </c>
      <c r="F6" s="111" t="s">
        <v>7</v>
      </c>
      <c r="G6" s="111" t="str">
        <f>IF(Control!$D$5=1,"4Q08","4T08")</f>
        <v>4Q08</v>
      </c>
      <c r="H6" s="74" t="str">
        <f>IF(Control!$D$5=1,"1Q09","1T09")</f>
        <v>1Q09</v>
      </c>
      <c r="I6" s="111" t="str">
        <f>IF(Control!$D$5=1,"2Q09","2T09")</f>
        <v>2Q09</v>
      </c>
      <c r="J6" s="111" t="str">
        <f>IF(Control!$D$5=1,"3Q09","3T09")</f>
        <v>3Q09</v>
      </c>
      <c r="K6" s="111" t="str">
        <f>IF(Control!$D$5=1,"4Q09","4T09")</f>
        <v>4Q09</v>
      </c>
      <c r="L6" s="111" t="str">
        <f>IF(Control!$D$5=1,"1Q10","1T10")</f>
        <v>1Q10</v>
      </c>
      <c r="M6" s="111" t="str">
        <f>IF(Control!$D$5=1,"2Q10","2T10")</f>
        <v>2Q10</v>
      </c>
      <c r="N6" s="111" t="str">
        <f>IF(Control!$D$5=1,"3Q10","3T10")</f>
        <v>3Q10</v>
      </c>
      <c r="O6" s="111" t="str">
        <f>IF(Control!$D$5=1,"4Q10","4T10")</f>
        <v>4Q10</v>
      </c>
      <c r="P6" s="74" t="str">
        <f>IF(Control!$D$5=1,"1Q11","1T11")</f>
        <v>1Q11</v>
      </c>
      <c r="Q6" s="111" t="str">
        <f>IF(Control!$D$5=1,"2Q11","2T11")</f>
        <v>2Q11</v>
      </c>
      <c r="R6" s="111" t="str">
        <f>IF(Control!$D$5=1,"3Q11","3T11")</f>
        <v>3Q11</v>
      </c>
      <c r="S6" s="111" t="str">
        <f>IF(Control!$D$5=1,"4Q11","4T11")</f>
        <v>4Q11</v>
      </c>
      <c r="T6" s="74" t="str">
        <f>IF(Control!$D$5=1,"1Q12","1T12")</f>
        <v>1Q12</v>
      </c>
      <c r="U6" s="111" t="str">
        <f>IF(Control!$D$5=1,"2Q12","2T12")</f>
        <v>2Q12</v>
      </c>
      <c r="V6" s="111" t="str">
        <f>IF(Control!$D$5=1,"3Q12","3T12")</f>
        <v>3Q12</v>
      </c>
      <c r="W6" s="111" t="str">
        <f>IF(Control!$D$5=1,"4Q12","4T12")</f>
        <v>4Q12</v>
      </c>
      <c r="X6" s="74" t="str">
        <f>IF(Control!$D$5=1,"1Q13","1T13")</f>
        <v>1Q13</v>
      </c>
      <c r="Y6" s="111" t="str">
        <f>IF(Control!$D$5=1,"2Q13","2T13")</f>
        <v>2Q13</v>
      </c>
      <c r="Z6" s="111" t="str">
        <f>IF(Control!$D$5=1,"3Q13","3T13")</f>
        <v>3Q13</v>
      </c>
      <c r="AA6" s="111" t="str">
        <f>IF(Control!$D$5=1,"4Q13","4T13")</f>
        <v>4Q13</v>
      </c>
      <c r="AB6" s="74" t="str">
        <f>IF(Control!$D$5=1,"1Q14","1T14")</f>
        <v>1Q14</v>
      </c>
      <c r="AC6" s="111" t="str">
        <f>IF(Control!$D$5=1,"2Q14","2T14")</f>
        <v>2Q14</v>
      </c>
      <c r="AD6" s="111" t="str">
        <f>IF(Control!$D$5=1,"3Q14","3T14")</f>
        <v>3Q14</v>
      </c>
      <c r="AE6" s="111" t="str">
        <f>IF(Control!$D$5=1,"4Q14","4T14")</f>
        <v>4Q14</v>
      </c>
      <c r="AF6" s="111" t="str">
        <f>IF(Control!$D$5=1,"1Q15","1T15")</f>
        <v>1Q15</v>
      </c>
      <c r="AG6" s="111" t="str">
        <f>IF(Control!$D$5=1,"2Q15","2T15")</f>
        <v>2Q15</v>
      </c>
      <c r="AH6" s="111" t="str">
        <f>IF(Control!$D$5=1,"3Q15","3T15")</f>
        <v>3Q15</v>
      </c>
      <c r="AI6" s="111" t="str">
        <f>IF(Control!$D$5=1,"4Q15","4T15")</f>
        <v>4Q15</v>
      </c>
      <c r="AJ6" s="111" t="str">
        <f>IF(Control!$D$5=1,"1Q16","1T16")</f>
        <v>1Q16</v>
      </c>
      <c r="AK6" s="111" t="str">
        <f>IF(Control!$D$5=1,"2Q16","2T16")</f>
        <v>2Q16</v>
      </c>
      <c r="AL6" s="111" t="str">
        <f>IF(Control!$D$5=1,"3Q16","3T16")</f>
        <v>3Q16</v>
      </c>
      <c r="AM6" s="111" t="str">
        <f>IF(Control!$D$5=1,"4Q16","4T16")</f>
        <v>4Q16</v>
      </c>
      <c r="AN6" s="111" t="str">
        <f>IF(Control!$D$5=1,"1Q17","1T17")</f>
        <v>1Q17</v>
      </c>
      <c r="AO6" s="111" t="str">
        <f>IF(Control!$D$5=1,"2Q17","2T17")</f>
        <v>2Q17</v>
      </c>
      <c r="AP6" s="111" t="str">
        <f>IF(Control!$D$5=1,"3Q17","3T17")</f>
        <v>3Q17</v>
      </c>
      <c r="AQ6" s="111" t="str">
        <f>IF(Control!$D$5=1,"4Q17","4T17")</f>
        <v>4Q17</v>
      </c>
      <c r="AR6" s="111" t="str">
        <f>IF(Control!$D$5=1,"1Q18","1T18")</f>
        <v>1Q18</v>
      </c>
      <c r="AS6" s="111" t="str">
        <f>IF(Control!$D$5=1,"2Q18","2T18")</f>
        <v>2Q18</v>
      </c>
      <c r="AT6" s="111" t="str">
        <f>IF(Control!$D$5=1,"3Q18","3T18")</f>
        <v>3Q18</v>
      </c>
      <c r="AU6" s="111" t="str">
        <f>IF(Control!$D$5=1,"4Q18","4T18")</f>
        <v>4Q18</v>
      </c>
      <c r="AV6" s="111" t="str">
        <f>IF(Control!$D$5=1,"1Q19","1T19")</f>
        <v>1Q19</v>
      </c>
      <c r="AW6" s="111" t="str">
        <f>IF(Control!$D$5=1,"2Q19","2T19")</f>
        <v>2Q19</v>
      </c>
      <c r="AX6" s="111" t="str">
        <f>IF(Control!$D$5=1,"3Q19","3T19")</f>
        <v>3Q19</v>
      </c>
      <c r="AY6" s="111" t="str">
        <f>IF(Control!$D$5=1,"4Q19","4T19")</f>
        <v>4Q19</v>
      </c>
      <c r="AZ6" s="111" t="str">
        <f>IF(Control!$D$5=1,"1Q20","1T20")</f>
        <v>1Q20</v>
      </c>
      <c r="BA6" s="111" t="str">
        <f>IF(Control!$D$5=1,"2Q20","2T20")</f>
        <v>2Q20</v>
      </c>
      <c r="BB6" s="111" t="str">
        <f>IF(Control!$D$5=1,"3Q20","3T20")</f>
        <v>3Q20</v>
      </c>
      <c r="BC6" s="111" t="str">
        <f>IF(Control!$D$5=1,"4Q20","4T20")</f>
        <v>4Q20</v>
      </c>
      <c r="BD6" s="111" t="str">
        <f>IF(Control!$D$5=1,"1Q21","1T21")</f>
        <v>1Q21</v>
      </c>
      <c r="BE6" s="111" t="str">
        <f>IF(Control!$D$5=1,"2Q21","2T21")</f>
        <v>2Q21</v>
      </c>
      <c r="BF6" s="111" t="str">
        <f>IF(Control!$D$5=1,"3Q21","3T21")</f>
        <v>3Q21</v>
      </c>
      <c r="BG6" s="111" t="str">
        <f>IF(Control!$D$5=1,"4Q21","4T21")</f>
        <v>4Q21</v>
      </c>
      <c r="BH6" s="111" t="str">
        <f>IF(Control!$D$5=1,"1Q22","1T22")</f>
        <v>1Q22</v>
      </c>
      <c r="BI6" s="73"/>
      <c r="BJ6" s="111" t="str">
        <f>IF(Control!$D$5=1,"12M07","12M07")</f>
        <v>12M07</v>
      </c>
      <c r="BK6" s="111" t="str">
        <f>IF(Control!$D$5=1,"12M08","12M08")</f>
        <v>12M08</v>
      </c>
      <c r="BL6" s="111" t="str">
        <f>IF(Control!$D$5=1,"12M09","12M09")</f>
        <v>12M09</v>
      </c>
      <c r="BM6" s="111" t="str">
        <f>IF(Control!$D$5=1,"12M10","12M10")</f>
        <v>12M10</v>
      </c>
      <c r="BN6" s="111" t="str">
        <f>IF(Control!$D$5=1,"12M11","12M11")</f>
        <v>12M11</v>
      </c>
      <c r="BO6" s="111" t="str">
        <f>IF(Control!$D$5=1,"12M12","12M12")</f>
        <v>12M12</v>
      </c>
      <c r="BP6" s="111" t="str">
        <f>IF(Control!$D$5=1,"12M13","12M13")</f>
        <v>12M13</v>
      </c>
      <c r="BQ6" s="111" t="str">
        <f>IF(Control!$D$5=1,"12M14","12M14")</f>
        <v>12M14</v>
      </c>
      <c r="BR6" s="111" t="str">
        <f>IF(Control!$D$5=1,"12M15","12M15")</f>
        <v>12M15</v>
      </c>
      <c r="BS6" s="111" t="str">
        <f>IF(Control!$D$5=1,"12M16","12M16")</f>
        <v>12M16</v>
      </c>
      <c r="BT6" s="111" t="str">
        <f>IF(Control!$D$5=1,"12M17","12M17")</f>
        <v>12M17</v>
      </c>
      <c r="BU6" s="111" t="s">
        <v>12</v>
      </c>
      <c r="BV6" s="111" t="s">
        <v>16</v>
      </c>
      <c r="BW6" s="111" t="s">
        <v>17</v>
      </c>
      <c r="BX6" s="111" t="s">
        <v>20</v>
      </c>
    </row>
    <row r="7" spans="1:85" s="79" customFormat="1" x14ac:dyDescent="0.35">
      <c r="A7" s="247"/>
      <c r="B7" s="30" t="str">
        <f>IF(Control!$D$5=1,"Closing Date","Data Fechamento")</f>
        <v>Closing Date</v>
      </c>
      <c r="C7" s="74">
        <v>39506</v>
      </c>
      <c r="D7" s="74">
        <v>39599</v>
      </c>
      <c r="E7" s="74">
        <v>39690</v>
      </c>
      <c r="F7" s="74">
        <v>39782</v>
      </c>
      <c r="G7" s="74">
        <v>39872</v>
      </c>
      <c r="H7" s="74">
        <v>39964</v>
      </c>
      <c r="I7" s="74">
        <v>40056</v>
      </c>
      <c r="J7" s="74">
        <v>40147</v>
      </c>
      <c r="K7" s="74">
        <v>40237</v>
      </c>
      <c r="L7" s="74">
        <v>40329</v>
      </c>
      <c r="M7" s="74">
        <v>40421</v>
      </c>
      <c r="N7" s="74">
        <v>40512</v>
      </c>
      <c r="O7" s="74">
        <v>40602</v>
      </c>
      <c r="P7" s="74">
        <v>40694</v>
      </c>
      <c r="Q7" s="74">
        <v>40786</v>
      </c>
      <c r="R7" s="74">
        <v>40877</v>
      </c>
      <c r="S7" s="74">
        <v>40968</v>
      </c>
      <c r="T7" s="74">
        <v>41060</v>
      </c>
      <c r="U7" s="74">
        <v>41152</v>
      </c>
      <c r="V7" s="74">
        <v>41243</v>
      </c>
      <c r="W7" s="74">
        <v>41333</v>
      </c>
      <c r="X7" s="74">
        <v>41425</v>
      </c>
      <c r="Y7" s="74">
        <v>41517</v>
      </c>
      <c r="Z7" s="74">
        <v>41608</v>
      </c>
      <c r="AA7" s="74">
        <v>41698</v>
      </c>
      <c r="AB7" s="74">
        <v>41790</v>
      </c>
      <c r="AC7" s="74">
        <v>41882</v>
      </c>
      <c r="AD7" s="74">
        <v>41973</v>
      </c>
      <c r="AE7" s="74">
        <v>42063</v>
      </c>
      <c r="AF7" s="74">
        <v>42155</v>
      </c>
      <c r="AG7" s="74">
        <v>42247</v>
      </c>
      <c r="AH7" s="74">
        <v>42338</v>
      </c>
      <c r="AI7" s="74">
        <v>42429</v>
      </c>
      <c r="AJ7" s="74">
        <v>42521</v>
      </c>
      <c r="AK7" s="74">
        <v>42613</v>
      </c>
      <c r="AL7" s="74">
        <v>42704</v>
      </c>
      <c r="AM7" s="74">
        <v>42794</v>
      </c>
      <c r="AN7" s="74">
        <v>42886</v>
      </c>
      <c r="AO7" s="74">
        <v>42978</v>
      </c>
      <c r="AP7" s="74">
        <v>43069</v>
      </c>
      <c r="AQ7" s="74">
        <v>43159</v>
      </c>
      <c r="AR7" s="74">
        <v>43251</v>
      </c>
      <c r="AS7" s="74">
        <v>43343</v>
      </c>
      <c r="AT7" s="74">
        <v>43434</v>
      </c>
      <c r="AU7" s="74">
        <v>43524</v>
      </c>
      <c r="AV7" s="74">
        <v>43616</v>
      </c>
      <c r="AW7" s="74">
        <v>43708</v>
      </c>
      <c r="AX7" s="74">
        <v>43799</v>
      </c>
      <c r="AY7" s="74">
        <v>43890</v>
      </c>
      <c r="AZ7" s="74">
        <v>43982</v>
      </c>
      <c r="BA7" s="74">
        <v>44074</v>
      </c>
      <c r="BB7" s="74">
        <v>44165</v>
      </c>
      <c r="BC7" s="74">
        <v>44255</v>
      </c>
      <c r="BD7" s="74">
        <v>44347</v>
      </c>
      <c r="BE7" s="74">
        <v>44439</v>
      </c>
      <c r="BF7" s="74">
        <v>44530</v>
      </c>
      <c r="BG7" s="74">
        <v>44620</v>
      </c>
      <c r="BH7" s="74">
        <v>44712</v>
      </c>
      <c r="BI7" s="73"/>
      <c r="BJ7" s="74">
        <v>39506</v>
      </c>
      <c r="BK7" s="74">
        <v>39872</v>
      </c>
      <c r="BL7" s="74">
        <v>40237</v>
      </c>
      <c r="BM7" s="74">
        <f>O7</f>
        <v>40602</v>
      </c>
      <c r="BN7" s="74">
        <f>S7</f>
        <v>40968</v>
      </c>
      <c r="BO7" s="74">
        <v>41333</v>
      </c>
      <c r="BP7" s="74">
        <v>41698</v>
      </c>
      <c r="BQ7" s="74">
        <v>42063</v>
      </c>
      <c r="BR7" s="74">
        <v>42429</v>
      </c>
      <c r="BS7" s="74">
        <v>42794</v>
      </c>
      <c r="BT7" s="74">
        <v>43159</v>
      </c>
      <c r="BU7" s="74">
        <v>43524</v>
      </c>
      <c r="BV7" s="74">
        <v>43890</v>
      </c>
      <c r="BW7" s="74">
        <v>44255</v>
      </c>
      <c r="BX7" s="74">
        <v>44620</v>
      </c>
    </row>
    <row r="8" spans="1:85" ht="6.75" customHeight="1" x14ac:dyDescent="0.35">
      <c r="B8" s="15"/>
      <c r="C8" s="164"/>
      <c r="D8" s="77"/>
      <c r="E8" s="83"/>
      <c r="F8" s="83"/>
      <c r="G8" s="164"/>
      <c r="H8" s="77"/>
      <c r="I8" s="83"/>
      <c r="J8" s="83"/>
      <c r="K8" s="164"/>
      <c r="L8" s="77"/>
      <c r="M8" s="83"/>
      <c r="N8" s="83"/>
      <c r="O8" s="164"/>
      <c r="P8" s="77"/>
      <c r="Q8" s="83"/>
      <c r="R8" s="83"/>
      <c r="S8" s="164"/>
      <c r="T8" s="77"/>
      <c r="U8" s="83"/>
      <c r="V8" s="83"/>
      <c r="W8" s="164"/>
      <c r="X8" s="83"/>
      <c r="Y8" s="164"/>
      <c r="Z8" s="77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73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</row>
    <row r="9" spans="1:85" x14ac:dyDescent="0.35">
      <c r="A9" s="147"/>
      <c r="B9" s="53" t="str">
        <f>IF(Control!$D$5=1,"Total Current Assets","Ativo Circulante")</f>
        <v>Total Current Assets</v>
      </c>
      <c r="C9" s="160">
        <f>SUM(C10,C13:C23)</f>
        <v>302.71000000000004</v>
      </c>
      <c r="D9" s="160">
        <f>SUM(D10,D13:D23)</f>
        <v>655.62800000000004</v>
      </c>
      <c r="E9" s="165" t="s">
        <v>2</v>
      </c>
      <c r="F9" s="165" t="s">
        <v>2</v>
      </c>
      <c r="G9" s="160">
        <f t="shared" ref="G9:AX9" si="0">SUM(G10,G13:G23)</f>
        <v>536.44899999999996</v>
      </c>
      <c r="H9" s="160">
        <f t="shared" si="0"/>
        <v>716.56000000000006</v>
      </c>
      <c r="I9" s="160">
        <f t="shared" si="0"/>
        <v>564.80799999999999</v>
      </c>
      <c r="J9" s="160">
        <f t="shared" si="0"/>
        <v>503.87299999999999</v>
      </c>
      <c r="K9" s="160">
        <f t="shared" si="0"/>
        <v>690.63499999999988</v>
      </c>
      <c r="L9" s="160">
        <f t="shared" si="0"/>
        <v>910.26600000000008</v>
      </c>
      <c r="M9" s="160">
        <f t="shared" si="0"/>
        <v>824.48800000000006</v>
      </c>
      <c r="N9" s="160">
        <f t="shared" si="0"/>
        <v>765.07099999999991</v>
      </c>
      <c r="O9" s="160">
        <f t="shared" si="0"/>
        <v>652.63799999999992</v>
      </c>
      <c r="P9" s="160">
        <f t="shared" si="0"/>
        <v>985.61900000000003</v>
      </c>
      <c r="Q9" s="160">
        <f t="shared" si="0"/>
        <v>956.23699999999985</v>
      </c>
      <c r="R9" s="160">
        <f t="shared" si="0"/>
        <v>1057.662</v>
      </c>
      <c r="S9" s="160">
        <f t="shared" si="0"/>
        <v>1197.7949999999998</v>
      </c>
      <c r="T9" s="160">
        <f t="shared" si="0"/>
        <v>1554.4969999999998</v>
      </c>
      <c r="U9" s="160">
        <f t="shared" si="0"/>
        <v>1424.816</v>
      </c>
      <c r="V9" s="160">
        <f t="shared" si="0"/>
        <v>1469.7869999999998</v>
      </c>
      <c r="W9" s="160">
        <f t="shared" si="0"/>
        <v>1417.35</v>
      </c>
      <c r="X9" s="160">
        <f t="shared" si="0"/>
        <v>1843.0099999999998</v>
      </c>
      <c r="Y9" s="160">
        <f t="shared" si="0"/>
        <v>1871.4019999999998</v>
      </c>
      <c r="Z9" s="160">
        <f t="shared" si="0"/>
        <v>1717.0530000000001</v>
      </c>
      <c r="AA9" s="160">
        <f t="shared" si="0"/>
        <v>1608.1130000000003</v>
      </c>
      <c r="AB9" s="160">
        <f t="shared" si="0"/>
        <v>2013.002</v>
      </c>
      <c r="AC9" s="160">
        <f t="shared" si="0"/>
        <v>1972.5740000000001</v>
      </c>
      <c r="AD9" s="160">
        <f t="shared" si="0"/>
        <v>2001.3010000000002</v>
      </c>
      <c r="AE9" s="160">
        <f t="shared" si="0"/>
        <v>1777.7020000000002</v>
      </c>
      <c r="AF9" s="160">
        <f t="shared" si="0"/>
        <v>2302.3490000000002</v>
      </c>
      <c r="AG9" s="160">
        <f t="shared" si="0"/>
        <v>2305.3370000000004</v>
      </c>
      <c r="AH9" s="160">
        <f t="shared" si="0"/>
        <v>2242.1579999999999</v>
      </c>
      <c r="AI9" s="160">
        <f t="shared" si="0"/>
        <v>2190.8039999999996</v>
      </c>
      <c r="AJ9" s="160">
        <f t="shared" si="0"/>
        <v>2500.5</v>
      </c>
      <c r="AK9" s="160">
        <f t="shared" si="0"/>
        <v>2399.471</v>
      </c>
      <c r="AL9" s="160">
        <f t="shared" si="0"/>
        <v>2287.4549999999999</v>
      </c>
      <c r="AM9" s="160">
        <f t="shared" si="0"/>
        <v>2379.7999999999997</v>
      </c>
      <c r="AN9" s="160">
        <f t="shared" si="0"/>
        <v>2489.2919999999999</v>
      </c>
      <c r="AO9" s="160">
        <f t="shared" si="0"/>
        <v>2331.3109999999997</v>
      </c>
      <c r="AP9" s="160">
        <f t="shared" si="0"/>
        <v>2206.2500000000005</v>
      </c>
      <c r="AQ9" s="160">
        <f t="shared" si="0"/>
        <v>2291.1999999999998</v>
      </c>
      <c r="AR9" s="160">
        <f t="shared" si="0"/>
        <v>2868.5</v>
      </c>
      <c r="AS9" s="160">
        <f t="shared" si="0"/>
        <v>2797.4000000000005</v>
      </c>
      <c r="AT9" s="160">
        <f t="shared" si="0"/>
        <v>2769.3999999999996</v>
      </c>
      <c r="AU9" s="160">
        <f t="shared" si="0"/>
        <v>2483.5730000000003</v>
      </c>
      <c r="AV9" s="160">
        <f t="shared" si="0"/>
        <v>3604.4389999999999</v>
      </c>
      <c r="AW9" s="160">
        <f t="shared" si="0"/>
        <v>3311.3870000000002</v>
      </c>
      <c r="AX9" s="160">
        <f t="shared" si="0"/>
        <v>3094.0349999999994</v>
      </c>
      <c r="AY9" s="160">
        <f t="shared" ref="AY9:BF9" si="1">SUM(AY10,AY13:AY23)</f>
        <v>2700.1909999999998</v>
      </c>
      <c r="AZ9" s="160">
        <f t="shared" si="1"/>
        <v>5118.1989999999996</v>
      </c>
      <c r="BA9" s="160">
        <f t="shared" si="1"/>
        <v>4367.1120000000001</v>
      </c>
      <c r="BB9" s="160">
        <f t="shared" si="1"/>
        <v>4309.6779999999999</v>
      </c>
      <c r="BC9" s="160">
        <f t="shared" si="1"/>
        <v>3803.9809999999998</v>
      </c>
      <c r="BD9" s="160">
        <f t="shared" si="1"/>
        <v>5087.0540000000001</v>
      </c>
      <c r="BE9" s="160">
        <f t="shared" si="1"/>
        <v>4391.4960000000001</v>
      </c>
      <c r="BF9" s="160">
        <f t="shared" si="1"/>
        <v>5146.3449999999993</v>
      </c>
      <c r="BG9" s="160">
        <f>SUM(BG10,BG13:BG23)</f>
        <v>4829.0990000000002</v>
      </c>
      <c r="BH9" s="160">
        <f>SUM(BH10,BH13:BH23)</f>
        <v>5452.9919999999993</v>
      </c>
      <c r="BI9" s="73"/>
      <c r="BJ9" s="160">
        <f t="shared" ref="BJ9:BU9" si="2">SUM(BJ10,BJ13:BJ23)</f>
        <v>302.71000000000004</v>
      </c>
      <c r="BK9" s="160">
        <f t="shared" si="2"/>
        <v>536.44899999999996</v>
      </c>
      <c r="BL9" s="160">
        <f t="shared" si="2"/>
        <v>690.63499999999988</v>
      </c>
      <c r="BM9" s="160">
        <f t="shared" si="2"/>
        <v>652.63799999999992</v>
      </c>
      <c r="BN9" s="160">
        <f t="shared" si="2"/>
        <v>1197.7949999999998</v>
      </c>
      <c r="BO9" s="160">
        <f t="shared" si="2"/>
        <v>1417.35</v>
      </c>
      <c r="BP9" s="160">
        <f t="shared" si="2"/>
        <v>1608.1130000000003</v>
      </c>
      <c r="BQ9" s="160">
        <f t="shared" si="2"/>
        <v>1777.7020000000002</v>
      </c>
      <c r="BR9" s="160">
        <f t="shared" si="2"/>
        <v>2190.8039999999996</v>
      </c>
      <c r="BS9" s="160">
        <f t="shared" si="2"/>
        <v>2379.7999999999997</v>
      </c>
      <c r="BT9" s="160">
        <f t="shared" si="2"/>
        <v>2291.1999999999998</v>
      </c>
      <c r="BU9" s="160">
        <f t="shared" si="2"/>
        <v>2483.5730000000003</v>
      </c>
      <c r="BV9" s="160">
        <f t="shared" ref="BV9:BV23" si="3">AY9</f>
        <v>2700.1909999999998</v>
      </c>
      <c r="BW9" s="160">
        <f t="shared" ref="BW9:BW23" si="4">BC9</f>
        <v>3803.9809999999998</v>
      </c>
      <c r="BX9" s="160">
        <f t="shared" ref="BX9:BX23" si="5">BG9</f>
        <v>4829.0990000000002</v>
      </c>
      <c r="BY9" s="23"/>
      <c r="BZ9" s="23"/>
      <c r="CA9" s="23"/>
      <c r="CB9" s="23"/>
      <c r="CC9" s="23"/>
      <c r="CD9" s="23"/>
      <c r="CE9" s="23"/>
      <c r="CF9" s="23"/>
    </row>
    <row r="10" spans="1:85" x14ac:dyDescent="0.35">
      <c r="A10" s="147"/>
      <c r="B10" s="51" t="str">
        <f>IF(Control!$D$5=1,"Cash &amp; Equivalents","Caixa e Equivalentes de Caixa")</f>
        <v>Cash &amp; Equivalents</v>
      </c>
      <c r="C10" s="166">
        <f>SUM(C11:C12)</f>
        <v>14.096</v>
      </c>
      <c r="D10" s="166">
        <f>SUM(D11:D12)</f>
        <v>9.3879999999999999</v>
      </c>
      <c r="E10" s="76" t="s">
        <v>2</v>
      </c>
      <c r="F10" s="76" t="s">
        <v>2</v>
      </c>
      <c r="G10" s="166">
        <f t="shared" ref="G10:AC10" si="6">SUM(G11:G12)</f>
        <v>67.762</v>
      </c>
      <c r="H10" s="166">
        <f t="shared" si="6"/>
        <v>87.692000000000007</v>
      </c>
      <c r="I10" s="166">
        <f t="shared" si="6"/>
        <v>57.484000000000002</v>
      </c>
      <c r="J10" s="166">
        <f t="shared" si="6"/>
        <v>91.628</v>
      </c>
      <c r="K10" s="166">
        <f t="shared" si="6"/>
        <v>224.26299999999998</v>
      </c>
      <c r="L10" s="166">
        <f t="shared" si="6"/>
        <v>196.58699999999999</v>
      </c>
      <c r="M10" s="166">
        <f t="shared" si="6"/>
        <v>222.46600000000001</v>
      </c>
      <c r="N10" s="166">
        <f t="shared" si="6"/>
        <v>218.60599999999999</v>
      </c>
      <c r="O10" s="166">
        <f t="shared" si="6"/>
        <v>192.34099999999998</v>
      </c>
      <c r="P10" s="166">
        <f t="shared" si="6"/>
        <v>117.343</v>
      </c>
      <c r="Q10" s="166">
        <f t="shared" si="6"/>
        <v>204.405</v>
      </c>
      <c r="R10" s="166">
        <f t="shared" si="6"/>
        <v>295.73600000000005</v>
      </c>
      <c r="S10" s="166">
        <f t="shared" si="6"/>
        <v>167.751</v>
      </c>
      <c r="T10" s="166">
        <f t="shared" si="6"/>
        <v>351.65999999999997</v>
      </c>
      <c r="U10" s="166">
        <f t="shared" si="6"/>
        <v>65.715000000000003</v>
      </c>
      <c r="V10" s="166">
        <f t="shared" si="6"/>
        <v>50.45</v>
      </c>
      <c r="W10" s="166">
        <f t="shared" si="6"/>
        <v>92.118000000000009</v>
      </c>
      <c r="X10" s="166">
        <f t="shared" si="6"/>
        <v>102.295</v>
      </c>
      <c r="Y10" s="166">
        <f t="shared" si="6"/>
        <v>95.361000000000004</v>
      </c>
      <c r="Z10" s="166">
        <f t="shared" si="6"/>
        <v>170.78399999999999</v>
      </c>
      <c r="AA10" s="166">
        <f t="shared" si="6"/>
        <v>261.85599999999999</v>
      </c>
      <c r="AB10" s="166">
        <f t="shared" si="6"/>
        <v>129.48400000000001</v>
      </c>
      <c r="AC10" s="166">
        <f t="shared" si="6"/>
        <v>176.262</v>
      </c>
      <c r="AD10" s="166">
        <f t="shared" ref="AD10:AJ10" si="7">SUM(AD11:AD12)</f>
        <v>140.39100000000002</v>
      </c>
      <c r="AE10" s="166">
        <f t="shared" si="7"/>
        <v>243.97799999999998</v>
      </c>
      <c r="AF10" s="166">
        <f t="shared" si="7"/>
        <v>337.11</v>
      </c>
      <c r="AG10" s="166">
        <f t="shared" si="7"/>
        <v>293.32500000000005</v>
      </c>
      <c r="AH10" s="166">
        <f t="shared" si="7"/>
        <v>204.14400000000001</v>
      </c>
      <c r="AI10" s="166">
        <f t="shared" si="7"/>
        <v>441.37700000000001</v>
      </c>
      <c r="AJ10" s="166">
        <f t="shared" si="7"/>
        <v>281.04900000000004</v>
      </c>
      <c r="AK10" s="166">
        <f t="shared" ref="AK10:AP10" si="8">SUM(AK11:AK12)</f>
        <v>266.95600000000002</v>
      </c>
      <c r="AL10" s="166">
        <f t="shared" si="8"/>
        <v>158.28100000000001</v>
      </c>
      <c r="AM10" s="166">
        <f t="shared" si="8"/>
        <v>139.69999999999999</v>
      </c>
      <c r="AN10" s="166">
        <f t="shared" si="8"/>
        <v>268.61900000000003</v>
      </c>
      <c r="AO10" s="166">
        <f t="shared" si="8"/>
        <v>202.18699999999998</v>
      </c>
      <c r="AP10" s="166">
        <f t="shared" si="8"/>
        <v>187.43299999999999</v>
      </c>
      <c r="AQ10" s="166">
        <f t="shared" ref="AQ10:AV10" si="9">SUM(AQ11:AQ12)</f>
        <v>276.5</v>
      </c>
      <c r="AR10" s="166">
        <f t="shared" si="9"/>
        <v>572.29999999999995</v>
      </c>
      <c r="AS10" s="166">
        <f t="shared" si="9"/>
        <v>369.1</v>
      </c>
      <c r="AT10" s="166">
        <f t="shared" si="9"/>
        <v>222.6</v>
      </c>
      <c r="AU10" s="166">
        <f t="shared" si="9"/>
        <v>365.3</v>
      </c>
      <c r="AV10" s="166">
        <f t="shared" si="9"/>
        <v>630.69999999999993</v>
      </c>
      <c r="AW10" s="166">
        <f>SUM(AW11:AW12)</f>
        <v>529.66200000000003</v>
      </c>
      <c r="AX10" s="166">
        <f>SUM(AX11:AX12)</f>
        <v>302.36800000000005</v>
      </c>
      <c r="AY10" s="166">
        <f>SUM(AY11:AY12)</f>
        <v>537.76400000000001</v>
      </c>
      <c r="AZ10" s="166">
        <f>SUM(AZ11:AZ12)</f>
        <v>1699.778</v>
      </c>
      <c r="BA10" s="166">
        <v>1220.989</v>
      </c>
      <c r="BB10" s="166">
        <v>1165.4829999999999</v>
      </c>
      <c r="BC10" s="166">
        <v>1081.9549999999999</v>
      </c>
      <c r="BD10" s="166">
        <v>1450.2099999999998</v>
      </c>
      <c r="BE10" s="166">
        <v>1332.453</v>
      </c>
      <c r="BF10" s="166">
        <v>1867.1210000000001</v>
      </c>
      <c r="BG10" s="166">
        <f>BG11+BG12</f>
        <v>1596.35</v>
      </c>
      <c r="BH10" s="166">
        <v>1307.509</v>
      </c>
      <c r="BI10" s="73"/>
      <c r="BJ10" s="166">
        <f t="shared" ref="BJ10:BU10" si="10">SUM(BJ11:BJ12)</f>
        <v>14.096</v>
      </c>
      <c r="BK10" s="166">
        <f t="shared" si="10"/>
        <v>67.762</v>
      </c>
      <c r="BL10" s="166">
        <f t="shared" si="10"/>
        <v>224.26299999999998</v>
      </c>
      <c r="BM10" s="166">
        <f t="shared" si="10"/>
        <v>192.34099999999998</v>
      </c>
      <c r="BN10" s="166">
        <f t="shared" si="10"/>
        <v>167.751</v>
      </c>
      <c r="BO10" s="166">
        <f t="shared" si="10"/>
        <v>92.118000000000009</v>
      </c>
      <c r="BP10" s="166">
        <f t="shared" si="10"/>
        <v>261.85599999999999</v>
      </c>
      <c r="BQ10" s="166">
        <f t="shared" si="10"/>
        <v>243.97799999999998</v>
      </c>
      <c r="BR10" s="166">
        <f t="shared" si="10"/>
        <v>441.37700000000001</v>
      </c>
      <c r="BS10" s="166">
        <f t="shared" si="10"/>
        <v>139.69999999999999</v>
      </c>
      <c r="BT10" s="166">
        <f t="shared" si="10"/>
        <v>276.5</v>
      </c>
      <c r="BU10" s="166">
        <f t="shared" si="10"/>
        <v>365.3</v>
      </c>
      <c r="BV10" s="166">
        <f t="shared" si="3"/>
        <v>537.76400000000001</v>
      </c>
      <c r="BW10" s="166">
        <f t="shared" si="4"/>
        <v>1081.9549999999999</v>
      </c>
      <c r="BX10" s="166">
        <f t="shared" si="5"/>
        <v>1596.35</v>
      </c>
      <c r="CG10" s="63"/>
    </row>
    <row r="11" spans="1:85" outlineLevel="1" x14ac:dyDescent="0.35">
      <c r="A11" s="147"/>
      <c r="B11" s="52" t="str">
        <f>IF(Control!$D$5=1,"Cash &amp; Equivalents","Caixa e Equivalentes de Caixa")</f>
        <v>Cash &amp; Equivalents</v>
      </c>
      <c r="C11" s="166">
        <v>13.074</v>
      </c>
      <c r="D11" s="166">
        <v>9.3879999999999999</v>
      </c>
      <c r="E11" s="76" t="s">
        <v>2</v>
      </c>
      <c r="F11" s="76" t="s">
        <v>2</v>
      </c>
      <c r="G11" s="166">
        <v>42.198</v>
      </c>
      <c r="H11" s="166">
        <v>62.734999999999999</v>
      </c>
      <c r="I11" s="166">
        <v>41.631</v>
      </c>
      <c r="J11" s="166">
        <v>2.5169999999999999</v>
      </c>
      <c r="K11" s="166">
        <v>2.2589999999999999</v>
      </c>
      <c r="L11" s="166">
        <v>3.762</v>
      </c>
      <c r="M11" s="166">
        <v>1.3740000000000001</v>
      </c>
      <c r="N11" s="166">
        <v>4.9880000000000004</v>
      </c>
      <c r="O11" s="166">
        <v>39.372999999999998</v>
      </c>
      <c r="P11" s="166">
        <v>21.187000000000001</v>
      </c>
      <c r="Q11" s="166">
        <v>27.245999999999999</v>
      </c>
      <c r="R11" s="166">
        <v>34.664999999999999</v>
      </c>
      <c r="S11" s="166">
        <v>44.963000000000001</v>
      </c>
      <c r="T11" s="166">
        <v>55.351999999999997</v>
      </c>
      <c r="U11" s="166">
        <v>58.631999999999998</v>
      </c>
      <c r="V11" s="166">
        <v>2.1850000000000001</v>
      </c>
      <c r="W11" s="166">
        <v>17.632000000000001</v>
      </c>
      <c r="X11" s="166">
        <v>16.623000000000001</v>
      </c>
      <c r="Y11" s="166">
        <v>8.1370000000000005</v>
      </c>
      <c r="Z11" s="166">
        <v>13.448</v>
      </c>
      <c r="AA11" s="166">
        <v>124.477</v>
      </c>
      <c r="AB11" s="166">
        <v>10.475</v>
      </c>
      <c r="AC11" s="166">
        <v>9.8740000000000006</v>
      </c>
      <c r="AD11" s="166">
        <v>46.756</v>
      </c>
      <c r="AE11" s="166">
        <v>20.736000000000001</v>
      </c>
      <c r="AF11" s="166">
        <v>116.304</v>
      </c>
      <c r="AG11" s="166">
        <v>83.162000000000006</v>
      </c>
      <c r="AH11" s="166">
        <v>85.805999999999997</v>
      </c>
      <c r="AI11" s="166">
        <v>70.625</v>
      </c>
      <c r="AJ11" s="166">
        <v>50.255000000000003</v>
      </c>
      <c r="AK11" s="166">
        <v>91.472999999999999</v>
      </c>
      <c r="AL11" s="166">
        <v>41.847000000000001</v>
      </c>
      <c r="AM11" s="166">
        <v>25.5</v>
      </c>
      <c r="AN11" s="166">
        <v>48.225999999999999</v>
      </c>
      <c r="AO11" s="211">
        <v>42.398000000000003</v>
      </c>
      <c r="AP11" s="166">
        <v>32.101999999999997</v>
      </c>
      <c r="AQ11" s="166">
        <v>25.7</v>
      </c>
      <c r="AR11" s="166">
        <v>31.3</v>
      </c>
      <c r="AS11" s="166">
        <v>48.3</v>
      </c>
      <c r="AT11" s="166">
        <v>32.6</v>
      </c>
      <c r="AU11" s="166">
        <v>33.5</v>
      </c>
      <c r="AV11" s="166">
        <v>34.4</v>
      </c>
      <c r="AW11" s="166">
        <v>37.603999999999999</v>
      </c>
      <c r="AX11" s="166">
        <v>31.893000000000001</v>
      </c>
      <c r="AY11" s="166">
        <v>73.966999999999999</v>
      </c>
      <c r="AZ11" s="166">
        <v>328.28899999999999</v>
      </c>
      <c r="BA11" s="166">
        <v>217.28299999999999</v>
      </c>
      <c r="BB11" s="166">
        <v>111.33499999999999</v>
      </c>
      <c r="BC11" s="166">
        <v>78.096000000000004</v>
      </c>
      <c r="BD11" s="166">
        <v>123.581</v>
      </c>
      <c r="BE11" s="166">
        <v>43.281999999999996</v>
      </c>
      <c r="BF11" s="166">
        <v>221.39099999999999</v>
      </c>
      <c r="BG11" s="166">
        <v>74.173000000000002</v>
      </c>
      <c r="BH11" s="166">
        <v>316.42599999999999</v>
      </c>
      <c r="BI11" s="73"/>
      <c r="BJ11" s="166">
        <v>13.074</v>
      </c>
      <c r="BK11" s="166">
        <v>42.198</v>
      </c>
      <c r="BL11" s="166">
        <v>2.2589999999999999</v>
      </c>
      <c r="BM11" s="166">
        <v>39.372999999999998</v>
      </c>
      <c r="BN11" s="166">
        <v>44.963000000000001</v>
      </c>
      <c r="BO11" s="166">
        <v>17.632000000000001</v>
      </c>
      <c r="BP11" s="166">
        <v>124.477</v>
      </c>
      <c r="BQ11" s="166">
        <v>20.736000000000001</v>
      </c>
      <c r="BR11" s="166">
        <v>70.625</v>
      </c>
      <c r="BS11" s="166">
        <v>25.5</v>
      </c>
      <c r="BT11" s="166">
        <f t="shared" ref="BT11:BT23" si="11">AQ11</f>
        <v>25.7</v>
      </c>
      <c r="BU11" s="166">
        <f t="shared" ref="BU11:BU23" si="12">AU11</f>
        <v>33.5</v>
      </c>
      <c r="BV11" s="166">
        <f t="shared" si="3"/>
        <v>73.966999999999999</v>
      </c>
      <c r="BW11" s="166">
        <f t="shared" si="4"/>
        <v>78.096000000000004</v>
      </c>
      <c r="BX11" s="166">
        <f t="shared" si="5"/>
        <v>74.173000000000002</v>
      </c>
      <c r="CG11" s="63"/>
    </row>
    <row r="12" spans="1:85" outlineLevel="1" x14ac:dyDescent="0.35">
      <c r="A12" s="127"/>
      <c r="B12" s="52" t="str">
        <f>IF(Control!$D$5=1,"Short-Term Investments","Investimentos de Curto Prazo")</f>
        <v>Short-Term Investments</v>
      </c>
      <c r="C12" s="166">
        <v>1.022</v>
      </c>
      <c r="D12" s="166">
        <v>0</v>
      </c>
      <c r="E12" s="76" t="s">
        <v>2</v>
      </c>
      <c r="F12" s="76" t="s">
        <v>2</v>
      </c>
      <c r="G12" s="166">
        <v>25.564</v>
      </c>
      <c r="H12" s="166">
        <v>24.957000000000001</v>
      </c>
      <c r="I12" s="166">
        <v>15.853</v>
      </c>
      <c r="J12" s="166">
        <v>89.111000000000004</v>
      </c>
      <c r="K12" s="166">
        <v>222.00399999999999</v>
      </c>
      <c r="L12" s="166">
        <v>192.82499999999999</v>
      </c>
      <c r="M12" s="166">
        <v>221.09200000000001</v>
      </c>
      <c r="N12" s="166">
        <v>213.61799999999999</v>
      </c>
      <c r="O12" s="166">
        <v>152.96799999999999</v>
      </c>
      <c r="P12" s="166">
        <v>96.156000000000006</v>
      </c>
      <c r="Q12" s="166">
        <v>177.15899999999999</v>
      </c>
      <c r="R12" s="166">
        <v>261.07100000000003</v>
      </c>
      <c r="S12" s="166">
        <v>122.788</v>
      </c>
      <c r="T12" s="166">
        <v>296.30799999999999</v>
      </c>
      <c r="U12" s="166">
        <v>7.0830000000000002</v>
      </c>
      <c r="V12" s="166">
        <v>48.265000000000001</v>
      </c>
      <c r="W12" s="166">
        <v>74.486000000000004</v>
      </c>
      <c r="X12" s="166">
        <v>85.671999999999997</v>
      </c>
      <c r="Y12" s="166">
        <v>87.224000000000004</v>
      </c>
      <c r="Z12" s="166">
        <v>157.33599999999998</v>
      </c>
      <c r="AA12" s="166">
        <v>137.37899999999999</v>
      </c>
      <c r="AB12" s="166">
        <v>119.009</v>
      </c>
      <c r="AC12" s="166">
        <v>166.38800000000001</v>
      </c>
      <c r="AD12" s="166">
        <v>93.635000000000005</v>
      </c>
      <c r="AE12" s="166">
        <v>223.24199999999999</v>
      </c>
      <c r="AF12" s="166">
        <v>220.80600000000001</v>
      </c>
      <c r="AG12" s="166">
        <v>210.16300000000001</v>
      </c>
      <c r="AH12" s="166">
        <v>118.33799999999999</v>
      </c>
      <c r="AI12" s="166">
        <v>370.75200000000001</v>
      </c>
      <c r="AJ12" s="166">
        <v>230.79400000000001</v>
      </c>
      <c r="AK12" s="166">
        <v>175.483</v>
      </c>
      <c r="AL12" s="166">
        <v>116.434</v>
      </c>
      <c r="AM12" s="166">
        <v>114.2</v>
      </c>
      <c r="AN12" s="166">
        <v>220.393</v>
      </c>
      <c r="AO12" s="211">
        <v>159.78899999999999</v>
      </c>
      <c r="AP12" s="166">
        <v>155.33099999999999</v>
      </c>
      <c r="AQ12" s="166">
        <v>250.8</v>
      </c>
      <c r="AR12" s="166">
        <v>541</v>
      </c>
      <c r="AS12" s="166">
        <v>320.8</v>
      </c>
      <c r="AT12" s="166">
        <v>190</v>
      </c>
      <c r="AU12" s="166">
        <v>331.8</v>
      </c>
      <c r="AV12" s="166">
        <v>596.29999999999995</v>
      </c>
      <c r="AW12" s="166">
        <v>492.05799999999999</v>
      </c>
      <c r="AX12" s="166">
        <v>270.47500000000002</v>
      </c>
      <c r="AY12" s="166">
        <v>463.79700000000003</v>
      </c>
      <c r="AZ12" s="166">
        <v>1371.489</v>
      </c>
      <c r="BA12" s="166">
        <v>1003.706</v>
      </c>
      <c r="BB12" s="166">
        <v>1054.1479999999999</v>
      </c>
      <c r="BC12" s="166">
        <v>1003.859</v>
      </c>
      <c r="BD12" s="166">
        <v>1326.6289999999999</v>
      </c>
      <c r="BE12" s="166">
        <v>1289.171</v>
      </c>
      <c r="BF12" s="166">
        <v>1645.73</v>
      </c>
      <c r="BG12" s="166">
        <v>1522.1769999999999</v>
      </c>
      <c r="BH12" s="166">
        <v>991.08299999999997</v>
      </c>
      <c r="BI12" s="73"/>
      <c r="BJ12" s="166">
        <v>1.022</v>
      </c>
      <c r="BK12" s="166">
        <v>25.564</v>
      </c>
      <c r="BL12" s="166">
        <v>222.00399999999999</v>
      </c>
      <c r="BM12" s="166">
        <v>152.96799999999999</v>
      </c>
      <c r="BN12" s="166">
        <v>122.788</v>
      </c>
      <c r="BO12" s="166">
        <v>74.486000000000004</v>
      </c>
      <c r="BP12" s="166">
        <v>137.37899999999999</v>
      </c>
      <c r="BQ12" s="166">
        <v>223.24199999999999</v>
      </c>
      <c r="BR12" s="166">
        <v>370.75200000000001</v>
      </c>
      <c r="BS12" s="166">
        <v>114.2</v>
      </c>
      <c r="BT12" s="166">
        <f t="shared" si="11"/>
        <v>250.8</v>
      </c>
      <c r="BU12" s="166">
        <f t="shared" si="12"/>
        <v>331.8</v>
      </c>
      <c r="BV12" s="166">
        <f t="shared" si="3"/>
        <v>463.79700000000003</v>
      </c>
      <c r="BW12" s="166">
        <f t="shared" si="4"/>
        <v>1003.859</v>
      </c>
      <c r="BX12" s="166">
        <f t="shared" si="5"/>
        <v>1522.1769999999999</v>
      </c>
      <c r="CG12" s="63"/>
    </row>
    <row r="13" spans="1:85" x14ac:dyDescent="0.35">
      <c r="A13" s="127"/>
      <c r="B13" s="51" t="str">
        <f>IF(Control!$D$5=1,"Short Term Investments","Aplicações Financeiras")</f>
        <v>Short Term Investments</v>
      </c>
      <c r="C13" s="166">
        <v>11.878</v>
      </c>
      <c r="D13" s="166">
        <v>13.579000000000001</v>
      </c>
      <c r="E13" s="76" t="s">
        <v>2</v>
      </c>
      <c r="F13" s="76" t="s">
        <v>2</v>
      </c>
      <c r="G13" s="166">
        <v>25.428999999999998</v>
      </c>
      <c r="H13" s="166">
        <v>30.172000000000001</v>
      </c>
      <c r="I13" s="166">
        <v>32.262</v>
      </c>
      <c r="J13" s="166">
        <v>26.282</v>
      </c>
      <c r="K13" s="166">
        <v>33.152000000000001</v>
      </c>
      <c r="L13" s="166">
        <v>19.145</v>
      </c>
      <c r="M13" s="166">
        <v>15.734</v>
      </c>
      <c r="N13" s="166">
        <v>11.071</v>
      </c>
      <c r="O13" s="166">
        <v>7.5410000000000004</v>
      </c>
      <c r="P13" s="166">
        <v>7.258</v>
      </c>
      <c r="Q13" s="166">
        <v>9.3879999999999999</v>
      </c>
      <c r="R13" s="166">
        <v>18.696000000000002</v>
      </c>
      <c r="S13" s="166">
        <v>244.642</v>
      </c>
      <c r="T13" s="166">
        <v>69.186999999999998</v>
      </c>
      <c r="U13" s="166">
        <v>277.30700000000002</v>
      </c>
      <c r="V13" s="166">
        <v>231.22300000000001</v>
      </c>
      <c r="W13" s="166">
        <v>268.59800000000001</v>
      </c>
      <c r="X13" s="166">
        <v>238.904</v>
      </c>
      <c r="Y13" s="166">
        <v>262.33699999999999</v>
      </c>
      <c r="Z13" s="166">
        <v>108.39700000000001</v>
      </c>
      <c r="AA13" s="166">
        <v>53.991999999999997</v>
      </c>
      <c r="AB13" s="166">
        <v>204.74</v>
      </c>
      <c r="AC13" s="166">
        <v>291.68200000000002</v>
      </c>
      <c r="AD13" s="166">
        <v>286.61900000000003</v>
      </c>
      <c r="AE13" s="166">
        <v>134.83000000000001</v>
      </c>
      <c r="AF13" s="166">
        <v>14.773999999999999</v>
      </c>
      <c r="AG13" s="166">
        <v>145.03299999999999</v>
      </c>
      <c r="AH13" s="166">
        <v>40.621000000000002</v>
      </c>
      <c r="AI13" s="166">
        <v>50.665999999999997</v>
      </c>
      <c r="AJ13" s="166">
        <v>55.093000000000004</v>
      </c>
      <c r="AK13" s="166">
        <v>53.771999999999998</v>
      </c>
      <c r="AL13" s="166">
        <v>100.383</v>
      </c>
      <c r="AM13" s="166">
        <v>470.7</v>
      </c>
      <c r="AN13" s="166">
        <v>21.757999999999999</v>
      </c>
      <c r="AO13" s="166">
        <v>184.708</v>
      </c>
      <c r="AP13" s="166">
        <v>204.55199999999999</v>
      </c>
      <c r="AQ13" s="166">
        <v>406.3</v>
      </c>
      <c r="AR13" s="166">
        <v>153.4</v>
      </c>
      <c r="AS13" s="166">
        <v>296.79999999999995</v>
      </c>
      <c r="AT13" s="166">
        <v>238.6</v>
      </c>
      <c r="AU13" s="166">
        <v>31.242000000000001</v>
      </c>
      <c r="AV13" s="166">
        <v>335</v>
      </c>
      <c r="AW13" s="166">
        <f>305.991+33.4</f>
        <v>339.39099999999996</v>
      </c>
      <c r="AX13" s="166">
        <f>150.999+33.1</f>
        <v>184.09899999999999</v>
      </c>
      <c r="AY13" s="166">
        <v>32.292000000000002</v>
      </c>
      <c r="AZ13" s="166">
        <v>146.517</v>
      </c>
      <c r="BA13" s="166">
        <v>32.945999999999998</v>
      </c>
      <c r="BB13" s="166">
        <v>32.557000000000002</v>
      </c>
      <c r="BC13" s="166">
        <v>32.923000000000002</v>
      </c>
      <c r="BD13" s="166">
        <v>33.137</v>
      </c>
      <c r="BE13" s="166">
        <v>33.573999999999998</v>
      </c>
      <c r="BF13" s="166">
        <v>34.052999999999997</v>
      </c>
      <c r="BG13" s="166">
        <v>33.712000000000003</v>
      </c>
      <c r="BH13" s="76">
        <v>34.634999999999998</v>
      </c>
      <c r="BI13" s="73"/>
      <c r="BJ13" s="166">
        <v>11.878</v>
      </c>
      <c r="BK13" s="166">
        <v>25.428999999999998</v>
      </c>
      <c r="BL13" s="166">
        <v>33.152000000000001</v>
      </c>
      <c r="BM13" s="166">
        <v>7.5410000000000004</v>
      </c>
      <c r="BN13" s="166">
        <v>244.642</v>
      </c>
      <c r="BO13" s="166">
        <v>268.59800000000001</v>
      </c>
      <c r="BP13" s="166">
        <v>53.991999999999997</v>
      </c>
      <c r="BQ13" s="166">
        <v>134.83000000000001</v>
      </c>
      <c r="BR13" s="166">
        <v>50.665999999999997</v>
      </c>
      <c r="BS13" s="166">
        <v>470.7</v>
      </c>
      <c r="BT13" s="166">
        <f t="shared" si="11"/>
        <v>406.3</v>
      </c>
      <c r="BU13" s="166">
        <f t="shared" si="12"/>
        <v>31.242000000000001</v>
      </c>
      <c r="BV13" s="166">
        <f t="shared" si="3"/>
        <v>32.292000000000002</v>
      </c>
      <c r="BW13" s="166">
        <f t="shared" si="4"/>
        <v>32.923000000000002</v>
      </c>
      <c r="BX13" s="166">
        <f t="shared" si="5"/>
        <v>33.712000000000003</v>
      </c>
      <c r="CG13" s="63"/>
    </row>
    <row r="14" spans="1:85" x14ac:dyDescent="0.35">
      <c r="A14" s="127"/>
      <c r="B14" s="51" t="str">
        <f>IF(Control!$D$5=1,"Accounts Receivable","Contas a Receber")</f>
        <v>Accounts Receivable</v>
      </c>
      <c r="C14" s="166">
        <v>112.723</v>
      </c>
      <c r="D14" s="166">
        <v>140.05699999999999</v>
      </c>
      <c r="E14" s="76" t="s">
        <v>2</v>
      </c>
      <c r="F14" s="76" t="s">
        <v>2</v>
      </c>
      <c r="G14" s="166">
        <v>171.84899999999999</v>
      </c>
      <c r="H14" s="166">
        <v>167.245</v>
      </c>
      <c r="I14" s="166">
        <v>137.10400000000001</v>
      </c>
      <c r="J14" s="166">
        <v>127.252</v>
      </c>
      <c r="K14" s="166">
        <v>174.07499999999999</v>
      </c>
      <c r="L14" s="166">
        <v>213.68799999999999</v>
      </c>
      <c r="M14" s="166">
        <v>179.3</v>
      </c>
      <c r="N14" s="166">
        <v>183.12899999999999</v>
      </c>
      <c r="O14" s="166">
        <v>179.20500000000001</v>
      </c>
      <c r="P14" s="166">
        <v>234.24799999999999</v>
      </c>
      <c r="Q14" s="166">
        <v>206.55799999999999</v>
      </c>
      <c r="R14" s="166">
        <v>272.65300000000002</v>
      </c>
      <c r="S14" s="166">
        <v>308.935</v>
      </c>
      <c r="T14" s="166">
        <v>300.98399999999998</v>
      </c>
      <c r="U14" s="166">
        <v>352.15800000000002</v>
      </c>
      <c r="V14" s="167">
        <v>459.78</v>
      </c>
      <c r="W14" s="166">
        <v>439.63499999999999</v>
      </c>
      <c r="X14" s="166">
        <v>440.86099999999999</v>
      </c>
      <c r="Y14" s="166">
        <v>490.5</v>
      </c>
      <c r="Z14" s="166">
        <v>476.37</v>
      </c>
      <c r="AA14" s="166">
        <v>526.65</v>
      </c>
      <c r="AB14" s="166">
        <v>498.77699999999999</v>
      </c>
      <c r="AC14" s="166">
        <v>492.125</v>
      </c>
      <c r="AD14" s="166">
        <v>584.255</v>
      </c>
      <c r="AE14" s="166">
        <v>575.32600000000002</v>
      </c>
      <c r="AF14" s="166">
        <v>559.46400000000006</v>
      </c>
      <c r="AG14" s="166">
        <v>585.77800000000002</v>
      </c>
      <c r="AH14" s="166">
        <v>687.29100000000005</v>
      </c>
      <c r="AI14" s="166">
        <v>615.03800000000001</v>
      </c>
      <c r="AJ14" s="166">
        <v>588.03499999999997</v>
      </c>
      <c r="AK14" s="166">
        <v>585.81299999999999</v>
      </c>
      <c r="AL14" s="166">
        <v>625.04200000000003</v>
      </c>
      <c r="AM14" s="166">
        <v>676.7</v>
      </c>
      <c r="AN14" s="166">
        <v>602.90700000000004</v>
      </c>
      <c r="AO14" s="166">
        <v>579.69000000000005</v>
      </c>
      <c r="AP14" s="166">
        <v>601.83199999999999</v>
      </c>
      <c r="AQ14" s="166">
        <v>609.5</v>
      </c>
      <c r="AR14" s="166">
        <v>560.29999999999995</v>
      </c>
      <c r="AS14" s="166">
        <v>590.30000000000007</v>
      </c>
      <c r="AT14" s="166">
        <v>678.5</v>
      </c>
      <c r="AU14" s="166">
        <v>690.53599999999994</v>
      </c>
      <c r="AV14" s="166">
        <v>665.4</v>
      </c>
      <c r="AW14" s="166">
        <v>634.72799999999995</v>
      </c>
      <c r="AX14" s="166">
        <v>909.00300000000004</v>
      </c>
      <c r="AY14" s="166">
        <v>725.26199999999994</v>
      </c>
      <c r="AZ14" s="166">
        <v>863.67899999999997</v>
      </c>
      <c r="BA14" s="166">
        <v>978.226</v>
      </c>
      <c r="BB14" s="166">
        <v>962.42700000000002</v>
      </c>
      <c r="BC14" s="76">
        <v>945.12</v>
      </c>
      <c r="BD14" s="76">
        <v>1191.3</v>
      </c>
      <c r="BE14" s="76">
        <v>1040.2260000000001</v>
      </c>
      <c r="BF14" s="76">
        <v>1212.8869999999999</v>
      </c>
      <c r="BG14" s="76">
        <v>1212.386</v>
      </c>
      <c r="BH14" s="76">
        <v>1415.4749999999999</v>
      </c>
      <c r="BI14" s="73"/>
      <c r="BJ14" s="166">
        <v>112.723</v>
      </c>
      <c r="BK14" s="166">
        <v>171.84899999999999</v>
      </c>
      <c r="BL14" s="166">
        <v>174.07499999999999</v>
      </c>
      <c r="BM14" s="166">
        <v>179.20500000000001</v>
      </c>
      <c r="BN14" s="166">
        <v>308.935</v>
      </c>
      <c r="BO14" s="166">
        <v>439.63499999999999</v>
      </c>
      <c r="BP14" s="166">
        <v>526.65</v>
      </c>
      <c r="BQ14" s="166">
        <v>575.32600000000002</v>
      </c>
      <c r="BR14" s="166">
        <v>615.03800000000001</v>
      </c>
      <c r="BS14" s="166">
        <v>676.7</v>
      </c>
      <c r="BT14" s="166">
        <f t="shared" si="11"/>
        <v>609.5</v>
      </c>
      <c r="BU14" s="166">
        <f t="shared" si="12"/>
        <v>690.53599999999994</v>
      </c>
      <c r="BV14" s="166">
        <f t="shared" si="3"/>
        <v>725.26199999999994</v>
      </c>
      <c r="BW14" s="166">
        <f t="shared" si="4"/>
        <v>945.12</v>
      </c>
      <c r="BX14" s="166">
        <f t="shared" si="5"/>
        <v>1212.386</v>
      </c>
      <c r="CG14" s="63"/>
    </row>
    <row r="15" spans="1:85" x14ac:dyDescent="0.35">
      <c r="A15" s="80"/>
      <c r="B15" s="51" t="str">
        <f>IF(Control!$D$5=1,"Financial Instruments - Derivatives","Instrumentos Financeiros - Derivativos")</f>
        <v>Financial Instruments - Derivatives</v>
      </c>
      <c r="C15" s="166">
        <v>0</v>
      </c>
      <c r="D15" s="166">
        <v>0</v>
      </c>
      <c r="E15" s="76" t="s">
        <v>2</v>
      </c>
      <c r="F15" s="76" t="s">
        <v>2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207.61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36.033000000000001</v>
      </c>
      <c r="W15" s="166">
        <v>28.661000000000001</v>
      </c>
      <c r="X15" s="166">
        <v>38.439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/>
      <c r="AG15" s="166">
        <v>0</v>
      </c>
      <c r="AH15" s="166">
        <v>0</v>
      </c>
      <c r="AI15" s="166">
        <v>0</v>
      </c>
      <c r="AJ15" s="166">
        <v>0.74099999999999999</v>
      </c>
      <c r="AK15" s="166">
        <v>0</v>
      </c>
      <c r="AL15" s="166">
        <v>0</v>
      </c>
      <c r="AM15" s="166">
        <v>0.6</v>
      </c>
      <c r="AN15" s="166">
        <v>0</v>
      </c>
      <c r="AO15" s="166">
        <v>0</v>
      </c>
      <c r="AP15" s="166">
        <v>0.68</v>
      </c>
      <c r="AQ15" s="166">
        <v>0</v>
      </c>
      <c r="AR15" s="166">
        <v>0</v>
      </c>
      <c r="AS15" s="166">
        <v>0</v>
      </c>
      <c r="AT15" s="166">
        <v>0.1</v>
      </c>
      <c r="AU15" s="166">
        <v>0.51100000000000001</v>
      </c>
      <c r="AV15" s="166">
        <v>0</v>
      </c>
      <c r="AW15" s="166">
        <v>0</v>
      </c>
      <c r="AX15" s="166">
        <v>0</v>
      </c>
      <c r="AY15" s="166">
        <v>0.60499999999999998</v>
      </c>
      <c r="AZ15" s="166">
        <v>0.45300000000000001</v>
      </c>
      <c r="BA15" s="166">
        <v>2.4860000000000002</v>
      </c>
      <c r="BB15" s="166">
        <v>1.141</v>
      </c>
      <c r="BC15" s="76">
        <v>1.1439999999999999</v>
      </c>
      <c r="BD15" s="76">
        <v>1.7999999999999999E-2</v>
      </c>
      <c r="BE15" s="76">
        <v>0</v>
      </c>
      <c r="BF15" s="76">
        <v>0.80500000000000005</v>
      </c>
      <c r="BG15" s="76">
        <v>0.52800000000000002</v>
      </c>
      <c r="BH15" s="76">
        <v>0</v>
      </c>
      <c r="BI15" s="73"/>
      <c r="BJ15" s="166">
        <v>0</v>
      </c>
      <c r="BK15" s="166">
        <v>0</v>
      </c>
      <c r="BL15" s="166">
        <v>0</v>
      </c>
      <c r="BM15" s="166">
        <v>0</v>
      </c>
      <c r="BN15" s="166">
        <v>0</v>
      </c>
      <c r="BO15" s="166">
        <v>28.661000000000001</v>
      </c>
      <c r="BP15" s="166">
        <v>0</v>
      </c>
      <c r="BQ15" s="166">
        <v>0</v>
      </c>
      <c r="BR15" s="166">
        <v>0</v>
      </c>
      <c r="BS15" s="166">
        <v>0.6</v>
      </c>
      <c r="BT15" s="166">
        <f t="shared" si="11"/>
        <v>0</v>
      </c>
      <c r="BU15" s="166">
        <f t="shared" si="12"/>
        <v>0.51100000000000001</v>
      </c>
      <c r="BV15" s="166">
        <f t="shared" si="3"/>
        <v>0.60499999999999998</v>
      </c>
      <c r="BW15" s="166">
        <f t="shared" si="4"/>
        <v>1.1439999999999999</v>
      </c>
      <c r="BX15" s="166">
        <f t="shared" si="5"/>
        <v>0.52800000000000002</v>
      </c>
      <c r="CG15" s="63"/>
    </row>
    <row r="16" spans="1:85" s="7" customFormat="1" x14ac:dyDescent="0.35">
      <c r="A16" s="127"/>
      <c r="B16" s="264" t="str">
        <f>IF(Control!$D$5=1,"Inventories","Estoques")</f>
        <v>Inventories</v>
      </c>
      <c r="C16" s="76">
        <v>67.320999999999998</v>
      </c>
      <c r="D16" s="76">
        <v>371.40199999999999</v>
      </c>
      <c r="E16" s="76" t="s">
        <v>2</v>
      </c>
      <c r="F16" s="76" t="s">
        <v>2</v>
      </c>
      <c r="G16" s="76">
        <v>136.24700000000001</v>
      </c>
      <c r="H16" s="76">
        <v>340.62099999999998</v>
      </c>
      <c r="I16" s="76">
        <v>249.49799999999999</v>
      </c>
      <c r="J16" s="76">
        <v>154.71899999999999</v>
      </c>
      <c r="K16" s="76">
        <v>117.34099999999999</v>
      </c>
      <c r="L16" s="76">
        <v>342.34199999999998</v>
      </c>
      <c r="M16" s="76">
        <v>279.34100000000001</v>
      </c>
      <c r="N16" s="76">
        <v>75.147999999999996</v>
      </c>
      <c r="O16" s="76">
        <v>107.623</v>
      </c>
      <c r="P16" s="76">
        <v>458.31400000000002</v>
      </c>
      <c r="Q16" s="76">
        <v>394.96</v>
      </c>
      <c r="R16" s="76">
        <v>291.20800000000003</v>
      </c>
      <c r="S16" s="76">
        <v>239.80099999999999</v>
      </c>
      <c r="T16" s="76">
        <v>596.25099999999998</v>
      </c>
      <c r="U16" s="76">
        <v>534.03399999999999</v>
      </c>
      <c r="V16" s="76">
        <v>459.36099999999999</v>
      </c>
      <c r="W16" s="76">
        <v>326.02199999999999</v>
      </c>
      <c r="X16" s="76">
        <v>767.005</v>
      </c>
      <c r="Y16" s="76">
        <v>773.63599999999997</v>
      </c>
      <c r="Z16" s="76">
        <v>603.69000000000005</v>
      </c>
      <c r="AA16" s="76">
        <v>436.51400000000001</v>
      </c>
      <c r="AB16" s="76">
        <v>850.56299999999999</v>
      </c>
      <c r="AC16" s="76">
        <v>709.60299999999995</v>
      </c>
      <c r="AD16" s="76">
        <v>581.92499999999995</v>
      </c>
      <c r="AE16" s="76">
        <v>414.28699999999998</v>
      </c>
      <c r="AF16" s="76">
        <v>988.20500000000004</v>
      </c>
      <c r="AG16" s="76">
        <v>920.28200000000004</v>
      </c>
      <c r="AH16" s="76">
        <v>792.17899999999997</v>
      </c>
      <c r="AI16" s="76">
        <f>857.64-AI17</f>
        <v>557.904</v>
      </c>
      <c r="AJ16" s="76">
        <f>1363.44-AJ17</f>
        <v>1082.615</v>
      </c>
      <c r="AK16" s="76">
        <f>1336.695-AK17</f>
        <v>1044.261</v>
      </c>
      <c r="AL16" s="76">
        <f>1253.325-AL17</f>
        <v>928.46900000000005</v>
      </c>
      <c r="AM16" s="76">
        <v>623.70000000000005</v>
      </c>
      <c r="AN16" s="76">
        <f>1438.272-AN17</f>
        <v>1131.443</v>
      </c>
      <c r="AO16" s="76">
        <f>1232.966-AO17</f>
        <v>1017.1489999999999</v>
      </c>
      <c r="AP16" s="76">
        <v>801.72900000000004</v>
      </c>
      <c r="AQ16" s="76">
        <v>538.70000000000005</v>
      </c>
      <c r="AR16" s="76">
        <v>1089.0999999999999</v>
      </c>
      <c r="AS16" s="76">
        <v>1124.8</v>
      </c>
      <c r="AT16" s="76">
        <v>981.30000000000007</v>
      </c>
      <c r="AU16" s="76">
        <f>1120.18-AU17</f>
        <v>717.0630000000001</v>
      </c>
      <c r="AV16" s="76">
        <v>1320.7759999999998</v>
      </c>
      <c r="AW16" s="76">
        <v>1215.47</v>
      </c>
      <c r="AX16" s="76">
        <v>1003.5999999999999</v>
      </c>
      <c r="AY16" s="76">
        <v>686.69900000000007</v>
      </c>
      <c r="AZ16" s="76">
        <v>1566.2430000000002</v>
      </c>
      <c r="BA16" s="76">
        <v>1414.393</v>
      </c>
      <c r="BB16" s="76">
        <v>1383.944</v>
      </c>
      <c r="BC16" s="76">
        <v>978.93000000000006</v>
      </c>
      <c r="BD16" s="76">
        <v>1712.55</v>
      </c>
      <c r="BE16" s="76">
        <v>1419.175</v>
      </c>
      <c r="BF16" s="76">
        <v>1342.9140000000002</v>
      </c>
      <c r="BG16" s="76">
        <v>1129.3</v>
      </c>
      <c r="BH16" s="76">
        <v>1839.261</v>
      </c>
      <c r="BI16" s="190"/>
      <c r="BJ16" s="76">
        <v>67.320999999999998</v>
      </c>
      <c r="BK16" s="76">
        <v>136.24700000000001</v>
      </c>
      <c r="BL16" s="76">
        <v>117.34099999999999</v>
      </c>
      <c r="BM16" s="76">
        <v>107.623</v>
      </c>
      <c r="BN16" s="76">
        <v>239.80099999999999</v>
      </c>
      <c r="BO16" s="76">
        <v>326.02199999999999</v>
      </c>
      <c r="BP16" s="76">
        <v>436.51400000000001</v>
      </c>
      <c r="BQ16" s="76">
        <v>414.28699999999998</v>
      </c>
      <c r="BR16" s="76">
        <f>857.64-BR17</f>
        <v>557.904</v>
      </c>
      <c r="BS16" s="76">
        <v>623.70000000000005</v>
      </c>
      <c r="BT16" s="76">
        <f t="shared" si="11"/>
        <v>538.70000000000005</v>
      </c>
      <c r="BU16" s="76">
        <f t="shared" si="12"/>
        <v>717.0630000000001</v>
      </c>
      <c r="BV16" s="76">
        <f t="shared" si="3"/>
        <v>686.69900000000007</v>
      </c>
      <c r="BW16" s="76">
        <f t="shared" si="4"/>
        <v>978.93000000000006</v>
      </c>
      <c r="BX16" s="76">
        <f t="shared" si="5"/>
        <v>1129.3</v>
      </c>
      <c r="BY16" s="249"/>
      <c r="BZ16" s="249"/>
      <c r="CA16" s="249"/>
      <c r="CB16" s="249"/>
      <c r="CC16" s="249"/>
      <c r="CD16" s="249"/>
      <c r="CE16" s="249"/>
      <c r="CF16" s="249"/>
      <c r="CG16" s="268"/>
    </row>
    <row r="17" spans="1:85" s="7" customFormat="1" x14ac:dyDescent="0.35">
      <c r="A17" s="80"/>
      <c r="B17" s="264" t="str">
        <f>IF(Control!$D$5=1,"Payments in Advance","Adiantamentos a Produtores")</f>
        <v>Payments in Advance</v>
      </c>
      <c r="C17" s="76">
        <v>50.676000000000002</v>
      </c>
      <c r="D17" s="76">
        <v>78.519000000000005</v>
      </c>
      <c r="E17" s="76" t="s">
        <v>2</v>
      </c>
      <c r="F17" s="76" t="s">
        <v>2</v>
      </c>
      <c r="G17" s="76">
        <v>78.738</v>
      </c>
      <c r="H17" s="76">
        <v>38.356000000000002</v>
      </c>
      <c r="I17" s="76">
        <v>43.591999999999999</v>
      </c>
      <c r="J17" s="76">
        <v>59.664999999999999</v>
      </c>
      <c r="K17" s="76">
        <v>82.766000000000005</v>
      </c>
      <c r="L17" s="76">
        <v>78.652000000000001</v>
      </c>
      <c r="M17" s="76">
        <v>70.262</v>
      </c>
      <c r="N17" s="76">
        <v>38.113</v>
      </c>
      <c r="O17" s="76">
        <v>96.665000000000006</v>
      </c>
      <c r="P17" s="76">
        <v>75.076999999999998</v>
      </c>
      <c r="Q17" s="76">
        <v>40.814</v>
      </c>
      <c r="R17" s="76">
        <v>74.945999999999998</v>
      </c>
      <c r="S17" s="76">
        <v>123.878</v>
      </c>
      <c r="T17" s="76">
        <v>119.535</v>
      </c>
      <c r="U17" s="76">
        <v>79.938999999999993</v>
      </c>
      <c r="V17" s="76">
        <v>109.60899999999999</v>
      </c>
      <c r="W17" s="76">
        <v>134.113</v>
      </c>
      <c r="X17" s="76">
        <v>127.37</v>
      </c>
      <c r="Y17" s="76">
        <v>98.766999999999996</v>
      </c>
      <c r="Z17" s="76">
        <v>189.518</v>
      </c>
      <c r="AA17" s="76">
        <v>191.4</v>
      </c>
      <c r="AB17" s="76">
        <v>176.89099999999999</v>
      </c>
      <c r="AC17" s="76">
        <v>129.89500000000001</v>
      </c>
      <c r="AD17" s="76">
        <v>221.84700000000001</v>
      </c>
      <c r="AE17" s="76">
        <v>230.68799999999999</v>
      </c>
      <c r="AF17" s="76">
        <v>200.05600000000001</v>
      </c>
      <c r="AG17" s="76">
        <v>160.83799999999999</v>
      </c>
      <c r="AH17" s="76">
        <v>304.42899999999997</v>
      </c>
      <c r="AI17" s="76">
        <v>299.73599999999999</v>
      </c>
      <c r="AJ17" s="76">
        <v>280.82499999999999</v>
      </c>
      <c r="AK17" s="76">
        <v>292.43400000000003</v>
      </c>
      <c r="AL17" s="76">
        <v>324.85599999999999</v>
      </c>
      <c r="AM17" s="76">
        <v>330.1</v>
      </c>
      <c r="AN17" s="76">
        <v>306.82900000000001</v>
      </c>
      <c r="AO17" s="76">
        <v>215.81700000000001</v>
      </c>
      <c r="AP17" s="76">
        <f>283405/1000</f>
        <v>283.40499999999997</v>
      </c>
      <c r="AQ17" s="76">
        <v>316.60000000000002</v>
      </c>
      <c r="AR17" s="76">
        <v>320.39999999999998</v>
      </c>
      <c r="AS17" s="76">
        <v>264.60000000000002</v>
      </c>
      <c r="AT17" s="76">
        <v>336.79999999999995</v>
      </c>
      <c r="AU17" s="76">
        <f>393.285+9.832</f>
        <v>403.11700000000002</v>
      </c>
      <c r="AV17" s="76">
        <v>358.26300000000003</v>
      </c>
      <c r="AW17" s="76">
        <f>321.003</f>
        <v>321.00299999999999</v>
      </c>
      <c r="AX17" s="76">
        <f>435.584</f>
        <v>435.584</v>
      </c>
      <c r="AY17" s="76">
        <v>466.10500000000002</v>
      </c>
      <c r="AZ17" s="76">
        <v>514.63499999999999</v>
      </c>
      <c r="BA17" s="76">
        <v>446.44200000000001</v>
      </c>
      <c r="BB17" s="76">
        <v>495.04300000000001</v>
      </c>
      <c r="BC17" s="76">
        <v>477.84999999999997</v>
      </c>
      <c r="BD17" s="76">
        <v>411.512</v>
      </c>
      <c r="BE17" s="76">
        <v>287.46100000000001</v>
      </c>
      <c r="BF17" s="76">
        <v>391.13</v>
      </c>
      <c r="BG17" s="76">
        <v>517.39699999999993</v>
      </c>
      <c r="BH17" s="76">
        <v>496.38000000000005</v>
      </c>
      <c r="BI17" s="190"/>
      <c r="BJ17" s="76">
        <v>50.676000000000002</v>
      </c>
      <c r="BK17" s="76">
        <v>78.738</v>
      </c>
      <c r="BL17" s="76">
        <v>82.766000000000005</v>
      </c>
      <c r="BM17" s="76">
        <v>96.665000000000006</v>
      </c>
      <c r="BN17" s="76">
        <v>123.878</v>
      </c>
      <c r="BO17" s="76">
        <v>134.113</v>
      </c>
      <c r="BP17" s="76">
        <v>191.4</v>
      </c>
      <c r="BQ17" s="76">
        <v>230.68799999999999</v>
      </c>
      <c r="BR17" s="76">
        <v>299.73599999999999</v>
      </c>
      <c r="BS17" s="76">
        <v>330.1</v>
      </c>
      <c r="BT17" s="76">
        <f t="shared" si="11"/>
        <v>316.60000000000002</v>
      </c>
      <c r="BU17" s="76">
        <f t="shared" si="12"/>
        <v>403.11700000000002</v>
      </c>
      <c r="BV17" s="76">
        <f t="shared" si="3"/>
        <v>466.10500000000002</v>
      </c>
      <c r="BW17" s="76">
        <f t="shared" si="4"/>
        <v>477.84999999999997</v>
      </c>
      <c r="BX17" s="76">
        <f t="shared" si="5"/>
        <v>517.39699999999993</v>
      </c>
      <c r="BY17" s="249"/>
      <c r="BZ17" s="249"/>
      <c r="CA17" s="249"/>
      <c r="CB17" s="249"/>
      <c r="CC17" s="249"/>
      <c r="CD17" s="249"/>
      <c r="CE17" s="249"/>
      <c r="CF17" s="249"/>
      <c r="CG17" s="268"/>
    </row>
    <row r="18" spans="1:85" s="7" customFormat="1" x14ac:dyDescent="0.35">
      <c r="A18" s="80"/>
      <c r="B18" s="264" t="str">
        <f>IF(Control!$D$5=1,"Payments in Advance","Adiantamentos a Fornecedores")</f>
        <v>Payments in Advance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>
        <v>9.8320000000000007</v>
      </c>
      <c r="AV18" s="76">
        <v>13.058999999999999</v>
      </c>
      <c r="AW18" s="76">
        <v>8.3719999999999999</v>
      </c>
      <c r="AX18" s="76">
        <v>6.0650000000000004</v>
      </c>
      <c r="AY18" s="76">
        <v>7.0839999999999996</v>
      </c>
      <c r="AZ18" s="76">
        <v>13.217000000000001</v>
      </c>
      <c r="BA18" s="76">
        <v>8.3439999999999994</v>
      </c>
      <c r="BB18" s="76">
        <v>4.5449999999999999</v>
      </c>
      <c r="BC18" s="76">
        <v>4.899</v>
      </c>
      <c r="BD18" s="76">
        <v>4.6920000000000002</v>
      </c>
      <c r="BE18" s="76">
        <v>2.6389999999999998</v>
      </c>
      <c r="BF18" s="76">
        <v>13.622999999999999</v>
      </c>
      <c r="BG18" s="76">
        <v>24.484999999999999</v>
      </c>
      <c r="BH18" s="76">
        <v>29.638000000000002</v>
      </c>
      <c r="BI18" s="190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>
        <f t="shared" si="11"/>
        <v>0</v>
      </c>
      <c r="BU18" s="76">
        <f t="shared" si="12"/>
        <v>9.8320000000000007</v>
      </c>
      <c r="BV18" s="76">
        <f t="shared" si="3"/>
        <v>7.0839999999999996</v>
      </c>
      <c r="BW18" s="76">
        <f t="shared" si="4"/>
        <v>4.899</v>
      </c>
      <c r="BX18" s="76">
        <f t="shared" si="5"/>
        <v>24.484999999999999</v>
      </c>
      <c r="BY18" s="249"/>
      <c r="BZ18" s="249"/>
      <c r="CA18" s="249"/>
      <c r="CB18" s="249"/>
      <c r="CC18" s="249"/>
      <c r="CD18" s="249"/>
      <c r="CE18" s="249"/>
      <c r="CF18" s="249"/>
      <c r="CG18" s="268"/>
    </row>
    <row r="19" spans="1:85" x14ac:dyDescent="0.35">
      <c r="A19" s="125"/>
      <c r="B19" s="51" t="str">
        <f>IF(Control!$D$5=1,"Recoverable Taxes","Impostos a Recuperar")</f>
        <v>Recoverable Taxes</v>
      </c>
      <c r="C19" s="166">
        <v>29.192</v>
      </c>
      <c r="D19" s="166">
        <v>27.175999999999998</v>
      </c>
      <c r="E19" s="76" t="s">
        <v>2</v>
      </c>
      <c r="F19" s="76" t="s">
        <v>2</v>
      </c>
      <c r="G19" s="166">
        <v>34.107999999999997</v>
      </c>
      <c r="H19" s="166">
        <v>33.606999999999999</v>
      </c>
      <c r="I19" s="166">
        <v>28.515000000000001</v>
      </c>
      <c r="J19" s="166">
        <v>30.446999999999999</v>
      </c>
      <c r="K19" s="166">
        <v>39.801000000000002</v>
      </c>
      <c r="L19" s="166">
        <v>38.911000000000001</v>
      </c>
      <c r="M19" s="166">
        <v>38.692</v>
      </c>
      <c r="N19" s="166">
        <v>3.3279999999999998</v>
      </c>
      <c r="O19" s="166">
        <v>38.731999999999999</v>
      </c>
      <c r="P19" s="166">
        <v>60.143000000000001</v>
      </c>
      <c r="Q19" s="166">
        <v>60.51</v>
      </c>
      <c r="R19" s="166">
        <v>66.578999999999994</v>
      </c>
      <c r="S19" s="166">
        <v>72.096999999999994</v>
      </c>
      <c r="T19" s="166">
        <v>73.225999999999999</v>
      </c>
      <c r="U19" s="166">
        <v>78.340999999999994</v>
      </c>
      <c r="V19" s="166">
        <v>87.606999999999999</v>
      </c>
      <c r="W19" s="166">
        <v>92.004999999999995</v>
      </c>
      <c r="X19" s="166">
        <v>84.406000000000006</v>
      </c>
      <c r="Y19" s="166">
        <v>104.663</v>
      </c>
      <c r="Z19" s="166">
        <v>129.745</v>
      </c>
      <c r="AA19" s="166">
        <v>91.75</v>
      </c>
      <c r="AB19" s="166">
        <v>104.565</v>
      </c>
      <c r="AC19" s="166">
        <v>120.94499999999999</v>
      </c>
      <c r="AD19" s="166">
        <v>133.417</v>
      </c>
      <c r="AE19" s="166">
        <v>122.79300000000001</v>
      </c>
      <c r="AF19" s="166">
        <v>131.13399999999999</v>
      </c>
      <c r="AG19" s="166">
        <v>134.81100000000001</v>
      </c>
      <c r="AH19" s="166">
        <v>133.15799999999999</v>
      </c>
      <c r="AI19" s="166">
        <v>117.705</v>
      </c>
      <c r="AJ19" s="166">
        <v>115.498</v>
      </c>
      <c r="AK19" s="166">
        <v>108.346</v>
      </c>
      <c r="AL19" s="166">
        <v>87.861999999999995</v>
      </c>
      <c r="AM19" s="166">
        <v>75.7</v>
      </c>
      <c r="AN19" s="166">
        <v>73.884</v>
      </c>
      <c r="AO19" s="166">
        <v>60.283000000000001</v>
      </c>
      <c r="AP19" s="166">
        <v>60.069000000000003</v>
      </c>
      <c r="AQ19" s="166">
        <v>67.2</v>
      </c>
      <c r="AR19" s="166">
        <v>84</v>
      </c>
      <c r="AS19" s="166">
        <v>64.3</v>
      </c>
      <c r="AT19" s="166">
        <v>238.7</v>
      </c>
      <c r="AU19" s="166">
        <v>142.02500000000001</v>
      </c>
      <c r="AV19" s="166">
        <v>134.19999999999999</v>
      </c>
      <c r="AW19" s="166">
        <v>134.19999999999999</v>
      </c>
      <c r="AX19" s="166">
        <v>130.56200000000001</v>
      </c>
      <c r="AY19" s="166">
        <v>119.443</v>
      </c>
      <c r="AZ19" s="166">
        <v>162.26</v>
      </c>
      <c r="BA19" s="166">
        <v>152.709</v>
      </c>
      <c r="BB19" s="166">
        <v>144.69</v>
      </c>
      <c r="BC19" s="166">
        <v>145.63300000000001</v>
      </c>
      <c r="BD19" s="166">
        <v>146.881</v>
      </c>
      <c r="BE19" s="166">
        <v>129.684</v>
      </c>
      <c r="BF19" s="166">
        <v>135.30699999999999</v>
      </c>
      <c r="BG19" s="166">
        <v>195.02</v>
      </c>
      <c r="BH19" s="166">
        <v>214.85599999999999</v>
      </c>
      <c r="BI19" s="73"/>
      <c r="BJ19" s="166">
        <v>29.192</v>
      </c>
      <c r="BK19" s="166">
        <v>34.107999999999997</v>
      </c>
      <c r="BL19" s="166">
        <v>39.801000000000002</v>
      </c>
      <c r="BM19" s="166">
        <v>38.731999999999999</v>
      </c>
      <c r="BN19" s="166">
        <v>72.096999999999994</v>
      </c>
      <c r="BO19" s="166">
        <v>92.004999999999995</v>
      </c>
      <c r="BP19" s="166">
        <v>91.75</v>
      </c>
      <c r="BQ19" s="166">
        <v>122.79300000000001</v>
      </c>
      <c r="BR19" s="166">
        <v>117.705</v>
      </c>
      <c r="BS19" s="166">
        <v>75.7</v>
      </c>
      <c r="BT19" s="166">
        <f t="shared" si="11"/>
        <v>67.2</v>
      </c>
      <c r="BU19" s="166">
        <f t="shared" si="12"/>
        <v>142.02500000000001</v>
      </c>
      <c r="BV19" s="166">
        <f t="shared" si="3"/>
        <v>119.443</v>
      </c>
      <c r="BW19" s="166">
        <f t="shared" si="4"/>
        <v>145.63300000000001</v>
      </c>
      <c r="BX19" s="166">
        <f t="shared" si="5"/>
        <v>195.02</v>
      </c>
      <c r="CG19" s="63"/>
    </row>
    <row r="20" spans="1:85" x14ac:dyDescent="0.35">
      <c r="A20" s="125"/>
      <c r="B20" s="51" t="str">
        <f>IF(Control!$D$5=1,"Related Party","Partes Relacionadas")</f>
        <v>Related Party</v>
      </c>
      <c r="C20" s="166">
        <v>0</v>
      </c>
      <c r="D20" s="166">
        <v>0</v>
      </c>
      <c r="E20" s="76" t="s">
        <v>2</v>
      </c>
      <c r="F20" s="76" t="s">
        <v>2</v>
      </c>
      <c r="G20" s="166">
        <v>0</v>
      </c>
      <c r="H20" s="166">
        <v>0</v>
      </c>
      <c r="I20" s="166">
        <v>11.574</v>
      </c>
      <c r="J20" s="166">
        <v>0</v>
      </c>
      <c r="K20" s="166">
        <v>0</v>
      </c>
      <c r="L20" s="166">
        <v>0</v>
      </c>
      <c r="M20" s="166">
        <v>0</v>
      </c>
      <c r="N20" s="166">
        <v>4.7169999999999996</v>
      </c>
      <c r="O20" s="166">
        <v>5.4909999999999997</v>
      </c>
      <c r="P20" s="166">
        <v>6.0979999999999999</v>
      </c>
      <c r="Q20" s="166">
        <v>4.9859999999999998</v>
      </c>
      <c r="R20" s="166">
        <v>6.0910000000000002</v>
      </c>
      <c r="S20" s="166">
        <v>6.5529999999999999</v>
      </c>
      <c r="T20" s="166">
        <v>9.6709999999999994</v>
      </c>
      <c r="U20" s="166">
        <v>7.6689999999999996</v>
      </c>
      <c r="V20" s="166">
        <v>8.5220000000000002</v>
      </c>
      <c r="W20" s="166">
        <v>9.6199999999999992</v>
      </c>
      <c r="X20" s="166">
        <v>10.837999999999999</v>
      </c>
      <c r="Y20" s="166">
        <v>10.888</v>
      </c>
      <c r="Z20" s="166">
        <v>10.19</v>
      </c>
      <c r="AA20" s="166">
        <v>10.467000000000001</v>
      </c>
      <c r="AB20" s="166">
        <v>11.175000000000001</v>
      </c>
      <c r="AC20" s="166">
        <v>10.91</v>
      </c>
      <c r="AD20" s="166">
        <v>10.938000000000001</v>
      </c>
      <c r="AE20" s="166">
        <v>13.362</v>
      </c>
      <c r="AF20" s="166">
        <v>16.945</v>
      </c>
      <c r="AG20" s="166">
        <v>16.065999999999999</v>
      </c>
      <c r="AH20" s="166">
        <v>18.805</v>
      </c>
      <c r="AI20" s="166">
        <v>23.555</v>
      </c>
      <c r="AJ20" s="166">
        <v>22.582999999999998</v>
      </c>
      <c r="AK20" s="166">
        <v>13.007</v>
      </c>
      <c r="AL20" s="166">
        <v>7.9550000000000001</v>
      </c>
      <c r="AM20" s="166">
        <v>10.199999999999999</v>
      </c>
      <c r="AN20" s="166">
        <v>17.111000000000001</v>
      </c>
      <c r="AO20" s="166">
        <v>11.478999999999999</v>
      </c>
      <c r="AP20" s="166">
        <v>14.458</v>
      </c>
      <c r="AQ20" s="166">
        <v>16.899999999999999</v>
      </c>
      <c r="AR20" s="166">
        <v>21.8</v>
      </c>
      <c r="AS20" s="166">
        <v>22.8</v>
      </c>
      <c r="AT20" s="166">
        <v>23.5</v>
      </c>
      <c r="AU20" s="166">
        <v>24.248999999999999</v>
      </c>
      <c r="AV20" s="166">
        <v>27.5</v>
      </c>
      <c r="AW20" s="166">
        <v>29.324000000000002</v>
      </c>
      <c r="AX20" s="166">
        <v>39.337000000000003</v>
      </c>
      <c r="AY20" s="166">
        <v>43.776000000000003</v>
      </c>
      <c r="AZ20" s="166">
        <v>61.301000000000002</v>
      </c>
      <c r="BA20" s="166">
        <v>39.581000000000003</v>
      </c>
      <c r="BB20" s="166">
        <v>39.375</v>
      </c>
      <c r="BC20" s="166">
        <v>43.411000000000001</v>
      </c>
      <c r="BD20" s="166">
        <v>41.677999999999997</v>
      </c>
      <c r="BE20" s="166">
        <v>40.735999999999997</v>
      </c>
      <c r="BF20" s="166">
        <v>43.671999999999997</v>
      </c>
      <c r="BG20" s="166">
        <v>12.420999999999999</v>
      </c>
      <c r="BH20" s="166">
        <v>11.968</v>
      </c>
      <c r="BI20" s="73"/>
      <c r="BJ20" s="166">
        <v>0</v>
      </c>
      <c r="BK20" s="166">
        <v>0</v>
      </c>
      <c r="BL20" s="166">
        <v>0</v>
      </c>
      <c r="BM20" s="166">
        <v>5.4909999999999997</v>
      </c>
      <c r="BN20" s="166">
        <v>6.5529999999999999</v>
      </c>
      <c r="BO20" s="166">
        <v>9.6199999999999992</v>
      </c>
      <c r="BP20" s="166">
        <v>10.467000000000001</v>
      </c>
      <c r="BQ20" s="166">
        <v>13.362</v>
      </c>
      <c r="BR20" s="166">
        <v>23.555</v>
      </c>
      <c r="BS20" s="166">
        <v>10.199999999999999</v>
      </c>
      <c r="BT20" s="166">
        <f t="shared" si="11"/>
        <v>16.899999999999999</v>
      </c>
      <c r="BU20" s="166">
        <f t="shared" si="12"/>
        <v>24.248999999999999</v>
      </c>
      <c r="BV20" s="166">
        <f t="shared" si="3"/>
        <v>43.776000000000003</v>
      </c>
      <c r="BW20" s="166">
        <f t="shared" si="4"/>
        <v>43.411000000000001</v>
      </c>
      <c r="BX20" s="166">
        <f t="shared" si="5"/>
        <v>12.420999999999999</v>
      </c>
      <c r="CG20" s="63"/>
    </row>
    <row r="21" spans="1:85" x14ac:dyDescent="0.35">
      <c r="A21" s="125"/>
      <c r="B21" s="51" t="str">
        <f>IF(Control!$D$5=1,"Advance IOE Payment","Adiantamento de JCP")</f>
        <v>Advance IOE Payment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66">
        <v>0</v>
      </c>
      <c r="AK21" s="166">
        <v>0</v>
      </c>
      <c r="AL21" s="166">
        <v>0</v>
      </c>
      <c r="AM21" s="166">
        <v>0</v>
      </c>
      <c r="AN21" s="166">
        <v>0</v>
      </c>
      <c r="AO21" s="166">
        <v>0</v>
      </c>
      <c r="AP21" s="166">
        <v>0</v>
      </c>
      <c r="AQ21" s="166">
        <v>0</v>
      </c>
      <c r="AR21" s="166">
        <v>0</v>
      </c>
      <c r="AS21" s="166">
        <v>0</v>
      </c>
      <c r="AT21" s="166">
        <v>0</v>
      </c>
      <c r="AU21" s="166">
        <v>0</v>
      </c>
      <c r="AV21" s="166">
        <v>0</v>
      </c>
      <c r="AW21" s="166">
        <v>15</v>
      </c>
      <c r="AX21" s="166">
        <v>5.7279999999999998</v>
      </c>
      <c r="AY21" s="166">
        <v>6.8559999999999999</v>
      </c>
      <c r="AZ21" s="166">
        <v>11.972</v>
      </c>
      <c r="BA21" s="166">
        <v>0</v>
      </c>
      <c r="BB21" s="166">
        <v>0</v>
      </c>
      <c r="BC21" s="166">
        <v>0</v>
      </c>
      <c r="BD21" s="166">
        <v>0</v>
      </c>
      <c r="BE21" s="166">
        <v>0</v>
      </c>
      <c r="BF21" s="166">
        <v>0</v>
      </c>
      <c r="BG21" s="166">
        <v>0</v>
      </c>
      <c r="BH21" s="166">
        <v>0</v>
      </c>
      <c r="BI21" s="73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>
        <f t="shared" si="11"/>
        <v>0</v>
      </c>
      <c r="BU21" s="166">
        <f t="shared" si="12"/>
        <v>0</v>
      </c>
      <c r="BV21" s="166">
        <f t="shared" si="3"/>
        <v>6.8559999999999999</v>
      </c>
      <c r="BW21" s="166">
        <f t="shared" si="4"/>
        <v>0</v>
      </c>
      <c r="BX21" s="166">
        <f t="shared" si="5"/>
        <v>0</v>
      </c>
      <c r="CG21" s="63"/>
    </row>
    <row r="22" spans="1:85" x14ac:dyDescent="0.35">
      <c r="A22" s="125"/>
      <c r="B22" s="51" t="str">
        <f>IF(Control!$D$5=1,"Expenses in advance","Despesas Antecipadas")</f>
        <v>Expenses in advance</v>
      </c>
      <c r="C22" s="166">
        <v>1.2929999999999999</v>
      </c>
      <c r="D22" s="166">
        <v>0.95099999999999996</v>
      </c>
      <c r="E22" s="76" t="s">
        <v>2</v>
      </c>
      <c r="F22" s="76" t="s">
        <v>2</v>
      </c>
      <c r="G22" s="166">
        <v>1.6519999999999999</v>
      </c>
      <c r="H22" s="166">
        <v>1.6</v>
      </c>
      <c r="I22" s="166">
        <v>1.7969999999999999</v>
      </c>
      <c r="J22" s="166">
        <v>0.39400000000000002</v>
      </c>
      <c r="K22" s="166">
        <v>2.1629999999999998</v>
      </c>
      <c r="L22" s="166">
        <v>1.6180000000000001</v>
      </c>
      <c r="M22" s="166">
        <v>1.4410000000000001</v>
      </c>
      <c r="N22" s="166">
        <v>0.69</v>
      </c>
      <c r="O22" s="166">
        <v>2.6070000000000002</v>
      </c>
      <c r="P22" s="166">
        <v>1.82</v>
      </c>
      <c r="Q22" s="166">
        <v>1.5640000000000001</v>
      </c>
      <c r="R22" s="166">
        <v>0.68600000000000005</v>
      </c>
      <c r="S22" s="166">
        <v>3.3570000000000002</v>
      </c>
      <c r="T22" s="166">
        <v>3.0750000000000002</v>
      </c>
      <c r="U22" s="166">
        <v>2.8029999999999999</v>
      </c>
      <c r="V22" s="166">
        <v>1.0680000000000001</v>
      </c>
      <c r="W22" s="166">
        <v>4.2560000000000002</v>
      </c>
      <c r="X22" s="166">
        <v>2.7389999999999999</v>
      </c>
      <c r="Y22" s="166">
        <v>2.4420000000000002</v>
      </c>
      <c r="Z22" s="166">
        <v>0.96899999999999997</v>
      </c>
      <c r="AA22" s="166">
        <v>5.4329999999999998</v>
      </c>
      <c r="AB22" s="166">
        <v>3.2040000000000002</v>
      </c>
      <c r="AC22" s="166">
        <v>3.113</v>
      </c>
      <c r="AD22" s="166">
        <v>1.7490000000000001</v>
      </c>
      <c r="AE22" s="166">
        <v>9.2880000000000003</v>
      </c>
      <c r="AF22" s="166">
        <v>6.9390000000000001</v>
      </c>
      <c r="AG22" s="166">
        <v>7.891</v>
      </c>
      <c r="AH22" s="166">
        <v>5.673</v>
      </c>
      <c r="AI22" s="166">
        <v>9.1519999999999992</v>
      </c>
      <c r="AJ22" s="166">
        <v>7.1260000000000003</v>
      </c>
      <c r="AK22" s="166">
        <v>7.3949999999999996</v>
      </c>
      <c r="AL22" s="166">
        <v>4.0069999999999997</v>
      </c>
      <c r="AM22" s="166">
        <v>11.299999999999999</v>
      </c>
      <c r="AN22" s="166">
        <v>10.178000000000001</v>
      </c>
      <c r="AO22" s="166">
        <v>10.179</v>
      </c>
      <c r="AP22" s="166">
        <v>4.8689999999999998</v>
      </c>
      <c r="AQ22" s="166">
        <v>12</v>
      </c>
      <c r="AR22" s="166">
        <v>55.7</v>
      </c>
      <c r="AS22" s="166">
        <v>9.4</v>
      </c>
      <c r="AT22" s="166">
        <v>9.4</v>
      </c>
      <c r="AU22" s="166">
        <v>18.521000000000001</v>
      </c>
      <c r="AV22" s="166">
        <v>11.9</v>
      </c>
      <c r="AW22" s="166">
        <v>10.207000000000001</v>
      </c>
      <c r="AX22" s="166">
        <v>8.1890000000000001</v>
      </c>
      <c r="AY22" s="166">
        <v>15.298</v>
      </c>
      <c r="AZ22" s="166">
        <v>14.538</v>
      </c>
      <c r="BA22" s="166">
        <v>8.9109999999999996</v>
      </c>
      <c r="BB22" s="166">
        <v>5.7309999999999999</v>
      </c>
      <c r="BC22" s="166">
        <v>16.716000000000001</v>
      </c>
      <c r="BD22" s="166">
        <v>17.789000000000001</v>
      </c>
      <c r="BE22" s="166">
        <v>13.146000000000001</v>
      </c>
      <c r="BF22" s="166">
        <v>12.265000000000001</v>
      </c>
      <c r="BG22" s="166">
        <v>12.7</v>
      </c>
      <c r="BH22" s="166">
        <v>13.67</v>
      </c>
      <c r="BI22" s="73"/>
      <c r="BJ22" s="166">
        <v>1.2929999999999999</v>
      </c>
      <c r="BK22" s="166">
        <v>1.6519999999999999</v>
      </c>
      <c r="BL22" s="166">
        <v>2.1629999999999998</v>
      </c>
      <c r="BM22" s="166">
        <v>2.6070000000000002</v>
      </c>
      <c r="BN22" s="166">
        <v>3.3570000000000002</v>
      </c>
      <c r="BO22" s="166">
        <v>4.2560000000000002</v>
      </c>
      <c r="BP22" s="166">
        <v>5.4329999999999998</v>
      </c>
      <c r="BQ22" s="166">
        <v>9.2880000000000003</v>
      </c>
      <c r="BR22" s="166">
        <v>9.1519999999999992</v>
      </c>
      <c r="BS22" s="166">
        <v>11.299999999999999</v>
      </c>
      <c r="BT22" s="166">
        <f t="shared" si="11"/>
        <v>12</v>
      </c>
      <c r="BU22" s="166">
        <f t="shared" si="12"/>
        <v>18.521000000000001</v>
      </c>
      <c r="BV22" s="166">
        <f t="shared" si="3"/>
        <v>15.298</v>
      </c>
      <c r="BW22" s="166">
        <f t="shared" si="4"/>
        <v>16.716000000000001</v>
      </c>
      <c r="BX22" s="166">
        <f t="shared" si="5"/>
        <v>12.7</v>
      </c>
      <c r="CG22" s="63"/>
    </row>
    <row r="23" spans="1:85" x14ac:dyDescent="0.35">
      <c r="A23" s="127"/>
      <c r="B23" s="51" t="str">
        <f>IF(Control!$D$5=1,"Other Current Assets","Outros Ativos Circulantes")</f>
        <v>Other Current Assets</v>
      </c>
      <c r="C23" s="166">
        <f>10.087+5.444</f>
        <v>15.530999999999999</v>
      </c>
      <c r="D23" s="166">
        <f>10.761+3.795</f>
        <v>14.555999999999999</v>
      </c>
      <c r="E23" s="76" t="s">
        <v>2</v>
      </c>
      <c r="F23" s="76" t="s">
        <v>2</v>
      </c>
      <c r="G23" s="166">
        <f>17.814+2.85</f>
        <v>20.664000000000001</v>
      </c>
      <c r="H23" s="167">
        <f>13.974+3.293</f>
        <v>17.266999999999999</v>
      </c>
      <c r="I23" s="166">
        <v>2.9820000000000002</v>
      </c>
      <c r="J23" s="166">
        <f>10.306+3.18</f>
        <v>13.485999999999999</v>
      </c>
      <c r="K23" s="166">
        <f>14.369+2.705</f>
        <v>17.073999999999998</v>
      </c>
      <c r="L23" s="166">
        <v>19.323</v>
      </c>
      <c r="M23" s="166">
        <v>17.251999999999999</v>
      </c>
      <c r="N23" s="166">
        <v>22.658999999999999</v>
      </c>
      <c r="O23" s="166">
        <v>22.433</v>
      </c>
      <c r="P23" s="166">
        <v>25.318000000000001</v>
      </c>
      <c r="Q23" s="166">
        <v>33.052</v>
      </c>
      <c r="R23" s="166">
        <v>31.067</v>
      </c>
      <c r="S23" s="166">
        <v>30.780999999999999</v>
      </c>
      <c r="T23" s="166">
        <v>30.908000000000001</v>
      </c>
      <c r="U23" s="166">
        <v>26.85</v>
      </c>
      <c r="V23" s="166">
        <v>26.134</v>
      </c>
      <c r="W23" s="166">
        <v>22.321999999999999</v>
      </c>
      <c r="X23" s="166">
        <v>30.152999999999999</v>
      </c>
      <c r="Y23" s="166">
        <v>32.808</v>
      </c>
      <c r="Z23" s="166">
        <v>27.39</v>
      </c>
      <c r="AA23" s="166">
        <v>30.050999999999998</v>
      </c>
      <c r="AB23" s="166">
        <v>33.603000000000002</v>
      </c>
      <c r="AC23" s="166">
        <v>38.039000000000001</v>
      </c>
      <c r="AD23" s="166">
        <v>40.159999999999997</v>
      </c>
      <c r="AE23" s="166">
        <v>33.15</v>
      </c>
      <c r="AF23" s="166">
        <v>47.722000000000001</v>
      </c>
      <c r="AG23" s="166">
        <v>41.313000000000002</v>
      </c>
      <c r="AH23" s="166">
        <v>55.857999999999997</v>
      </c>
      <c r="AI23" s="166">
        <v>75.671000000000006</v>
      </c>
      <c r="AJ23" s="166">
        <v>66.935000000000002</v>
      </c>
      <c r="AK23" s="166">
        <v>27.486999999999998</v>
      </c>
      <c r="AL23" s="166">
        <v>50.6</v>
      </c>
      <c r="AM23" s="166">
        <v>41.1</v>
      </c>
      <c r="AN23" s="166">
        <v>56.563000000000002</v>
      </c>
      <c r="AO23" s="166">
        <v>49.819000000000003</v>
      </c>
      <c r="AP23" s="166">
        <v>47.222999999999999</v>
      </c>
      <c r="AQ23" s="166">
        <v>47.5</v>
      </c>
      <c r="AR23" s="166">
        <v>11.5</v>
      </c>
      <c r="AS23" s="166">
        <v>55.3</v>
      </c>
      <c r="AT23" s="166">
        <v>39.9</v>
      </c>
      <c r="AU23" s="166">
        <v>81.176999999999992</v>
      </c>
      <c r="AV23" s="166">
        <v>107.64100000000001</v>
      </c>
      <c r="AW23" s="166">
        <v>74.03</v>
      </c>
      <c r="AX23" s="166">
        <v>69.5</v>
      </c>
      <c r="AY23" s="166">
        <v>59.006999999999998</v>
      </c>
      <c r="AZ23" s="166">
        <v>63.605999999999995</v>
      </c>
      <c r="BA23" s="166">
        <v>62.084999999999994</v>
      </c>
      <c r="BB23" s="166">
        <v>74.74199999999999</v>
      </c>
      <c r="BC23" s="166">
        <f>38.3+37.1</f>
        <v>75.400000000000006</v>
      </c>
      <c r="BD23" s="166">
        <v>77.287000000000006</v>
      </c>
      <c r="BE23" s="166">
        <v>92.402000000000001</v>
      </c>
      <c r="BF23" s="166">
        <v>92.567999999999998</v>
      </c>
      <c r="BG23" s="166">
        <f>46.6+48.2</f>
        <v>94.800000000000011</v>
      </c>
      <c r="BH23" s="166">
        <f>43+46.6</f>
        <v>89.6</v>
      </c>
      <c r="BI23" s="73"/>
      <c r="BJ23" s="166">
        <f>10.087+5.444</f>
        <v>15.530999999999999</v>
      </c>
      <c r="BK23" s="166">
        <f>17.814+2.85</f>
        <v>20.664000000000001</v>
      </c>
      <c r="BL23" s="166">
        <f>14.369+2.705</f>
        <v>17.073999999999998</v>
      </c>
      <c r="BM23" s="166">
        <v>22.433</v>
      </c>
      <c r="BN23" s="166">
        <v>30.780999999999999</v>
      </c>
      <c r="BO23" s="166">
        <v>22.321999999999999</v>
      </c>
      <c r="BP23" s="166">
        <v>30.050999999999998</v>
      </c>
      <c r="BQ23" s="166">
        <v>33.15</v>
      </c>
      <c r="BR23" s="166">
        <v>75.671000000000006</v>
      </c>
      <c r="BS23" s="166">
        <v>41.1</v>
      </c>
      <c r="BT23" s="166">
        <f t="shared" si="11"/>
        <v>47.5</v>
      </c>
      <c r="BU23" s="166">
        <f t="shared" si="12"/>
        <v>81.176999999999992</v>
      </c>
      <c r="BV23" s="166">
        <f t="shared" si="3"/>
        <v>59.006999999999998</v>
      </c>
      <c r="BW23" s="166">
        <f t="shared" si="4"/>
        <v>75.400000000000006</v>
      </c>
      <c r="BX23" s="166">
        <f t="shared" si="5"/>
        <v>94.800000000000011</v>
      </c>
      <c r="CG23" s="63"/>
    </row>
    <row r="24" spans="1:85" ht="6.75" customHeight="1" x14ac:dyDescent="0.35">
      <c r="A24" s="80"/>
      <c r="B24" s="15"/>
      <c r="C24" s="166"/>
      <c r="D24" s="166"/>
      <c r="E24" s="76"/>
      <c r="F24" s="7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73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</row>
    <row r="25" spans="1:85" s="23" customFormat="1" x14ac:dyDescent="0.35">
      <c r="A25" s="125"/>
      <c r="B25" s="41" t="str">
        <f>IF(Control!$D$5=1,"Total non Current Assets","Ativo Não Circulante")</f>
        <v>Total non Current Assets</v>
      </c>
      <c r="C25" s="160">
        <f>+C27+C40</f>
        <v>146.74199999999999</v>
      </c>
      <c r="D25" s="160">
        <f>+D27+D40</f>
        <v>145.29599999999999</v>
      </c>
      <c r="E25" s="165" t="s">
        <v>2</v>
      </c>
      <c r="F25" s="165" t="s">
        <v>2</v>
      </c>
      <c r="G25" s="160">
        <f t="shared" ref="G25:AZ25" si="13">+G27+G40</f>
        <v>211.14100000000002</v>
      </c>
      <c r="H25" s="160">
        <f t="shared" si="13"/>
        <v>195.57599999999999</v>
      </c>
      <c r="I25" s="160">
        <f t="shared" si="13"/>
        <v>198.67199999999997</v>
      </c>
      <c r="J25" s="160">
        <f t="shared" si="13"/>
        <v>205.27199999999999</v>
      </c>
      <c r="K25" s="160">
        <f t="shared" si="13"/>
        <v>267.70999999999998</v>
      </c>
      <c r="L25" s="160">
        <f t="shared" si="13"/>
        <v>285.06299999999999</v>
      </c>
      <c r="M25" s="160">
        <f t="shared" si="13"/>
        <v>296.78300000000002</v>
      </c>
      <c r="N25" s="160">
        <f t="shared" si="13"/>
        <v>310.59000000000003</v>
      </c>
      <c r="O25" s="160">
        <f t="shared" si="13"/>
        <v>462.54899999999998</v>
      </c>
      <c r="P25" s="160">
        <f t="shared" si="13"/>
        <v>642.46800000000007</v>
      </c>
      <c r="Q25" s="160">
        <f t="shared" si="13"/>
        <v>642.93000000000006</v>
      </c>
      <c r="R25" s="160">
        <f t="shared" si="13"/>
        <v>820.005</v>
      </c>
      <c r="S25" s="160">
        <f t="shared" si="13"/>
        <v>831.26099999999997</v>
      </c>
      <c r="T25" s="160">
        <f t="shared" si="13"/>
        <v>886.21599999999989</v>
      </c>
      <c r="U25" s="160">
        <f t="shared" si="13"/>
        <v>898.86599999999999</v>
      </c>
      <c r="V25" s="160">
        <f t="shared" si="13"/>
        <v>1303.3049999999998</v>
      </c>
      <c r="W25" s="160">
        <f t="shared" si="13"/>
        <v>1320.0320000000002</v>
      </c>
      <c r="X25" s="160">
        <f t="shared" si="13"/>
        <v>1327.8330000000001</v>
      </c>
      <c r="Y25" s="160">
        <f t="shared" si="13"/>
        <v>1356.2260000000001</v>
      </c>
      <c r="Z25" s="160">
        <f t="shared" si="13"/>
        <v>1366.2149999999999</v>
      </c>
      <c r="AA25" s="160">
        <f t="shared" si="13"/>
        <v>1393.6690000000001</v>
      </c>
      <c r="AB25" s="160">
        <f t="shared" si="13"/>
        <v>1388.2619999999999</v>
      </c>
      <c r="AC25" s="160">
        <f t="shared" si="13"/>
        <v>1367.271</v>
      </c>
      <c r="AD25" s="160">
        <f t="shared" si="13"/>
        <v>1449.2630000000001</v>
      </c>
      <c r="AE25" s="160">
        <f t="shared" si="13"/>
        <v>1488.0559999999998</v>
      </c>
      <c r="AF25" s="160">
        <f t="shared" si="13"/>
        <v>1516.981</v>
      </c>
      <c r="AG25" s="160">
        <f t="shared" si="13"/>
        <v>1572.749</v>
      </c>
      <c r="AH25" s="160">
        <f t="shared" si="13"/>
        <v>1552.7929999999999</v>
      </c>
      <c r="AI25" s="160">
        <f t="shared" si="13"/>
        <v>1551</v>
      </c>
      <c r="AJ25" s="160">
        <f t="shared" si="13"/>
        <v>1498.415</v>
      </c>
      <c r="AK25" s="160">
        <f t="shared" si="13"/>
        <v>1460.1200000000001</v>
      </c>
      <c r="AL25" s="160">
        <f t="shared" si="13"/>
        <v>1469.0360000000001</v>
      </c>
      <c r="AM25" s="160">
        <f t="shared" si="13"/>
        <v>1450.8</v>
      </c>
      <c r="AN25" s="160">
        <f t="shared" si="13"/>
        <v>1455.633</v>
      </c>
      <c r="AO25" s="160">
        <f t="shared" si="13"/>
        <v>1451.7339999999999</v>
      </c>
      <c r="AP25" s="160">
        <f t="shared" si="13"/>
        <v>1463.2030000000002</v>
      </c>
      <c r="AQ25" s="160">
        <f t="shared" si="13"/>
        <v>1490</v>
      </c>
      <c r="AR25" s="160">
        <f t="shared" si="13"/>
        <v>1558.7</v>
      </c>
      <c r="AS25" s="160">
        <f t="shared" si="13"/>
        <v>1597.3</v>
      </c>
      <c r="AT25" s="160">
        <f t="shared" si="13"/>
        <v>1547.8</v>
      </c>
      <c r="AU25" s="160">
        <f t="shared" si="13"/>
        <v>1953.143</v>
      </c>
      <c r="AV25" s="160">
        <f t="shared" si="13"/>
        <v>2047.1019999999999</v>
      </c>
      <c r="AW25" s="160">
        <f t="shared" si="13"/>
        <v>2078.6280000000002</v>
      </c>
      <c r="AX25" s="160">
        <f t="shared" si="13"/>
        <v>2080.7539999999999</v>
      </c>
      <c r="AY25" s="160">
        <f t="shared" si="13"/>
        <v>2109.2080000000001</v>
      </c>
      <c r="AZ25" s="160">
        <f t="shared" si="13"/>
        <v>2201.94</v>
      </c>
      <c r="BA25" s="160">
        <f t="shared" ref="BA25:BF25" si="14">+BA27+BA40</f>
        <v>2199.3100000000004</v>
      </c>
      <c r="BB25" s="160">
        <f t="shared" si="14"/>
        <v>2294.502</v>
      </c>
      <c r="BC25" s="160">
        <f t="shared" si="14"/>
        <v>2362.797</v>
      </c>
      <c r="BD25" s="160">
        <f t="shared" si="14"/>
        <v>2339.4130000000005</v>
      </c>
      <c r="BE25" s="160">
        <f t="shared" si="14"/>
        <v>2299.4319999999998</v>
      </c>
      <c r="BF25" s="160">
        <f t="shared" si="14"/>
        <v>2971.6329999999998</v>
      </c>
      <c r="BG25" s="160">
        <f>+BG27+BG40</f>
        <v>3101.8599999999997</v>
      </c>
      <c r="BH25" s="160">
        <f>+BH27+BH40</f>
        <v>3171.9260000000004</v>
      </c>
      <c r="BI25" s="73"/>
      <c r="BJ25" s="160">
        <f t="shared" ref="BJ25:BU25" si="15">+BJ27+BJ40</f>
        <v>146.74199999999999</v>
      </c>
      <c r="BK25" s="160">
        <f t="shared" si="15"/>
        <v>211.14100000000002</v>
      </c>
      <c r="BL25" s="160">
        <f t="shared" si="15"/>
        <v>267.70999999999998</v>
      </c>
      <c r="BM25" s="160">
        <f t="shared" si="15"/>
        <v>462.54899999999998</v>
      </c>
      <c r="BN25" s="160">
        <f t="shared" si="15"/>
        <v>831.26099999999997</v>
      </c>
      <c r="BO25" s="160">
        <f t="shared" si="15"/>
        <v>1320.0320000000002</v>
      </c>
      <c r="BP25" s="160">
        <f t="shared" si="15"/>
        <v>1393.6690000000001</v>
      </c>
      <c r="BQ25" s="160">
        <f t="shared" si="15"/>
        <v>1488.0559999999998</v>
      </c>
      <c r="BR25" s="160">
        <f t="shared" si="15"/>
        <v>1551</v>
      </c>
      <c r="BS25" s="160">
        <f t="shared" si="15"/>
        <v>1450.8</v>
      </c>
      <c r="BT25" s="160">
        <f t="shared" si="15"/>
        <v>1490</v>
      </c>
      <c r="BU25" s="160">
        <f t="shared" si="15"/>
        <v>1953.143</v>
      </c>
      <c r="BV25" s="160">
        <f>AY25</f>
        <v>2109.2080000000001</v>
      </c>
      <c r="BW25" s="160">
        <f>BC25</f>
        <v>2362.797</v>
      </c>
      <c r="BX25" s="160">
        <f>BG25</f>
        <v>3101.8599999999997</v>
      </c>
    </row>
    <row r="26" spans="1:85" ht="6.75" customHeight="1" x14ac:dyDescent="0.35">
      <c r="A26" s="127"/>
      <c r="B26" s="15"/>
      <c r="C26" s="166"/>
      <c r="D26" s="166"/>
      <c r="E26" s="76"/>
      <c r="F26" s="7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73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</row>
    <row r="27" spans="1:85" s="23" customFormat="1" x14ac:dyDescent="0.35">
      <c r="A27" s="80"/>
      <c r="B27" s="53" t="str">
        <f>IF(Control!$D$5=1,"Total Long-Term Assets","Ativo Realizável a Longo Prazo")</f>
        <v>Total Long-Term Assets</v>
      </c>
      <c r="C27" s="160">
        <f>SUM(C28:C38)</f>
        <v>15.632000000000001</v>
      </c>
      <c r="D27" s="160">
        <f>SUM(D28:D38)</f>
        <v>17.384000000000004</v>
      </c>
      <c r="E27" s="165" t="s">
        <v>2</v>
      </c>
      <c r="F27" s="165" t="s">
        <v>2</v>
      </c>
      <c r="G27" s="160">
        <f>SUM(G28:G38)</f>
        <v>9.298</v>
      </c>
      <c r="H27" s="160">
        <f>SUM(H28:H38)</f>
        <v>8.8940000000000001</v>
      </c>
      <c r="I27" s="160">
        <f>SUM(I28:I38)</f>
        <v>9.7899999999999991</v>
      </c>
      <c r="J27" s="160">
        <f>SUM(J28:J38)</f>
        <v>11.850999999999999</v>
      </c>
      <c r="K27" s="160">
        <f>SUM(K29:K38)</f>
        <v>18.71</v>
      </c>
      <c r="L27" s="160">
        <f t="shared" ref="L27:AZ27" si="16">SUM(L28:L38)</f>
        <v>23.044</v>
      </c>
      <c r="M27" s="160">
        <f t="shared" si="16"/>
        <v>22.869</v>
      </c>
      <c r="N27" s="160">
        <f t="shared" si="16"/>
        <v>21.139000000000003</v>
      </c>
      <c r="O27" s="160">
        <f t="shared" si="16"/>
        <v>31.633000000000003</v>
      </c>
      <c r="P27" s="160">
        <f t="shared" si="16"/>
        <v>48.091999999999999</v>
      </c>
      <c r="Q27" s="160">
        <f t="shared" si="16"/>
        <v>50.411999999999999</v>
      </c>
      <c r="R27" s="160">
        <f t="shared" si="16"/>
        <v>65.974000000000004</v>
      </c>
      <c r="S27" s="160">
        <f t="shared" si="16"/>
        <v>66.307000000000002</v>
      </c>
      <c r="T27" s="160">
        <f t="shared" si="16"/>
        <v>85.403999999999996</v>
      </c>
      <c r="U27" s="160">
        <f t="shared" si="16"/>
        <v>80.096000000000004</v>
      </c>
      <c r="V27" s="160">
        <f t="shared" si="16"/>
        <v>65.385999999999996</v>
      </c>
      <c r="W27" s="160">
        <f t="shared" si="16"/>
        <v>106.688</v>
      </c>
      <c r="X27" s="160">
        <f t="shared" si="16"/>
        <v>47.852999999999994</v>
      </c>
      <c r="Y27" s="160">
        <f t="shared" si="16"/>
        <v>37.091000000000001</v>
      </c>
      <c r="Z27" s="160">
        <f t="shared" si="16"/>
        <v>37.157000000000004</v>
      </c>
      <c r="AA27" s="160">
        <f t="shared" si="16"/>
        <v>34.314</v>
      </c>
      <c r="AB27" s="160">
        <f t="shared" si="16"/>
        <v>36.483999999999995</v>
      </c>
      <c r="AC27" s="160">
        <f t="shared" si="16"/>
        <v>57.683</v>
      </c>
      <c r="AD27" s="160">
        <f t="shared" si="16"/>
        <v>51.622</v>
      </c>
      <c r="AE27" s="160">
        <f t="shared" si="16"/>
        <v>46.820999999999998</v>
      </c>
      <c r="AF27" s="160">
        <f t="shared" si="16"/>
        <v>48.759</v>
      </c>
      <c r="AG27" s="160">
        <f t="shared" si="16"/>
        <v>51.206000000000003</v>
      </c>
      <c r="AH27" s="160">
        <f t="shared" si="16"/>
        <v>33.206000000000003</v>
      </c>
      <c r="AI27" s="160">
        <f t="shared" si="16"/>
        <v>38.693999999999996</v>
      </c>
      <c r="AJ27" s="160">
        <f t="shared" si="16"/>
        <v>36.469000000000001</v>
      </c>
      <c r="AK27" s="160">
        <f t="shared" si="16"/>
        <v>72.234999999999999</v>
      </c>
      <c r="AL27" s="160">
        <f t="shared" si="16"/>
        <v>67.242999999999995</v>
      </c>
      <c r="AM27" s="160">
        <f t="shared" si="16"/>
        <v>63</v>
      </c>
      <c r="AN27" s="160">
        <f t="shared" si="16"/>
        <v>59.255999999999993</v>
      </c>
      <c r="AO27" s="160">
        <f t="shared" si="16"/>
        <v>62.037999999999997</v>
      </c>
      <c r="AP27" s="160">
        <f t="shared" si="16"/>
        <v>65.39</v>
      </c>
      <c r="AQ27" s="160">
        <f t="shared" si="16"/>
        <v>74</v>
      </c>
      <c r="AR27" s="160">
        <f t="shared" si="16"/>
        <v>74.8</v>
      </c>
      <c r="AS27" s="160">
        <f t="shared" si="16"/>
        <v>53.2</v>
      </c>
      <c r="AT27" s="160">
        <f t="shared" si="16"/>
        <v>56.3</v>
      </c>
      <c r="AU27" s="160">
        <f t="shared" si="16"/>
        <v>296.12900000000002</v>
      </c>
      <c r="AV27" s="160">
        <f t="shared" si="16"/>
        <v>390.30200000000002</v>
      </c>
      <c r="AW27" s="160">
        <f t="shared" si="16"/>
        <v>292.67500000000001</v>
      </c>
      <c r="AX27" s="160">
        <f t="shared" si="16"/>
        <v>294.46899999999999</v>
      </c>
      <c r="AY27" s="160">
        <f t="shared" si="16"/>
        <v>308.63999999999993</v>
      </c>
      <c r="AZ27" s="160">
        <f t="shared" si="16"/>
        <v>297.52399999999994</v>
      </c>
      <c r="BA27" s="160">
        <f t="shared" ref="BA27:BF27" si="17">SUM(BA28:BA38)</f>
        <v>290.43100000000004</v>
      </c>
      <c r="BB27" s="160">
        <f t="shared" si="17"/>
        <v>271.10200000000003</v>
      </c>
      <c r="BC27" s="160">
        <f t="shared" si="17"/>
        <v>268.56</v>
      </c>
      <c r="BD27" s="160">
        <f t="shared" si="17"/>
        <v>295.34800000000001</v>
      </c>
      <c r="BE27" s="160">
        <f t="shared" si="17"/>
        <v>290.036</v>
      </c>
      <c r="BF27" s="160">
        <f t="shared" si="17"/>
        <v>311.52699999999999</v>
      </c>
      <c r="BG27" s="160">
        <f t="shared" ref="BG27:BH27" si="18">SUM(BG28:BG38)</f>
        <v>325.70399999999995</v>
      </c>
      <c r="BH27" s="160">
        <f t="shared" si="18"/>
        <v>335.44300000000004</v>
      </c>
      <c r="BI27" s="73"/>
      <c r="BJ27" s="160">
        <f>SUM(BJ28:BJ38)</f>
        <v>15.632000000000001</v>
      </c>
      <c r="BK27" s="160">
        <f>SUM(BK28:BK38)</f>
        <v>9.298</v>
      </c>
      <c r="BL27" s="160">
        <f>SUM(BL29:BL38)</f>
        <v>18.71</v>
      </c>
      <c r="BM27" s="160">
        <f t="shared" ref="BM27:BU27" si="19">SUM(BM28:BM38)</f>
        <v>31.633000000000003</v>
      </c>
      <c r="BN27" s="160">
        <f t="shared" si="19"/>
        <v>66.307000000000002</v>
      </c>
      <c r="BO27" s="160">
        <f t="shared" si="19"/>
        <v>106.688</v>
      </c>
      <c r="BP27" s="160">
        <f t="shared" si="19"/>
        <v>34.314</v>
      </c>
      <c r="BQ27" s="160">
        <f t="shared" si="19"/>
        <v>46.820999999999998</v>
      </c>
      <c r="BR27" s="160">
        <f t="shared" si="19"/>
        <v>38.693999999999996</v>
      </c>
      <c r="BS27" s="160">
        <f t="shared" si="19"/>
        <v>63</v>
      </c>
      <c r="BT27" s="160">
        <f t="shared" si="19"/>
        <v>74</v>
      </c>
      <c r="BU27" s="160">
        <f t="shared" si="19"/>
        <v>296.12900000000002</v>
      </c>
      <c r="BV27" s="160">
        <f t="shared" ref="BV27:BV38" si="20">AY27</f>
        <v>308.63999999999993</v>
      </c>
      <c r="BW27" s="160">
        <f t="shared" ref="BW27:BW38" si="21">BC27</f>
        <v>268.56</v>
      </c>
      <c r="BX27" s="160">
        <f t="shared" ref="BX27:BX38" si="22">BG27</f>
        <v>325.70399999999995</v>
      </c>
    </row>
    <row r="28" spans="1:85" x14ac:dyDescent="0.35">
      <c r="A28" s="127"/>
      <c r="B28" s="51" t="str">
        <f>IF(Control!$D$5=1,"Long-Term Investments","Aplicações Financeiras")</f>
        <v>Long-Term Investments</v>
      </c>
      <c r="C28" s="166">
        <v>8.8149999999999995</v>
      </c>
      <c r="D28" s="166">
        <v>0</v>
      </c>
      <c r="E28" s="76" t="s">
        <v>2</v>
      </c>
      <c r="F28" s="76" t="s">
        <v>2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11.404999999999999</v>
      </c>
      <c r="O28" s="166">
        <v>0</v>
      </c>
      <c r="P28" s="166">
        <v>0</v>
      </c>
      <c r="Q28" s="166">
        <v>0</v>
      </c>
      <c r="R28" s="166">
        <v>20.312999999999999</v>
      </c>
      <c r="S28" s="166">
        <v>20.940999999999999</v>
      </c>
      <c r="T28" s="166">
        <v>21.468</v>
      </c>
      <c r="U28" s="166">
        <v>21.969000000000001</v>
      </c>
      <c r="V28" s="166">
        <v>22.395</v>
      </c>
      <c r="W28" s="166">
        <v>67.808000000000007</v>
      </c>
      <c r="X28" s="166">
        <v>23.259</v>
      </c>
      <c r="Y28" s="166">
        <v>23.785</v>
      </c>
      <c r="Z28" s="166">
        <v>19.577999999999999</v>
      </c>
      <c r="AA28" s="166">
        <v>20.113</v>
      </c>
      <c r="AB28" s="166">
        <v>20.651</v>
      </c>
      <c r="AC28" s="166">
        <v>21.245999999999999</v>
      </c>
      <c r="AD28" s="166">
        <v>16.442</v>
      </c>
      <c r="AE28" s="166">
        <v>16.936</v>
      </c>
      <c r="AF28" s="166">
        <v>17.48</v>
      </c>
      <c r="AG28" s="166">
        <v>18.123999999999999</v>
      </c>
      <c r="AH28" s="166">
        <v>6.4000000000000001E-2</v>
      </c>
      <c r="AI28" s="166">
        <v>7.3999999999999996E-2</v>
      </c>
      <c r="AJ28" s="166">
        <v>0</v>
      </c>
      <c r="AK28" s="166">
        <v>32.523000000000003</v>
      </c>
      <c r="AL28" s="166">
        <v>31.62</v>
      </c>
      <c r="AM28" s="166">
        <v>32.6</v>
      </c>
      <c r="AN28" s="166">
        <v>33.502000000000002</v>
      </c>
      <c r="AO28" s="166">
        <v>34.311999999999998</v>
      </c>
      <c r="AP28" s="166">
        <v>34.515000000000001</v>
      </c>
      <c r="AQ28" s="166">
        <v>31.9</v>
      </c>
      <c r="AR28" s="166">
        <v>32.6</v>
      </c>
      <c r="AS28" s="166">
        <v>0.2</v>
      </c>
      <c r="AT28" s="166">
        <v>0.2</v>
      </c>
      <c r="AU28" s="166">
        <v>0.217</v>
      </c>
      <c r="AV28" s="166">
        <v>0</v>
      </c>
      <c r="AW28" s="166">
        <v>0</v>
      </c>
      <c r="AX28" s="166">
        <v>0</v>
      </c>
      <c r="AY28" s="166">
        <v>0</v>
      </c>
      <c r="AZ28" s="166">
        <v>0</v>
      </c>
      <c r="BA28" s="166">
        <v>0</v>
      </c>
      <c r="BB28" s="166">
        <v>0</v>
      </c>
      <c r="BC28" s="166">
        <v>0</v>
      </c>
      <c r="BD28" s="166">
        <v>0</v>
      </c>
      <c r="BE28" s="166">
        <v>0</v>
      </c>
      <c r="BF28" s="166">
        <v>0</v>
      </c>
      <c r="BG28" s="166">
        <v>0</v>
      </c>
      <c r="BH28" s="166">
        <v>0</v>
      </c>
      <c r="BI28" s="73"/>
      <c r="BJ28" s="166">
        <v>8.8149999999999995</v>
      </c>
      <c r="BK28" s="166">
        <v>0</v>
      </c>
      <c r="BL28" s="166">
        <v>0</v>
      </c>
      <c r="BM28" s="166">
        <v>0</v>
      </c>
      <c r="BN28" s="166">
        <v>20.940999999999999</v>
      </c>
      <c r="BO28" s="166">
        <v>67.808000000000007</v>
      </c>
      <c r="BP28" s="166">
        <v>20.113</v>
      </c>
      <c r="BQ28" s="166">
        <v>16.936</v>
      </c>
      <c r="BR28" s="166">
        <v>7.3999999999999996E-2</v>
      </c>
      <c r="BS28" s="166">
        <v>32.6</v>
      </c>
      <c r="BT28" s="166">
        <f t="shared" ref="BT28:BT38" si="23">AQ28</f>
        <v>31.9</v>
      </c>
      <c r="BU28" s="166">
        <f t="shared" ref="BU28:BU38" si="24">AU28</f>
        <v>0.217</v>
      </c>
      <c r="BV28" s="166">
        <f t="shared" si="20"/>
        <v>0</v>
      </c>
      <c r="BW28" s="166">
        <f t="shared" si="21"/>
        <v>0</v>
      </c>
      <c r="BX28" s="166">
        <f t="shared" si="22"/>
        <v>0</v>
      </c>
      <c r="CG28" s="63"/>
    </row>
    <row r="29" spans="1:85" x14ac:dyDescent="0.35">
      <c r="A29" s="127"/>
      <c r="B29" s="51" t="str">
        <f>IF(Control!$D$5=1,"Recoverable Taxes","Tributos a Compensar")</f>
        <v>Recoverable Taxes</v>
      </c>
      <c r="C29" s="166">
        <v>0</v>
      </c>
      <c r="D29" s="166">
        <v>8.7070000000000007</v>
      </c>
      <c r="E29" s="76" t="s">
        <v>2</v>
      </c>
      <c r="F29" s="76" t="s">
        <v>2</v>
      </c>
      <c r="G29" s="166">
        <v>3.2480000000000002</v>
      </c>
      <c r="H29" s="166">
        <v>3.4009999999999998</v>
      </c>
      <c r="I29" s="166">
        <v>3.5510000000000002</v>
      </c>
      <c r="J29" s="166">
        <v>3.4409999999999998</v>
      </c>
      <c r="K29" s="166">
        <v>10.664</v>
      </c>
      <c r="L29" s="166">
        <v>11.154999999999999</v>
      </c>
      <c r="M29" s="166">
        <v>11.397</v>
      </c>
      <c r="N29" s="166">
        <v>0</v>
      </c>
      <c r="O29" s="166">
        <v>11.298</v>
      </c>
      <c r="P29" s="166">
        <v>11.224</v>
      </c>
      <c r="Q29" s="166">
        <v>11.326000000000001</v>
      </c>
      <c r="R29" s="166">
        <v>11.388</v>
      </c>
      <c r="S29" s="166">
        <v>16.103999999999999</v>
      </c>
      <c r="T29" s="167">
        <v>18.13</v>
      </c>
      <c r="U29" s="166">
        <v>10.061</v>
      </c>
      <c r="V29" s="166">
        <v>11.351000000000001</v>
      </c>
      <c r="W29" s="166">
        <v>11.492000000000001</v>
      </c>
      <c r="X29" s="166">
        <v>11.61</v>
      </c>
      <c r="Y29" s="166">
        <v>4.3760000000000003</v>
      </c>
      <c r="Z29" s="166">
        <v>11.853</v>
      </c>
      <c r="AA29" s="166">
        <v>4.0510000000000002</v>
      </c>
      <c r="AB29" s="166">
        <v>5.7060000000000004</v>
      </c>
      <c r="AC29" s="166">
        <v>4.5860000000000003</v>
      </c>
      <c r="AD29" s="166">
        <v>2.048</v>
      </c>
      <c r="AE29" s="166">
        <v>2.798</v>
      </c>
      <c r="AF29" s="166">
        <v>2.149</v>
      </c>
      <c r="AG29" s="166">
        <v>2.9510000000000001</v>
      </c>
      <c r="AH29" s="166">
        <v>2.7829999999999999</v>
      </c>
      <c r="AI29" s="166">
        <v>3.5179999999999998</v>
      </c>
      <c r="AJ29" s="166">
        <v>2.6</v>
      </c>
      <c r="AK29" s="166">
        <v>2.4249999999999998</v>
      </c>
      <c r="AL29" s="166">
        <v>1.923</v>
      </c>
      <c r="AM29" s="166">
        <v>1.9</v>
      </c>
      <c r="AN29" s="166">
        <v>1.724</v>
      </c>
      <c r="AO29" s="166">
        <v>1.6539999999999999</v>
      </c>
      <c r="AP29" s="166">
        <v>1.403</v>
      </c>
      <c r="AQ29" s="166">
        <v>1.4</v>
      </c>
      <c r="AR29" s="166">
        <v>1.8</v>
      </c>
      <c r="AS29" s="166">
        <v>9.1</v>
      </c>
      <c r="AT29" s="166">
        <v>11</v>
      </c>
      <c r="AU29" s="166">
        <v>245.62100000000001</v>
      </c>
      <c r="AV29" s="166">
        <v>250</v>
      </c>
      <c r="AW29" s="166">
        <v>245.03899999999999</v>
      </c>
      <c r="AX29" s="166">
        <v>242.601</v>
      </c>
      <c r="AY29" s="166">
        <v>241.553</v>
      </c>
      <c r="AZ29" s="166">
        <v>225.73</v>
      </c>
      <c r="BA29" s="166">
        <v>226.61500000000001</v>
      </c>
      <c r="BB29" s="166">
        <v>215.90700000000001</v>
      </c>
      <c r="BC29" s="166">
        <v>205.167</v>
      </c>
      <c r="BD29" s="166">
        <v>197.23400000000001</v>
      </c>
      <c r="BE29" s="166">
        <v>196.71899999999999</v>
      </c>
      <c r="BF29" s="166">
        <v>206.43899999999999</v>
      </c>
      <c r="BG29" s="166">
        <v>189.761</v>
      </c>
      <c r="BH29" s="166">
        <v>186.00800000000001</v>
      </c>
      <c r="BI29" s="73"/>
      <c r="BJ29" s="166">
        <v>0</v>
      </c>
      <c r="BK29" s="166">
        <v>3.2480000000000002</v>
      </c>
      <c r="BL29" s="166">
        <v>10.664</v>
      </c>
      <c r="BM29" s="166">
        <v>11.298</v>
      </c>
      <c r="BN29" s="166">
        <v>16.103999999999999</v>
      </c>
      <c r="BO29" s="166">
        <v>11.492000000000001</v>
      </c>
      <c r="BP29" s="166">
        <v>4.0510000000000002</v>
      </c>
      <c r="BQ29" s="166">
        <v>2.798</v>
      </c>
      <c r="BR29" s="166">
        <v>3.5179999999999998</v>
      </c>
      <c r="BS29" s="166">
        <v>1.9</v>
      </c>
      <c r="BT29" s="166">
        <f t="shared" si="23"/>
        <v>1.4</v>
      </c>
      <c r="BU29" s="166">
        <f t="shared" si="24"/>
        <v>245.62100000000001</v>
      </c>
      <c r="BV29" s="166">
        <f t="shared" si="20"/>
        <v>241.553</v>
      </c>
      <c r="BW29" s="166">
        <f t="shared" si="21"/>
        <v>205.167</v>
      </c>
      <c r="BX29" s="166">
        <f t="shared" si="22"/>
        <v>189.761</v>
      </c>
      <c r="CG29" s="63"/>
    </row>
    <row r="30" spans="1:85" s="7" customFormat="1" x14ac:dyDescent="0.35">
      <c r="A30" s="127"/>
      <c r="B30" s="264" t="str">
        <f>IF(Control!$D$5=1,"Inventory","Estoques")</f>
        <v>Inventory</v>
      </c>
      <c r="C30" s="76">
        <v>0</v>
      </c>
      <c r="D30" s="76">
        <v>0</v>
      </c>
      <c r="E30" s="76" t="s">
        <v>2</v>
      </c>
      <c r="F30" s="76" t="s">
        <v>2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16.991</v>
      </c>
      <c r="AJ30" s="76">
        <v>7.8029999999999999</v>
      </c>
      <c r="AK30" s="76">
        <v>5.181</v>
      </c>
      <c r="AL30" s="76">
        <v>8.9130000000000003</v>
      </c>
      <c r="AM30" s="76">
        <v>9.8000000000000007</v>
      </c>
      <c r="AN30" s="76">
        <v>8.1419999999999995</v>
      </c>
      <c r="AO30" s="76">
        <v>12.426</v>
      </c>
      <c r="AP30" s="76">
        <v>15.343999999999999</v>
      </c>
      <c r="AQ30" s="76">
        <v>19.3</v>
      </c>
      <c r="AR30" s="76">
        <v>14.1</v>
      </c>
      <c r="AS30" s="76">
        <v>18</v>
      </c>
      <c r="AT30" s="76">
        <v>22.6</v>
      </c>
      <c r="AU30" s="76">
        <f>24.261-AU31</f>
        <v>4.8819999999999979</v>
      </c>
      <c r="AV30" s="76">
        <v>4.9569999999999999</v>
      </c>
      <c r="AW30" s="76">
        <f>23.539-AW31</f>
        <v>6.2700000000000031</v>
      </c>
      <c r="AX30" s="76">
        <f>29.985-AX31</f>
        <v>6.4209999999999994</v>
      </c>
      <c r="AY30" s="76">
        <v>27.635999999999996</v>
      </c>
      <c r="AZ30" s="76">
        <v>8.0889999999999986</v>
      </c>
      <c r="BA30" s="76">
        <v>9.1989999999999981</v>
      </c>
      <c r="BB30" s="76">
        <v>7.9830000000000041</v>
      </c>
      <c r="BC30" s="76">
        <v>8.0619999999999976</v>
      </c>
      <c r="BD30" s="76">
        <v>8.7029999999999994</v>
      </c>
      <c r="BE30" s="76">
        <v>8.0489999999999995</v>
      </c>
      <c r="BF30" s="76">
        <v>7.546999999999997</v>
      </c>
      <c r="BG30" s="76">
        <v>8.6370000000000005</v>
      </c>
      <c r="BH30" s="76">
        <v>7.5100000000000051</v>
      </c>
      <c r="BI30" s="190"/>
      <c r="BJ30" s="76">
        <v>0</v>
      </c>
      <c r="BK30" s="76">
        <v>0</v>
      </c>
      <c r="BL30" s="76">
        <v>0</v>
      </c>
      <c r="BM30" s="76">
        <v>0</v>
      </c>
      <c r="BN30" s="76">
        <v>0</v>
      </c>
      <c r="BO30" s="76">
        <v>0</v>
      </c>
      <c r="BP30" s="76">
        <v>0</v>
      </c>
      <c r="BQ30" s="76">
        <v>0</v>
      </c>
      <c r="BR30" s="76">
        <v>16.991</v>
      </c>
      <c r="BS30" s="76">
        <v>9.8000000000000007</v>
      </c>
      <c r="BT30" s="76">
        <f t="shared" si="23"/>
        <v>19.3</v>
      </c>
      <c r="BU30" s="76">
        <f t="shared" si="24"/>
        <v>4.8819999999999979</v>
      </c>
      <c r="BV30" s="76">
        <f t="shared" si="20"/>
        <v>27.635999999999996</v>
      </c>
      <c r="BW30" s="76">
        <f t="shared" si="21"/>
        <v>8.0619999999999976</v>
      </c>
      <c r="BX30" s="76">
        <f t="shared" si="22"/>
        <v>8.6370000000000005</v>
      </c>
      <c r="BY30" s="249"/>
      <c r="BZ30" s="249"/>
      <c r="CA30" s="249"/>
      <c r="CB30" s="249"/>
      <c r="CC30" s="249"/>
      <c r="CD30" s="249"/>
      <c r="CE30" s="249"/>
      <c r="CF30" s="249"/>
      <c r="CG30" s="268"/>
    </row>
    <row r="31" spans="1:85" s="7" customFormat="1" x14ac:dyDescent="0.35">
      <c r="A31" s="127"/>
      <c r="B31" s="264" t="str">
        <f>IF(Control!$D$5=1,"Payments in Advance","Adiantamentos a Produtores")</f>
        <v>Payments in Advance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0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>
        <v>19.379000000000001</v>
      </c>
      <c r="AV31" s="76">
        <v>15.728999999999999</v>
      </c>
      <c r="AW31" s="76">
        <v>17.268999999999998</v>
      </c>
      <c r="AX31" s="76">
        <v>23.564</v>
      </c>
      <c r="AY31" s="76">
        <v>27.161000000000001</v>
      </c>
      <c r="AZ31" s="76">
        <v>27.161000000000001</v>
      </c>
      <c r="BA31" s="76">
        <v>44.128999999999998</v>
      </c>
      <c r="BB31" s="76">
        <v>36.786999999999999</v>
      </c>
      <c r="BC31" s="76">
        <v>45.045999999999999</v>
      </c>
      <c r="BD31" s="76">
        <v>37.273000000000003</v>
      </c>
      <c r="BE31" s="76">
        <v>33.270000000000003</v>
      </c>
      <c r="BF31" s="76">
        <v>40.292000000000002</v>
      </c>
      <c r="BG31" s="76">
        <v>35.816000000000003</v>
      </c>
      <c r="BH31" s="76">
        <v>38.704999999999998</v>
      </c>
      <c r="BI31" s="190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>
        <f t="shared" si="23"/>
        <v>0</v>
      </c>
      <c r="BU31" s="76">
        <f t="shared" si="24"/>
        <v>19.379000000000001</v>
      </c>
      <c r="BV31" s="76">
        <f t="shared" si="20"/>
        <v>27.161000000000001</v>
      </c>
      <c r="BW31" s="76">
        <f t="shared" si="21"/>
        <v>45.045999999999999</v>
      </c>
      <c r="BX31" s="76">
        <f t="shared" si="22"/>
        <v>35.816000000000003</v>
      </c>
      <c r="BY31" s="249"/>
      <c r="BZ31" s="249"/>
      <c r="CA31" s="249"/>
      <c r="CB31" s="249"/>
      <c r="CC31" s="249"/>
      <c r="CD31" s="249"/>
      <c r="CE31" s="249"/>
      <c r="CF31" s="249"/>
      <c r="CG31" s="268"/>
    </row>
    <row r="32" spans="1:85" s="7" customFormat="1" x14ac:dyDescent="0.35">
      <c r="A32" s="80"/>
      <c r="B32" s="264" t="str">
        <f>IF(Control!$D$5=1,"Payments in Advance","Adiantamentos a Fornecedores")</f>
        <v>Payments in Advance</v>
      </c>
      <c r="C32" s="76">
        <v>2.319</v>
      </c>
      <c r="D32" s="76">
        <v>2.2450000000000001</v>
      </c>
      <c r="E32" s="76" t="s">
        <v>2</v>
      </c>
      <c r="F32" s="76" t="s">
        <v>2</v>
      </c>
      <c r="G32" s="76">
        <v>0</v>
      </c>
      <c r="H32" s="76">
        <v>0</v>
      </c>
      <c r="I32" s="76">
        <v>0</v>
      </c>
      <c r="J32" s="76">
        <v>0</v>
      </c>
      <c r="K32" s="76">
        <v>3.3570000000000002</v>
      </c>
      <c r="L32" s="76">
        <v>2.3260000000000001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/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0.6</v>
      </c>
      <c r="AT32" s="76">
        <v>0.2</v>
      </c>
      <c r="AU32" s="76">
        <v>0.2</v>
      </c>
      <c r="AV32" s="76">
        <v>0.216</v>
      </c>
      <c r="AW32" s="76">
        <v>0.44700000000000001</v>
      </c>
      <c r="AX32" s="76">
        <v>1.077</v>
      </c>
      <c r="AY32" s="76">
        <v>1.8759999999999999</v>
      </c>
      <c r="AZ32" s="76">
        <v>27.59</v>
      </c>
      <c r="BA32" s="76">
        <v>2.2050000000000001</v>
      </c>
      <c r="BB32" s="76">
        <v>2.0219999999999985</v>
      </c>
      <c r="BC32" s="76">
        <v>1.889</v>
      </c>
      <c r="BD32" s="76">
        <v>0.66100000000000003</v>
      </c>
      <c r="BE32" s="76">
        <v>0.33500000000000002</v>
      </c>
      <c r="BF32" s="76">
        <v>0</v>
      </c>
      <c r="BG32" s="76">
        <v>0</v>
      </c>
      <c r="BH32" s="76">
        <v>0</v>
      </c>
      <c r="BI32" s="190"/>
      <c r="BJ32" s="76">
        <v>2.319</v>
      </c>
      <c r="BK32" s="76">
        <v>0</v>
      </c>
      <c r="BL32" s="76">
        <v>3.3570000000000002</v>
      </c>
      <c r="BM32" s="76">
        <v>0</v>
      </c>
      <c r="BN32" s="76">
        <v>0</v>
      </c>
      <c r="BO32" s="76">
        <v>0</v>
      </c>
      <c r="BP32" s="76">
        <v>0</v>
      </c>
      <c r="BQ32" s="76">
        <v>0</v>
      </c>
      <c r="BR32" s="76">
        <v>0</v>
      </c>
      <c r="BS32" s="76">
        <v>0</v>
      </c>
      <c r="BT32" s="76">
        <f t="shared" si="23"/>
        <v>0</v>
      </c>
      <c r="BU32" s="76">
        <f t="shared" si="24"/>
        <v>0.2</v>
      </c>
      <c r="BV32" s="76">
        <f t="shared" si="20"/>
        <v>1.8759999999999999</v>
      </c>
      <c r="BW32" s="76">
        <f t="shared" si="21"/>
        <v>1.889</v>
      </c>
      <c r="BX32" s="76">
        <f t="shared" si="22"/>
        <v>0</v>
      </c>
      <c r="BY32" s="249"/>
      <c r="BZ32" s="249"/>
      <c r="CA32" s="249"/>
      <c r="CB32" s="249"/>
      <c r="CC32" s="249"/>
      <c r="CD32" s="249"/>
      <c r="CE32" s="249"/>
      <c r="CF32" s="249"/>
      <c r="CG32" s="268"/>
    </row>
    <row r="33" spans="1:85" x14ac:dyDescent="0.35">
      <c r="A33" s="127"/>
      <c r="B33" s="51" t="str">
        <f>IF(Control!$D$5=1,"Accounts Receivable","Contas a Receber")</f>
        <v>Accounts Receivable</v>
      </c>
      <c r="C33" s="166">
        <v>0</v>
      </c>
      <c r="D33" s="166">
        <v>0</v>
      </c>
      <c r="E33" s="76" t="s">
        <v>2</v>
      </c>
      <c r="F33" s="76" t="s">
        <v>2</v>
      </c>
      <c r="G33" s="166">
        <v>1.07</v>
      </c>
      <c r="H33" s="166">
        <v>0.88800000000000001</v>
      </c>
      <c r="I33" s="166">
        <v>0.47899999999999998</v>
      </c>
      <c r="J33" s="166">
        <v>0.35799999999999998</v>
      </c>
      <c r="K33" s="166">
        <v>0.32400000000000001</v>
      </c>
      <c r="L33" s="166">
        <v>1.08</v>
      </c>
      <c r="M33" s="166">
        <v>1.0269999999999999</v>
      </c>
      <c r="N33" s="166">
        <v>0</v>
      </c>
      <c r="O33" s="166">
        <v>0</v>
      </c>
      <c r="P33" s="166">
        <v>0</v>
      </c>
      <c r="Q33" s="166">
        <v>0</v>
      </c>
      <c r="R33" s="166">
        <v>14.916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66">
        <v>0</v>
      </c>
      <c r="Z33" s="166">
        <v>0</v>
      </c>
      <c r="AA33" s="166">
        <v>0</v>
      </c>
      <c r="AB33" s="166">
        <v>0</v>
      </c>
      <c r="AC33" s="166">
        <v>4.024</v>
      </c>
      <c r="AD33" s="166">
        <v>4.5999999999999996</v>
      </c>
      <c r="AE33" s="166">
        <v>0</v>
      </c>
      <c r="AF33" s="166"/>
      <c r="AG33" s="166">
        <v>0</v>
      </c>
      <c r="AH33" s="166">
        <v>0</v>
      </c>
      <c r="AI33" s="166">
        <v>0</v>
      </c>
      <c r="AJ33" s="166">
        <v>0</v>
      </c>
      <c r="AK33" s="166">
        <v>0</v>
      </c>
      <c r="AL33" s="166">
        <v>0</v>
      </c>
      <c r="AM33" s="166">
        <v>0</v>
      </c>
      <c r="AN33" s="166"/>
      <c r="AO33" s="166">
        <v>0</v>
      </c>
      <c r="AP33" s="166">
        <v>0</v>
      </c>
      <c r="AQ33" s="166">
        <v>0</v>
      </c>
      <c r="AR33" s="166">
        <v>0</v>
      </c>
      <c r="AS33" s="166">
        <v>0</v>
      </c>
      <c r="AT33" s="166">
        <v>0</v>
      </c>
      <c r="AU33" s="166">
        <v>0</v>
      </c>
      <c r="AV33" s="166">
        <v>0</v>
      </c>
      <c r="AW33" s="166">
        <v>0</v>
      </c>
      <c r="AX33" s="166">
        <v>0</v>
      </c>
      <c r="AY33" s="166">
        <v>0</v>
      </c>
      <c r="AZ33" s="166">
        <v>0</v>
      </c>
      <c r="BA33" s="166">
        <v>0</v>
      </c>
      <c r="BB33" s="166">
        <v>0</v>
      </c>
      <c r="BC33" s="166">
        <v>0</v>
      </c>
      <c r="BD33" s="166">
        <v>0</v>
      </c>
      <c r="BE33" s="166">
        <v>0</v>
      </c>
      <c r="BF33" s="166">
        <v>0</v>
      </c>
      <c r="BG33" s="166">
        <v>0</v>
      </c>
      <c r="BH33" s="166">
        <v>0</v>
      </c>
      <c r="BI33" s="73"/>
      <c r="BJ33" s="166">
        <v>0</v>
      </c>
      <c r="BK33" s="166">
        <v>1.07</v>
      </c>
      <c r="BL33" s="166">
        <v>0.32400000000000001</v>
      </c>
      <c r="BM33" s="166">
        <v>0</v>
      </c>
      <c r="BN33" s="166">
        <v>0</v>
      </c>
      <c r="BO33" s="166">
        <v>0</v>
      </c>
      <c r="BP33" s="166">
        <v>0</v>
      </c>
      <c r="BQ33" s="166">
        <v>0</v>
      </c>
      <c r="BR33" s="166">
        <v>0</v>
      </c>
      <c r="BS33" s="166">
        <v>0</v>
      </c>
      <c r="BT33" s="166">
        <f t="shared" si="23"/>
        <v>0</v>
      </c>
      <c r="BU33" s="166">
        <f t="shared" si="24"/>
        <v>0</v>
      </c>
      <c r="BV33" s="166">
        <f t="shared" si="20"/>
        <v>0</v>
      </c>
      <c r="BW33" s="166">
        <f t="shared" si="21"/>
        <v>0</v>
      </c>
      <c r="BX33" s="166">
        <f t="shared" si="22"/>
        <v>0</v>
      </c>
      <c r="CG33" s="63"/>
    </row>
    <row r="34" spans="1:85" x14ac:dyDescent="0.35">
      <c r="A34" s="127"/>
      <c r="B34" s="51" t="str">
        <f>IF(Control!$D$5=1,"Financial Instruments - Derivatives","Instrumentos Financeiros - Derivativos")</f>
        <v>Financial Instruments - Derivatives</v>
      </c>
      <c r="C34" s="166">
        <v>0</v>
      </c>
      <c r="D34" s="166">
        <v>0</v>
      </c>
      <c r="E34" s="76" t="s">
        <v>2</v>
      </c>
      <c r="F34" s="76" t="s">
        <v>2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10.734999999999999</v>
      </c>
      <c r="T34" s="166">
        <v>29.646000000000001</v>
      </c>
      <c r="U34" s="166">
        <v>32.340000000000003</v>
      </c>
      <c r="V34" s="166">
        <v>0</v>
      </c>
      <c r="W34" s="166">
        <v>0</v>
      </c>
      <c r="X34" s="166">
        <v>0</v>
      </c>
      <c r="Y34" s="166">
        <v>0</v>
      </c>
      <c r="Z34" s="166">
        <v>0</v>
      </c>
      <c r="AA34" s="166">
        <v>0</v>
      </c>
      <c r="AB34" s="166">
        <v>0</v>
      </c>
      <c r="AC34" s="166">
        <v>0</v>
      </c>
      <c r="AD34" s="166">
        <v>0</v>
      </c>
      <c r="AE34" s="166">
        <v>0</v>
      </c>
      <c r="AF34" s="166">
        <v>0</v>
      </c>
      <c r="AG34" s="166">
        <v>0</v>
      </c>
      <c r="AH34" s="166">
        <v>0</v>
      </c>
      <c r="AI34" s="166">
        <v>0</v>
      </c>
      <c r="AJ34" s="166">
        <v>0</v>
      </c>
      <c r="AK34" s="166">
        <v>0</v>
      </c>
      <c r="AL34" s="166">
        <v>0</v>
      </c>
      <c r="AM34" s="166">
        <v>0</v>
      </c>
      <c r="AN34" s="166">
        <v>0</v>
      </c>
      <c r="AO34" s="166">
        <v>0</v>
      </c>
      <c r="AP34" s="166">
        <v>0</v>
      </c>
      <c r="AQ34" s="166">
        <v>0</v>
      </c>
      <c r="AR34" s="166">
        <v>0</v>
      </c>
      <c r="AS34" s="166">
        <v>0</v>
      </c>
      <c r="AT34" s="166">
        <v>0</v>
      </c>
      <c r="AU34" s="166">
        <v>0</v>
      </c>
      <c r="AV34" s="166">
        <v>0</v>
      </c>
      <c r="AW34" s="166">
        <v>0</v>
      </c>
      <c r="AX34" s="166">
        <v>0</v>
      </c>
      <c r="AY34" s="166">
        <v>0</v>
      </c>
      <c r="AZ34" s="166">
        <v>0</v>
      </c>
      <c r="BA34" s="166">
        <v>0</v>
      </c>
      <c r="BB34" s="166">
        <v>0</v>
      </c>
      <c r="BC34" s="166">
        <v>0</v>
      </c>
      <c r="BD34" s="166">
        <v>0</v>
      </c>
      <c r="BE34" s="166">
        <v>0</v>
      </c>
      <c r="BF34" s="166">
        <v>0</v>
      </c>
      <c r="BG34" s="166">
        <v>0</v>
      </c>
      <c r="BH34" s="166">
        <v>0</v>
      </c>
      <c r="BI34" s="73"/>
      <c r="BJ34" s="166">
        <v>0</v>
      </c>
      <c r="BK34" s="166">
        <v>0</v>
      </c>
      <c r="BL34" s="166">
        <v>0</v>
      </c>
      <c r="BM34" s="166">
        <v>0</v>
      </c>
      <c r="BN34" s="166">
        <v>10.734999999999999</v>
      </c>
      <c r="BO34" s="166">
        <v>0</v>
      </c>
      <c r="BP34" s="166">
        <v>0</v>
      </c>
      <c r="BQ34" s="166">
        <v>0</v>
      </c>
      <c r="BR34" s="166">
        <v>0</v>
      </c>
      <c r="BS34" s="166">
        <v>0</v>
      </c>
      <c r="BT34" s="166">
        <f t="shared" si="23"/>
        <v>0</v>
      </c>
      <c r="BU34" s="166">
        <f t="shared" si="24"/>
        <v>0</v>
      </c>
      <c r="BV34" s="166">
        <f t="shared" si="20"/>
        <v>0</v>
      </c>
      <c r="BW34" s="166">
        <f t="shared" si="21"/>
        <v>0</v>
      </c>
      <c r="BX34" s="166">
        <f t="shared" si="22"/>
        <v>0</v>
      </c>
      <c r="CG34" s="63"/>
    </row>
    <row r="35" spans="1:85" x14ac:dyDescent="0.35">
      <c r="A35" s="80"/>
      <c r="B35" s="51" t="str">
        <f>IF(Control!$D$5=1,"Deferred Income Taxes","Imposto de Renda e Contribuição Social Diferido")</f>
        <v>Deferred Income Taxes</v>
      </c>
      <c r="C35" s="166">
        <v>0.436</v>
      </c>
      <c r="D35" s="166">
        <v>2.512</v>
      </c>
      <c r="E35" s="76" t="s">
        <v>2</v>
      </c>
      <c r="F35" s="76" t="s">
        <v>2</v>
      </c>
      <c r="G35" s="166">
        <v>0.45600000000000002</v>
      </c>
      <c r="H35" s="166">
        <v>0.60399999999999998</v>
      </c>
      <c r="I35" s="166">
        <v>2.1760000000000002</v>
      </c>
      <c r="J35" s="166">
        <v>3.6560000000000001</v>
      </c>
      <c r="K35" s="166">
        <v>0</v>
      </c>
      <c r="L35" s="166">
        <v>6.3369999999999997</v>
      </c>
      <c r="M35" s="166">
        <v>7.3959999999999999</v>
      </c>
      <c r="N35" s="166">
        <v>4.6280000000000001</v>
      </c>
      <c r="O35" s="166">
        <v>9.4030000000000005</v>
      </c>
      <c r="P35" s="166">
        <v>16.989999999999998</v>
      </c>
      <c r="Q35" s="166">
        <v>17.864999999999998</v>
      </c>
      <c r="R35" s="166">
        <v>6.9219999999999997</v>
      </c>
      <c r="S35" s="166">
        <v>6.9480000000000004</v>
      </c>
      <c r="T35" s="166">
        <v>6.77</v>
      </c>
      <c r="U35" s="166">
        <v>6.3120000000000003</v>
      </c>
      <c r="V35" s="166">
        <v>17.094000000000001</v>
      </c>
      <c r="W35" s="166">
        <v>17.547999999999998</v>
      </c>
      <c r="X35" s="166">
        <v>7.766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0</v>
      </c>
      <c r="AE35" s="166">
        <v>0</v>
      </c>
      <c r="AF35" s="166">
        <v>0</v>
      </c>
      <c r="AG35" s="166">
        <v>0</v>
      </c>
      <c r="AH35" s="166">
        <v>0</v>
      </c>
      <c r="AI35" s="166">
        <v>0</v>
      </c>
      <c r="AJ35" s="166">
        <v>0</v>
      </c>
      <c r="AK35" s="166">
        <v>0</v>
      </c>
      <c r="AL35" s="166">
        <v>0</v>
      </c>
      <c r="AM35" s="166">
        <v>0</v>
      </c>
      <c r="AN35" s="166">
        <v>0</v>
      </c>
      <c r="AO35" s="166">
        <v>0</v>
      </c>
      <c r="AP35" s="166">
        <v>0</v>
      </c>
      <c r="AQ35" s="166">
        <v>0</v>
      </c>
      <c r="AR35" s="166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166">
        <v>0</v>
      </c>
      <c r="AY35" s="166">
        <v>0</v>
      </c>
      <c r="AZ35" s="166">
        <v>0</v>
      </c>
      <c r="BA35" s="166">
        <v>0</v>
      </c>
      <c r="BB35" s="166">
        <v>0</v>
      </c>
      <c r="BC35" s="166">
        <v>0</v>
      </c>
      <c r="BD35" s="166">
        <v>0</v>
      </c>
      <c r="BE35" s="166">
        <v>0</v>
      </c>
      <c r="BF35" s="166">
        <v>0</v>
      </c>
      <c r="BG35" s="166">
        <v>0</v>
      </c>
      <c r="BH35" s="166">
        <v>17.7</v>
      </c>
      <c r="BI35" s="73"/>
      <c r="BJ35" s="166">
        <v>0.436</v>
      </c>
      <c r="BK35" s="166">
        <v>0.45600000000000002</v>
      </c>
      <c r="BL35" s="166">
        <v>0</v>
      </c>
      <c r="BM35" s="166">
        <v>9.4030000000000005</v>
      </c>
      <c r="BN35" s="166">
        <v>6.9480000000000004</v>
      </c>
      <c r="BO35" s="166">
        <v>17.547999999999998</v>
      </c>
      <c r="BP35" s="166">
        <v>0</v>
      </c>
      <c r="BQ35" s="166">
        <v>0</v>
      </c>
      <c r="BR35" s="166">
        <v>0</v>
      </c>
      <c r="BS35" s="166">
        <v>0</v>
      </c>
      <c r="BT35" s="166">
        <f t="shared" si="23"/>
        <v>0</v>
      </c>
      <c r="BU35" s="166">
        <f t="shared" si="24"/>
        <v>0</v>
      </c>
      <c r="BV35" s="166">
        <f t="shared" si="20"/>
        <v>0</v>
      </c>
      <c r="BW35" s="166">
        <f t="shared" si="21"/>
        <v>0</v>
      </c>
      <c r="BX35" s="166">
        <f t="shared" si="22"/>
        <v>0</v>
      </c>
      <c r="CG35" s="63"/>
    </row>
    <row r="36" spans="1:85" x14ac:dyDescent="0.35">
      <c r="A36" s="127"/>
      <c r="B36" s="51" t="str">
        <f>IF(Control!$D$5=1,"Related Party","Partes Relacionadas")</f>
        <v>Related Party</v>
      </c>
      <c r="C36" s="166">
        <v>2.7130000000000001</v>
      </c>
      <c r="D36" s="166">
        <v>2.6259999999999999</v>
      </c>
      <c r="E36" s="76" t="s">
        <v>2</v>
      </c>
      <c r="F36" s="76" t="s">
        <v>2</v>
      </c>
      <c r="G36" s="166">
        <v>3.13</v>
      </c>
      <c r="H36" s="166">
        <v>2.6190000000000002</v>
      </c>
      <c r="I36" s="166">
        <v>2.2170000000000001</v>
      </c>
      <c r="J36" s="166">
        <v>2.173</v>
      </c>
      <c r="K36" s="166">
        <v>2.2730000000000001</v>
      </c>
      <c r="L36" s="166">
        <v>1.84</v>
      </c>
      <c r="M36" s="166">
        <v>0</v>
      </c>
      <c r="N36" s="166">
        <v>0</v>
      </c>
      <c r="O36" s="166">
        <v>1.8640000000000001</v>
      </c>
      <c r="P36" s="166">
        <v>1.7769999999999999</v>
      </c>
      <c r="Q36" s="166">
        <v>2.875</v>
      </c>
      <c r="R36" s="166">
        <v>3.1949999999999998</v>
      </c>
      <c r="S36" s="166">
        <v>0.503</v>
      </c>
      <c r="T36" s="166">
        <v>0</v>
      </c>
      <c r="U36" s="166">
        <v>0</v>
      </c>
      <c r="V36" s="166">
        <v>0</v>
      </c>
      <c r="W36" s="166">
        <v>0</v>
      </c>
      <c r="X36" s="166">
        <v>0</v>
      </c>
      <c r="Y36" s="166">
        <v>0</v>
      </c>
      <c r="Z36" s="166">
        <v>0</v>
      </c>
      <c r="AA36" s="166">
        <v>4.1920000000000002</v>
      </c>
      <c r="AB36" s="166">
        <v>4.0229999999999997</v>
      </c>
      <c r="AC36" s="166">
        <v>0</v>
      </c>
      <c r="AD36" s="166">
        <v>5.2770000000000001</v>
      </c>
      <c r="AE36" s="166">
        <v>5.1710000000000003</v>
      </c>
      <c r="AF36" s="166">
        <v>5.7110000000000003</v>
      </c>
      <c r="AG36" s="166">
        <v>6.5519999999999996</v>
      </c>
      <c r="AH36" s="166">
        <v>6.9180000000000001</v>
      </c>
      <c r="AI36" s="166">
        <v>7.15</v>
      </c>
      <c r="AJ36" s="166">
        <v>6.4589999999999996</v>
      </c>
      <c r="AK36" s="166">
        <v>5.8220000000000001</v>
      </c>
      <c r="AL36" s="166">
        <v>6.1029999999999998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6">
        <v>0</v>
      </c>
      <c r="AV36" s="166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66">
        <v>0</v>
      </c>
      <c r="BD36" s="166">
        <v>42.982999999999997</v>
      </c>
      <c r="BE36" s="166">
        <v>42.252000000000002</v>
      </c>
      <c r="BF36" s="166">
        <v>46.167000000000002</v>
      </c>
      <c r="BG36" s="166">
        <v>70.965000000000003</v>
      </c>
      <c r="BH36" s="166">
        <v>65.296999999999997</v>
      </c>
      <c r="BI36" s="73"/>
      <c r="BJ36" s="166">
        <v>2.7130000000000001</v>
      </c>
      <c r="BK36" s="166">
        <v>3.13</v>
      </c>
      <c r="BL36" s="166">
        <v>2.2730000000000001</v>
      </c>
      <c r="BM36" s="166">
        <v>1.8640000000000001</v>
      </c>
      <c r="BN36" s="166">
        <v>0.503</v>
      </c>
      <c r="BO36" s="166">
        <v>0</v>
      </c>
      <c r="BP36" s="166">
        <v>4.1920000000000002</v>
      </c>
      <c r="BQ36" s="166">
        <v>5.1710000000000003</v>
      </c>
      <c r="BR36" s="166">
        <v>7.15</v>
      </c>
      <c r="BS36" s="166">
        <v>0</v>
      </c>
      <c r="BT36" s="166">
        <f t="shared" si="23"/>
        <v>0</v>
      </c>
      <c r="BU36" s="166">
        <f t="shared" si="24"/>
        <v>0</v>
      </c>
      <c r="BV36" s="166">
        <f t="shared" si="20"/>
        <v>0</v>
      </c>
      <c r="BW36" s="166">
        <f t="shared" si="21"/>
        <v>0</v>
      </c>
      <c r="BX36" s="166">
        <f t="shared" si="22"/>
        <v>70.965000000000003</v>
      </c>
      <c r="CG36" s="63"/>
    </row>
    <row r="37" spans="1:85" x14ac:dyDescent="0.35">
      <c r="A37" s="130"/>
      <c r="B37" s="51" t="str">
        <f>IF(Control!$D$5=1,"Deposits in Court","Depósitos Judiciais")</f>
        <v>Deposits in Court</v>
      </c>
      <c r="C37" s="166">
        <v>1.2509999999999999</v>
      </c>
      <c r="D37" s="166">
        <v>1.294</v>
      </c>
      <c r="E37" s="76" t="s">
        <v>2</v>
      </c>
      <c r="F37" s="76" t="s">
        <v>2</v>
      </c>
      <c r="G37" s="166">
        <v>1.3939999999999999</v>
      </c>
      <c r="H37" s="166">
        <v>1.3819999999999999</v>
      </c>
      <c r="I37" s="166">
        <v>1.367</v>
      </c>
      <c r="J37" s="166">
        <v>2.2229999999999999</v>
      </c>
      <c r="K37" s="166">
        <v>1.7869999999999999</v>
      </c>
      <c r="L37" s="166">
        <v>0</v>
      </c>
      <c r="M37" s="166">
        <v>2.5750000000000002</v>
      </c>
      <c r="N37" s="166">
        <v>3.637</v>
      </c>
      <c r="O37" s="166">
        <v>7.532</v>
      </c>
      <c r="P37" s="166">
        <v>14.704000000000001</v>
      </c>
      <c r="Q37" s="166">
        <v>14.388</v>
      </c>
      <c r="R37" s="166">
        <v>7.4560000000000004</v>
      </c>
      <c r="S37" s="166">
        <v>7.601</v>
      </c>
      <c r="T37" s="166">
        <v>7.6360000000000001</v>
      </c>
      <c r="U37" s="166">
        <v>8.0269999999999992</v>
      </c>
      <c r="V37" s="166">
        <v>8.0440000000000005</v>
      </c>
      <c r="W37" s="166">
        <v>8.6059999999999999</v>
      </c>
      <c r="X37" s="166">
        <v>3.9340000000000002</v>
      </c>
      <c r="Y37" s="166">
        <v>4.1059999999999999</v>
      </c>
      <c r="Z37" s="166">
        <v>4.843</v>
      </c>
      <c r="AA37" s="166">
        <v>5.0869999999999997</v>
      </c>
      <c r="AB37" s="166">
        <v>5.109</v>
      </c>
      <c r="AC37" s="166">
        <v>5.1710000000000003</v>
      </c>
      <c r="AD37" s="166">
        <v>0</v>
      </c>
      <c r="AE37" s="166">
        <v>5.0279999999999996</v>
      </c>
      <c r="AF37" s="166">
        <v>5.3330000000000002</v>
      </c>
      <c r="AG37" s="166">
        <v>4.702</v>
      </c>
      <c r="AH37" s="166">
        <v>4.766</v>
      </c>
      <c r="AI37" s="166">
        <v>4.9489999999999998</v>
      </c>
      <c r="AJ37" s="166">
        <v>5.1630000000000003</v>
      </c>
      <c r="AK37" s="166">
        <v>7.8979999999999997</v>
      </c>
      <c r="AL37" s="166">
        <v>8.6050000000000004</v>
      </c>
      <c r="AM37" s="166">
        <v>9.1999999999999993</v>
      </c>
      <c r="AN37" s="166">
        <v>8.1750000000000007</v>
      </c>
      <c r="AO37" s="166">
        <v>8.7029999999999994</v>
      </c>
      <c r="AP37" s="166">
        <v>8.9280000000000008</v>
      </c>
      <c r="AQ37" s="166">
        <v>8.9</v>
      </c>
      <c r="AR37" s="166">
        <v>8.5</v>
      </c>
      <c r="AS37" s="166">
        <v>9</v>
      </c>
      <c r="AT37" s="166">
        <v>8.8000000000000007</v>
      </c>
      <c r="AU37" s="166">
        <v>9.8610000000000007</v>
      </c>
      <c r="AV37" s="166">
        <v>10.8</v>
      </c>
      <c r="AW37" s="166">
        <v>10.694000000000001</v>
      </c>
      <c r="AX37" s="166">
        <v>7.6440000000000001</v>
      </c>
      <c r="AY37" s="166">
        <v>8.298</v>
      </c>
      <c r="AZ37" s="166">
        <v>8.4</v>
      </c>
      <c r="BA37" s="166">
        <v>7.7489999999999997</v>
      </c>
      <c r="BB37" s="166">
        <v>7.8</v>
      </c>
      <c r="BC37" s="166">
        <v>8.01</v>
      </c>
      <c r="BD37" s="166">
        <v>8.1120000000000001</v>
      </c>
      <c r="BE37" s="166">
        <v>9.0289999999999999</v>
      </c>
      <c r="BF37" s="166">
        <v>10.375</v>
      </c>
      <c r="BG37" s="166">
        <v>9.7569999999999997</v>
      </c>
      <c r="BH37" s="166">
        <v>10.211</v>
      </c>
      <c r="BI37" s="73"/>
      <c r="BJ37" s="166">
        <v>1.2509999999999999</v>
      </c>
      <c r="BK37" s="166">
        <v>1.3939999999999999</v>
      </c>
      <c r="BL37" s="166">
        <v>1.7869999999999999</v>
      </c>
      <c r="BM37" s="166">
        <v>7.532</v>
      </c>
      <c r="BN37" s="166">
        <v>7.601</v>
      </c>
      <c r="BO37" s="166">
        <v>8.6059999999999999</v>
      </c>
      <c r="BP37" s="166">
        <v>5.0869999999999997</v>
      </c>
      <c r="BQ37" s="166">
        <v>5.0279999999999996</v>
      </c>
      <c r="BR37" s="166">
        <v>4.9489999999999998</v>
      </c>
      <c r="BS37" s="166">
        <v>9.1999999999999993</v>
      </c>
      <c r="BT37" s="166">
        <f t="shared" si="23"/>
        <v>8.9</v>
      </c>
      <c r="BU37" s="166">
        <f t="shared" si="24"/>
        <v>9.8610000000000007</v>
      </c>
      <c r="BV37" s="166">
        <f t="shared" si="20"/>
        <v>8.298</v>
      </c>
      <c r="BW37" s="166">
        <f t="shared" si="21"/>
        <v>8.01</v>
      </c>
      <c r="BX37" s="166">
        <f t="shared" si="22"/>
        <v>9.7569999999999997</v>
      </c>
      <c r="CG37" s="63"/>
    </row>
    <row r="38" spans="1:85" x14ac:dyDescent="0.35">
      <c r="B38" s="51" t="str">
        <f>IF(Control!$D$5=1,"Other Long-Term Assets","Outros Ativos Longo Prazo")</f>
        <v>Other Long-Term Assets</v>
      </c>
      <c r="C38" s="166">
        <v>9.8000000000000004E-2</v>
      </c>
      <c r="D38" s="166">
        <v>0</v>
      </c>
      <c r="E38" s="76" t="s">
        <v>2</v>
      </c>
      <c r="F38" s="76" t="s">
        <v>2</v>
      </c>
      <c r="G38" s="166">
        <v>0</v>
      </c>
      <c r="H38" s="166">
        <v>0</v>
      </c>
      <c r="I38" s="166">
        <v>0</v>
      </c>
      <c r="J38" s="166">
        <v>0</v>
      </c>
      <c r="K38" s="166">
        <v>0.30499999999999999</v>
      </c>
      <c r="L38" s="166">
        <v>0.30599999999999999</v>
      </c>
      <c r="M38" s="166">
        <v>0.47399999999999998</v>
      </c>
      <c r="N38" s="166">
        <v>1.4690000000000001</v>
      </c>
      <c r="O38" s="166">
        <v>1.536</v>
      </c>
      <c r="P38" s="166">
        <v>3.3969999999999998</v>
      </c>
      <c r="Q38" s="167">
        <f>2.553+1.405</f>
        <v>3.9580000000000002</v>
      </c>
      <c r="R38" s="166">
        <v>1.784</v>
      </c>
      <c r="S38" s="166">
        <v>3.4750000000000001</v>
      </c>
      <c r="T38" s="166">
        <v>1.754</v>
      </c>
      <c r="U38" s="166">
        <v>1.387</v>
      </c>
      <c r="V38" s="166">
        <v>6.5019999999999998</v>
      </c>
      <c r="W38" s="166">
        <v>1.234</v>
      </c>
      <c r="X38" s="166">
        <v>1.284</v>
      </c>
      <c r="Y38" s="166">
        <v>4.8239999999999998</v>
      </c>
      <c r="Z38" s="166">
        <v>0.88300000000000001</v>
      </c>
      <c r="AA38" s="166">
        <v>0.871</v>
      </c>
      <c r="AB38" s="166">
        <v>0.995</v>
      </c>
      <c r="AC38" s="166">
        <v>22.655999999999999</v>
      </c>
      <c r="AD38" s="166">
        <v>23.254999999999999</v>
      </c>
      <c r="AE38" s="166">
        <v>16.888000000000002</v>
      </c>
      <c r="AF38" s="166">
        <v>18.085999999999999</v>
      </c>
      <c r="AG38" s="166">
        <v>18.876999999999999</v>
      </c>
      <c r="AH38" s="166">
        <v>18.675000000000001</v>
      </c>
      <c r="AI38" s="166">
        <v>6.0119999999999996</v>
      </c>
      <c r="AJ38" s="166">
        <v>14.444000000000001</v>
      </c>
      <c r="AK38" s="166">
        <v>18.385999999999999</v>
      </c>
      <c r="AL38" s="166">
        <v>10.079000000000001</v>
      </c>
      <c r="AM38" s="166">
        <v>9.5</v>
      </c>
      <c r="AN38" s="166">
        <v>7.7130000000000001</v>
      </c>
      <c r="AO38" s="166">
        <v>4.9429999999999996</v>
      </c>
      <c r="AP38" s="166">
        <v>5.2</v>
      </c>
      <c r="AQ38" s="166">
        <v>12.5</v>
      </c>
      <c r="AR38" s="166">
        <v>17.8</v>
      </c>
      <c r="AS38" s="166">
        <v>16.3</v>
      </c>
      <c r="AT38" s="166">
        <v>13.5</v>
      </c>
      <c r="AU38" s="166">
        <v>15.968999999999999</v>
      </c>
      <c r="AV38" s="166">
        <f>15.3+93.3</f>
        <v>108.6</v>
      </c>
      <c r="AW38" s="166">
        <v>12.956</v>
      </c>
      <c r="AX38" s="166">
        <v>13.162000000000001</v>
      </c>
      <c r="AY38" s="166">
        <v>2.1160000000000001</v>
      </c>
      <c r="AZ38" s="166">
        <v>0.55400000000000005</v>
      </c>
      <c r="BA38" s="166">
        <v>0.53400000000000003</v>
      </c>
      <c r="BB38" s="166">
        <v>0.60299999999999998</v>
      </c>
      <c r="BC38" s="166">
        <v>0.38600000000000001</v>
      </c>
      <c r="BD38" s="166">
        <v>0.38200000000000001</v>
      </c>
      <c r="BE38" s="166">
        <v>0.38200000000000001</v>
      </c>
      <c r="BF38" s="166">
        <v>0.70699999999999996</v>
      </c>
      <c r="BG38" s="166">
        <v>10.768000000000001</v>
      </c>
      <c r="BH38" s="166">
        <v>10.012</v>
      </c>
      <c r="BI38" s="73"/>
      <c r="BJ38" s="166">
        <v>9.8000000000000004E-2</v>
      </c>
      <c r="BK38" s="166">
        <v>0</v>
      </c>
      <c r="BL38" s="166">
        <v>0.30499999999999999</v>
      </c>
      <c r="BM38" s="166">
        <v>1.536</v>
      </c>
      <c r="BN38" s="166">
        <v>3.4750000000000001</v>
      </c>
      <c r="BO38" s="166">
        <v>1.234</v>
      </c>
      <c r="BP38" s="166">
        <v>0.871</v>
      </c>
      <c r="BQ38" s="166">
        <v>16.888000000000002</v>
      </c>
      <c r="BR38" s="166">
        <v>6.0119999999999996</v>
      </c>
      <c r="BS38" s="166">
        <v>9.5</v>
      </c>
      <c r="BT38" s="166">
        <f t="shared" si="23"/>
        <v>12.5</v>
      </c>
      <c r="BU38" s="166">
        <f t="shared" si="24"/>
        <v>15.968999999999999</v>
      </c>
      <c r="BV38" s="166">
        <f t="shared" si="20"/>
        <v>2.1160000000000001</v>
      </c>
      <c r="BW38" s="166">
        <f t="shared" si="21"/>
        <v>0.38600000000000001</v>
      </c>
      <c r="BX38" s="166">
        <f t="shared" si="22"/>
        <v>10.768000000000001</v>
      </c>
      <c r="CG38" s="63"/>
    </row>
    <row r="39" spans="1:85" ht="6.75" customHeight="1" outlineLevel="1" x14ac:dyDescent="0.35">
      <c r="B39" s="15"/>
      <c r="C39" s="166"/>
      <c r="D39" s="166"/>
      <c r="E39" s="76"/>
      <c r="F39" s="7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73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</row>
    <row r="40" spans="1:85" s="23" customFormat="1" outlineLevel="1" x14ac:dyDescent="0.35">
      <c r="A40" s="130"/>
      <c r="B40" s="41" t="str">
        <f>IF(Control!$D$5=1,"Total Permanent Assets","Ativo Permanente")</f>
        <v>Total Permanent Assets</v>
      </c>
      <c r="C40" s="160">
        <f>SUM(C41:C43)</f>
        <v>131.10999999999999</v>
      </c>
      <c r="D40" s="160">
        <f>SUM(D41:D43)</f>
        <v>127.91199999999999</v>
      </c>
      <c r="E40" s="165" t="s">
        <v>2</v>
      </c>
      <c r="F40" s="165" t="s">
        <v>2</v>
      </c>
      <c r="G40" s="160">
        <f t="shared" ref="G40:AN40" si="25">SUM(G41:G43)</f>
        <v>201.84300000000002</v>
      </c>
      <c r="H40" s="160">
        <f t="shared" si="25"/>
        <v>186.68199999999999</v>
      </c>
      <c r="I40" s="160">
        <f t="shared" si="25"/>
        <v>188.88199999999998</v>
      </c>
      <c r="J40" s="160">
        <f t="shared" si="25"/>
        <v>193.42099999999999</v>
      </c>
      <c r="K40" s="160">
        <f t="shared" si="25"/>
        <v>249</v>
      </c>
      <c r="L40" s="160">
        <f t="shared" si="25"/>
        <v>262.01900000000001</v>
      </c>
      <c r="M40" s="160">
        <f t="shared" si="25"/>
        <v>273.91399999999999</v>
      </c>
      <c r="N40" s="160">
        <f t="shared" si="25"/>
        <v>289.45100000000002</v>
      </c>
      <c r="O40" s="160">
        <f t="shared" si="25"/>
        <v>430.916</v>
      </c>
      <c r="P40" s="160">
        <f t="shared" si="25"/>
        <v>594.37600000000009</v>
      </c>
      <c r="Q40" s="160">
        <f t="shared" si="25"/>
        <v>592.51800000000003</v>
      </c>
      <c r="R40" s="160">
        <f t="shared" si="25"/>
        <v>754.03099999999995</v>
      </c>
      <c r="S40" s="160">
        <f t="shared" si="25"/>
        <v>764.95399999999995</v>
      </c>
      <c r="T40" s="160">
        <f t="shared" si="25"/>
        <v>800.8119999999999</v>
      </c>
      <c r="U40" s="160">
        <f t="shared" si="25"/>
        <v>818.77</v>
      </c>
      <c r="V40" s="160">
        <f t="shared" si="25"/>
        <v>1237.9189999999999</v>
      </c>
      <c r="W40" s="160">
        <f t="shared" si="25"/>
        <v>1213.3440000000001</v>
      </c>
      <c r="X40" s="160">
        <f t="shared" si="25"/>
        <v>1279.98</v>
      </c>
      <c r="Y40" s="160">
        <f t="shared" si="25"/>
        <v>1319.1350000000002</v>
      </c>
      <c r="Z40" s="160">
        <f t="shared" si="25"/>
        <v>1329.058</v>
      </c>
      <c r="AA40" s="160">
        <f t="shared" si="25"/>
        <v>1359.355</v>
      </c>
      <c r="AB40" s="160">
        <f t="shared" si="25"/>
        <v>1351.778</v>
      </c>
      <c r="AC40" s="160">
        <f t="shared" si="25"/>
        <v>1309.588</v>
      </c>
      <c r="AD40" s="160">
        <f t="shared" si="25"/>
        <v>1397.6410000000001</v>
      </c>
      <c r="AE40" s="160">
        <f t="shared" si="25"/>
        <v>1441.2349999999999</v>
      </c>
      <c r="AF40" s="160">
        <f t="shared" si="25"/>
        <v>1468.222</v>
      </c>
      <c r="AG40" s="160">
        <f t="shared" si="25"/>
        <v>1521.5430000000001</v>
      </c>
      <c r="AH40" s="160">
        <f t="shared" si="25"/>
        <v>1519.587</v>
      </c>
      <c r="AI40" s="160">
        <f t="shared" si="25"/>
        <v>1512.306</v>
      </c>
      <c r="AJ40" s="160">
        <f t="shared" si="25"/>
        <v>1461.9459999999999</v>
      </c>
      <c r="AK40" s="160">
        <f t="shared" si="25"/>
        <v>1387.8850000000002</v>
      </c>
      <c r="AL40" s="160">
        <f t="shared" si="25"/>
        <v>1401.7930000000001</v>
      </c>
      <c r="AM40" s="160">
        <f t="shared" si="25"/>
        <v>1387.8</v>
      </c>
      <c r="AN40" s="160">
        <f t="shared" si="25"/>
        <v>1396.377</v>
      </c>
      <c r="AO40" s="160">
        <f t="shared" ref="AO40:AT40" si="26">SUM(AO41:AO43)</f>
        <v>1389.6959999999999</v>
      </c>
      <c r="AP40" s="160">
        <f t="shared" si="26"/>
        <v>1397.8130000000001</v>
      </c>
      <c r="AQ40" s="160">
        <f t="shared" si="26"/>
        <v>1416</v>
      </c>
      <c r="AR40" s="160">
        <f t="shared" si="26"/>
        <v>1483.9</v>
      </c>
      <c r="AS40" s="160">
        <f t="shared" si="26"/>
        <v>1544.1</v>
      </c>
      <c r="AT40" s="160">
        <f t="shared" si="26"/>
        <v>1491.5</v>
      </c>
      <c r="AU40" s="160">
        <f>SUM(AU41:AU43)</f>
        <v>1657.0140000000001</v>
      </c>
      <c r="AV40" s="160">
        <f>SUM(AV41:AV43)</f>
        <v>1656.8</v>
      </c>
      <c r="AW40" s="160">
        <f t="shared" ref="AW40:BF40" si="27">SUM(AW41:AW44)</f>
        <v>1785.953</v>
      </c>
      <c r="AX40" s="160">
        <f t="shared" si="27"/>
        <v>1786.2850000000001</v>
      </c>
      <c r="AY40" s="160">
        <f t="shared" si="27"/>
        <v>1800.568</v>
      </c>
      <c r="AZ40" s="160">
        <f t="shared" si="27"/>
        <v>1904.4159999999999</v>
      </c>
      <c r="BA40" s="160">
        <f t="shared" si="27"/>
        <v>1908.8790000000001</v>
      </c>
      <c r="BB40" s="160">
        <f t="shared" si="27"/>
        <v>2023.4</v>
      </c>
      <c r="BC40" s="160">
        <f t="shared" si="27"/>
        <v>2094.2370000000001</v>
      </c>
      <c r="BD40" s="160">
        <f t="shared" si="27"/>
        <v>2044.0650000000003</v>
      </c>
      <c r="BE40" s="160">
        <f t="shared" si="27"/>
        <v>2009.3959999999997</v>
      </c>
      <c r="BF40" s="160">
        <f t="shared" si="27"/>
        <v>2660.1059999999998</v>
      </c>
      <c r="BG40" s="160">
        <f t="shared" ref="BG40:BH40" si="28">SUM(BG41:BG44)</f>
        <v>2776.1559999999999</v>
      </c>
      <c r="BH40" s="160">
        <f t="shared" si="28"/>
        <v>2836.4830000000002</v>
      </c>
      <c r="BI40" s="73"/>
      <c r="BJ40" s="160">
        <f>SUM(BJ41:BJ43)</f>
        <v>131.10999999999999</v>
      </c>
      <c r="BK40" s="160">
        <f t="shared" ref="BK40:BQ40" si="29">SUM(BK41:BK43)</f>
        <v>201.84300000000002</v>
      </c>
      <c r="BL40" s="160">
        <f t="shared" si="29"/>
        <v>249</v>
      </c>
      <c r="BM40" s="160">
        <f t="shared" si="29"/>
        <v>430.916</v>
      </c>
      <c r="BN40" s="160">
        <f t="shared" si="29"/>
        <v>764.95399999999995</v>
      </c>
      <c r="BO40" s="160">
        <f t="shared" si="29"/>
        <v>1213.3440000000001</v>
      </c>
      <c r="BP40" s="160">
        <f t="shared" si="29"/>
        <v>1359.355</v>
      </c>
      <c r="BQ40" s="160">
        <f t="shared" si="29"/>
        <v>1441.2349999999999</v>
      </c>
      <c r="BR40" s="160">
        <f>SUM(BR41:BR43)</f>
        <v>1512.306</v>
      </c>
      <c r="BS40" s="160">
        <f>SUM(BS41:BS43)</f>
        <v>1387.8</v>
      </c>
      <c r="BT40" s="160">
        <f>SUM(BT41:BT43)</f>
        <v>1416</v>
      </c>
      <c r="BU40" s="160">
        <f>AU40</f>
        <v>1657.0140000000001</v>
      </c>
      <c r="BV40" s="160">
        <f>AY40</f>
        <v>1800.568</v>
      </c>
      <c r="BW40" s="160">
        <f>BC40</f>
        <v>2094.2370000000001</v>
      </c>
      <c r="BX40" s="160">
        <f>BG40</f>
        <v>2776.1559999999999</v>
      </c>
    </row>
    <row r="41" spans="1:85" x14ac:dyDescent="0.35">
      <c r="B41" s="51" t="str">
        <f>IF(Control!$D$5=1,"Investments","Investimentos")</f>
        <v>Investments</v>
      </c>
      <c r="C41" s="166">
        <v>35.683</v>
      </c>
      <c r="D41" s="166">
        <v>33.728000000000002</v>
      </c>
      <c r="E41" s="76" t="s">
        <v>2</v>
      </c>
      <c r="F41" s="76" t="s">
        <v>2</v>
      </c>
      <c r="G41" s="166">
        <v>38.508000000000003</v>
      </c>
      <c r="H41" s="166">
        <v>35.597000000000001</v>
      </c>
      <c r="I41" s="166">
        <v>35.170999999999999</v>
      </c>
      <c r="J41" s="166">
        <v>34.487000000000002</v>
      </c>
      <c r="K41" s="166">
        <v>62.167000000000002</v>
      </c>
      <c r="L41" s="166">
        <v>61.575000000000003</v>
      </c>
      <c r="M41" s="166">
        <v>67.128</v>
      </c>
      <c r="N41" s="166">
        <v>67.614999999999995</v>
      </c>
      <c r="O41" s="166">
        <v>14.670999999999999</v>
      </c>
      <c r="P41" s="166">
        <v>13.571</v>
      </c>
      <c r="Q41" s="166">
        <v>12.471</v>
      </c>
      <c r="R41" s="166">
        <v>13.909000000000001</v>
      </c>
      <c r="S41" s="166">
        <v>9.7949999999999999</v>
      </c>
      <c r="T41" s="166">
        <v>11.847</v>
      </c>
      <c r="U41" s="166">
        <v>12.204000000000001</v>
      </c>
      <c r="V41" s="166">
        <v>13.711</v>
      </c>
      <c r="W41" s="166">
        <v>14.411</v>
      </c>
      <c r="X41" s="166">
        <v>15.17</v>
      </c>
      <c r="Y41" s="166">
        <v>17.695</v>
      </c>
      <c r="Z41" s="166">
        <v>16.917999999999999</v>
      </c>
      <c r="AA41" s="166">
        <v>16.09</v>
      </c>
      <c r="AB41" s="166">
        <v>15.371</v>
      </c>
      <c r="AC41" s="166">
        <v>15.654999999999999</v>
      </c>
      <c r="AD41" s="166">
        <v>18.137</v>
      </c>
      <c r="AE41" s="166">
        <v>20.271000000000001</v>
      </c>
      <c r="AF41" s="166">
        <v>21.036000000000001</v>
      </c>
      <c r="AG41" s="166">
        <v>24.03</v>
      </c>
      <c r="AH41" s="166">
        <v>23.41</v>
      </c>
      <c r="AI41" s="166">
        <v>20.936</v>
      </c>
      <c r="AJ41" s="166">
        <v>19.736999999999998</v>
      </c>
      <c r="AK41" s="166">
        <v>18.306000000000001</v>
      </c>
      <c r="AL41" s="166">
        <v>18.382999999999999</v>
      </c>
      <c r="AM41" s="166">
        <v>27.3</v>
      </c>
      <c r="AN41" s="166">
        <v>27.643999999999998</v>
      </c>
      <c r="AO41" s="166">
        <v>27.228000000000002</v>
      </c>
      <c r="AP41" s="166">
        <v>27.332999999999998</v>
      </c>
      <c r="AQ41" s="166">
        <v>26.7</v>
      </c>
      <c r="AR41" s="166">
        <v>29.8</v>
      </c>
      <c r="AS41" s="166">
        <v>33.700000000000003</v>
      </c>
      <c r="AT41" s="166">
        <v>31.2</v>
      </c>
      <c r="AU41" s="166">
        <v>29.879000000000001</v>
      </c>
      <c r="AV41" s="166">
        <v>31</v>
      </c>
      <c r="AW41" s="166">
        <v>30.567</v>
      </c>
      <c r="AX41" s="166">
        <v>30.238</v>
      </c>
      <c r="AY41" s="166">
        <v>32.981000000000002</v>
      </c>
      <c r="AZ41" s="166">
        <v>39.631999999999998</v>
      </c>
      <c r="BA41" s="166">
        <v>38.847999999999999</v>
      </c>
      <c r="BB41" s="166">
        <v>36.481000000000002</v>
      </c>
      <c r="BC41" s="166">
        <v>38.048999999999999</v>
      </c>
      <c r="BD41" s="166">
        <v>36.115000000000002</v>
      </c>
      <c r="BE41" s="166">
        <v>35.822000000000003</v>
      </c>
      <c r="BF41" s="166">
        <v>38.984000000000002</v>
      </c>
      <c r="BG41" s="166">
        <v>34.746000000000002</v>
      </c>
      <c r="BH41" s="166">
        <v>31.4</v>
      </c>
      <c r="BI41" s="73"/>
      <c r="BJ41" s="166">
        <v>35.683</v>
      </c>
      <c r="BK41" s="166">
        <v>38.508000000000003</v>
      </c>
      <c r="BL41" s="166">
        <v>62.167000000000002</v>
      </c>
      <c r="BM41" s="166">
        <v>14.670999999999999</v>
      </c>
      <c r="BN41" s="166">
        <v>9.7949999999999999</v>
      </c>
      <c r="BO41" s="166">
        <v>14.411</v>
      </c>
      <c r="BP41" s="166">
        <v>16.09</v>
      </c>
      <c r="BQ41" s="166">
        <v>20.271000000000001</v>
      </c>
      <c r="BR41" s="166">
        <v>20.936</v>
      </c>
      <c r="BS41" s="166">
        <v>27.3</v>
      </c>
      <c r="BT41" s="166">
        <f>AQ41</f>
        <v>26.7</v>
      </c>
      <c r="BU41" s="166">
        <f>AU41</f>
        <v>29.879000000000001</v>
      </c>
      <c r="BV41" s="166">
        <f>AY41</f>
        <v>32.981000000000002</v>
      </c>
      <c r="BW41" s="166">
        <f>BC41</f>
        <v>38.048999999999999</v>
      </c>
      <c r="BX41" s="166">
        <f>BG41</f>
        <v>34.746000000000002</v>
      </c>
      <c r="CG41" s="63"/>
    </row>
    <row r="42" spans="1:85" x14ac:dyDescent="0.35">
      <c r="B42" s="51" t="str">
        <f>IF(Control!$D$5=1,"Plant, Property &amp; Equipment","Imobilizado Líquido")</f>
        <v>Plant, Property &amp; Equipment</v>
      </c>
      <c r="C42" s="166">
        <v>94.697000000000003</v>
      </c>
      <c r="D42" s="166">
        <v>93.447999999999993</v>
      </c>
      <c r="E42" s="76" t="s">
        <v>2</v>
      </c>
      <c r="F42" s="76" t="s">
        <v>2</v>
      </c>
      <c r="G42" s="166">
        <v>162.429</v>
      </c>
      <c r="H42" s="166">
        <v>150.19499999999999</v>
      </c>
      <c r="I42" s="166">
        <v>152.779</v>
      </c>
      <c r="J42" s="166">
        <v>157.982</v>
      </c>
      <c r="K42" s="166">
        <v>183.23</v>
      </c>
      <c r="L42" s="166">
        <v>196.905</v>
      </c>
      <c r="M42" s="166">
        <v>203.089</v>
      </c>
      <c r="N42" s="166">
        <v>218.036</v>
      </c>
      <c r="O42" s="166">
        <v>355.392</v>
      </c>
      <c r="P42" s="166">
        <v>484.85500000000002</v>
      </c>
      <c r="Q42" s="166">
        <v>463.608</v>
      </c>
      <c r="R42" s="166">
        <v>531.84100000000001</v>
      </c>
      <c r="S42" s="166">
        <v>568.28499999999997</v>
      </c>
      <c r="T42" s="166">
        <v>555.16899999999998</v>
      </c>
      <c r="U42" s="166">
        <v>599.447</v>
      </c>
      <c r="V42" s="166">
        <v>656.56700000000001</v>
      </c>
      <c r="W42" s="166">
        <v>690.30799999999999</v>
      </c>
      <c r="X42" s="166">
        <v>754.58799999999997</v>
      </c>
      <c r="Y42" s="166">
        <v>767.22400000000005</v>
      </c>
      <c r="Z42" s="166">
        <v>770.87800000000004</v>
      </c>
      <c r="AA42" s="166">
        <v>821.322</v>
      </c>
      <c r="AB42" s="166">
        <v>811.11099999999999</v>
      </c>
      <c r="AC42" s="166">
        <v>773.41300000000001</v>
      </c>
      <c r="AD42" s="166">
        <v>802.53499999999997</v>
      </c>
      <c r="AE42" s="166">
        <v>830.84699999999998</v>
      </c>
      <c r="AF42" s="166">
        <v>864.26400000000001</v>
      </c>
      <c r="AG42" s="166">
        <v>901.51499999999999</v>
      </c>
      <c r="AH42" s="166">
        <v>902.649</v>
      </c>
      <c r="AI42" s="166">
        <v>897.61900000000003</v>
      </c>
      <c r="AJ42" s="166">
        <v>860.00300000000004</v>
      </c>
      <c r="AK42" s="166">
        <v>803.96900000000005</v>
      </c>
      <c r="AL42" s="166">
        <v>812.55899999999997</v>
      </c>
      <c r="AM42" s="166">
        <v>797.7</v>
      </c>
      <c r="AN42" s="166">
        <v>802.74300000000005</v>
      </c>
      <c r="AO42" s="166">
        <v>799.31799999999998</v>
      </c>
      <c r="AP42" s="166">
        <v>802.44</v>
      </c>
      <c r="AQ42" s="166">
        <v>823</v>
      </c>
      <c r="AR42" s="166">
        <v>865.7</v>
      </c>
      <c r="AS42" s="166">
        <v>913.6</v>
      </c>
      <c r="AT42" s="166">
        <v>873.6</v>
      </c>
      <c r="AU42" s="166">
        <v>971.82899999999995</v>
      </c>
      <c r="AV42" s="166">
        <v>976.5</v>
      </c>
      <c r="AW42" s="166">
        <v>1004.867</v>
      </c>
      <c r="AX42" s="166">
        <v>1001.434</v>
      </c>
      <c r="AY42" s="166">
        <v>1011.694</v>
      </c>
      <c r="AZ42" s="166">
        <v>1066.367</v>
      </c>
      <c r="BA42" s="166">
        <v>1067.3630000000001</v>
      </c>
      <c r="BB42" s="166">
        <v>1109.558</v>
      </c>
      <c r="BC42" s="166">
        <v>1170.5450000000001</v>
      </c>
      <c r="BD42" s="166">
        <v>1137.1300000000001</v>
      </c>
      <c r="BE42" s="166">
        <v>1108.9269999999999</v>
      </c>
      <c r="BF42" s="166">
        <v>1565.818</v>
      </c>
      <c r="BG42" s="166">
        <v>1595.529</v>
      </c>
      <c r="BH42" s="166">
        <v>1577.0920000000001</v>
      </c>
      <c r="BI42" s="73"/>
      <c r="BJ42" s="166">
        <v>94.697000000000003</v>
      </c>
      <c r="BK42" s="166">
        <v>162.429</v>
      </c>
      <c r="BL42" s="166">
        <v>183.23</v>
      </c>
      <c r="BM42" s="166">
        <v>355.392</v>
      </c>
      <c r="BN42" s="166">
        <v>568.28499999999997</v>
      </c>
      <c r="BO42" s="166">
        <v>690.30799999999999</v>
      </c>
      <c r="BP42" s="166">
        <v>821.322</v>
      </c>
      <c r="BQ42" s="166">
        <v>830.84699999999998</v>
      </c>
      <c r="BR42" s="166">
        <v>897.61900000000003</v>
      </c>
      <c r="BS42" s="166">
        <v>797.7</v>
      </c>
      <c r="BT42" s="166">
        <f>AQ42</f>
        <v>823</v>
      </c>
      <c r="BU42" s="166">
        <f>AU42</f>
        <v>971.82899999999995</v>
      </c>
      <c r="BV42" s="166">
        <f>AY42</f>
        <v>1011.694</v>
      </c>
      <c r="BW42" s="166">
        <f>BC42</f>
        <v>1170.5450000000001</v>
      </c>
      <c r="BX42" s="166">
        <f>BG42</f>
        <v>1595.529</v>
      </c>
      <c r="CG42" s="63"/>
    </row>
    <row r="43" spans="1:85" x14ac:dyDescent="0.35">
      <c r="B43" s="51" t="str">
        <f>IF(Control!$D$5=1,"Intangible Assets","Ativo Intangível")</f>
        <v>Intangible Assets</v>
      </c>
      <c r="C43" s="166">
        <v>0.73</v>
      </c>
      <c r="D43" s="166">
        <v>0.73599999999999999</v>
      </c>
      <c r="E43" s="76" t="s">
        <v>2</v>
      </c>
      <c r="F43" s="76" t="s">
        <v>2</v>
      </c>
      <c r="G43" s="166">
        <v>0.90600000000000003</v>
      </c>
      <c r="H43" s="166">
        <v>0.89</v>
      </c>
      <c r="I43" s="166">
        <v>0.93200000000000005</v>
      </c>
      <c r="J43" s="166">
        <v>0.95199999999999996</v>
      </c>
      <c r="K43" s="166">
        <v>3.6030000000000002</v>
      </c>
      <c r="L43" s="166">
        <v>3.5390000000000001</v>
      </c>
      <c r="M43" s="166">
        <v>3.6970000000000001</v>
      </c>
      <c r="N43" s="166">
        <v>3.8</v>
      </c>
      <c r="O43" s="166">
        <v>60.853000000000002</v>
      </c>
      <c r="P43" s="166">
        <v>95.95</v>
      </c>
      <c r="Q43" s="166">
        <v>116.43899999999999</v>
      </c>
      <c r="R43" s="166">
        <v>208.28100000000001</v>
      </c>
      <c r="S43" s="166">
        <v>186.874</v>
      </c>
      <c r="T43" s="166">
        <v>233.79599999999999</v>
      </c>
      <c r="U43" s="166">
        <v>207.119</v>
      </c>
      <c r="V43" s="166">
        <v>567.64099999999996</v>
      </c>
      <c r="W43" s="166">
        <v>508.625</v>
      </c>
      <c r="X43" s="166">
        <v>510.22199999999998</v>
      </c>
      <c r="Y43" s="166">
        <v>534.21600000000001</v>
      </c>
      <c r="Z43" s="166">
        <v>541.26199999999994</v>
      </c>
      <c r="AA43" s="166">
        <v>521.94299999999998</v>
      </c>
      <c r="AB43" s="166">
        <v>525.29600000000005</v>
      </c>
      <c r="AC43" s="166">
        <v>520.52</v>
      </c>
      <c r="AD43" s="166">
        <v>576.96900000000005</v>
      </c>
      <c r="AE43" s="166">
        <v>590.11699999999996</v>
      </c>
      <c r="AF43" s="166">
        <v>582.92200000000003</v>
      </c>
      <c r="AG43" s="166">
        <v>595.99800000000005</v>
      </c>
      <c r="AH43" s="166">
        <v>593.52800000000002</v>
      </c>
      <c r="AI43" s="166">
        <v>593.75099999999998</v>
      </c>
      <c r="AJ43" s="166">
        <v>582.20600000000002</v>
      </c>
      <c r="AK43" s="166">
        <v>565.61</v>
      </c>
      <c r="AL43" s="166">
        <v>570.851</v>
      </c>
      <c r="AM43" s="166">
        <v>562.79999999999995</v>
      </c>
      <c r="AN43" s="166">
        <v>565.99</v>
      </c>
      <c r="AO43" s="166">
        <v>563.15</v>
      </c>
      <c r="AP43" s="166">
        <v>568.04</v>
      </c>
      <c r="AQ43" s="166">
        <v>566.29999999999995</v>
      </c>
      <c r="AR43" s="166">
        <v>588.4</v>
      </c>
      <c r="AS43" s="166">
        <v>596.79999999999995</v>
      </c>
      <c r="AT43" s="166">
        <v>586.70000000000005</v>
      </c>
      <c r="AU43" s="166">
        <v>655.30600000000004</v>
      </c>
      <c r="AV43" s="166">
        <v>649.29999999999995</v>
      </c>
      <c r="AW43" s="166">
        <v>660.03499999999997</v>
      </c>
      <c r="AX43" s="166">
        <v>661.13300000000004</v>
      </c>
      <c r="AY43" s="166">
        <v>665.66600000000005</v>
      </c>
      <c r="AZ43" s="166">
        <v>708.31700000000001</v>
      </c>
      <c r="BA43" s="166">
        <v>708.71600000000001</v>
      </c>
      <c r="BB43" s="166">
        <v>703.46100000000001</v>
      </c>
      <c r="BC43" s="166">
        <v>717.74300000000005</v>
      </c>
      <c r="BD43" s="166">
        <v>702.02599999999995</v>
      </c>
      <c r="BE43" s="166">
        <v>688.971</v>
      </c>
      <c r="BF43" s="166">
        <v>900.91800000000001</v>
      </c>
      <c r="BG43" s="166">
        <v>984.928</v>
      </c>
      <c r="BH43" s="166">
        <v>1037.5170000000001</v>
      </c>
      <c r="BI43" s="73"/>
      <c r="BJ43" s="166">
        <v>0.73</v>
      </c>
      <c r="BK43" s="166">
        <v>0.90600000000000003</v>
      </c>
      <c r="BL43" s="166">
        <v>3.6030000000000002</v>
      </c>
      <c r="BM43" s="166">
        <v>60.853000000000002</v>
      </c>
      <c r="BN43" s="166">
        <v>186.874</v>
      </c>
      <c r="BO43" s="166">
        <v>508.625</v>
      </c>
      <c r="BP43" s="166">
        <v>521.94299999999998</v>
      </c>
      <c r="BQ43" s="166">
        <v>590.11699999999996</v>
      </c>
      <c r="BR43" s="166">
        <v>593.75099999999998</v>
      </c>
      <c r="BS43" s="166">
        <v>562.79999999999995</v>
      </c>
      <c r="BT43" s="166">
        <f>AQ43</f>
        <v>566.29999999999995</v>
      </c>
      <c r="BU43" s="166">
        <f>AU43</f>
        <v>655.30600000000004</v>
      </c>
      <c r="BV43" s="166">
        <f>AY43</f>
        <v>665.66600000000005</v>
      </c>
      <c r="BW43" s="166">
        <f>BC43</f>
        <v>717.74300000000005</v>
      </c>
      <c r="BX43" s="166">
        <f>BG43</f>
        <v>984.928</v>
      </c>
      <c r="CG43" s="63"/>
    </row>
    <row r="44" spans="1:85" x14ac:dyDescent="0.35">
      <c r="B44" s="51" t="str">
        <f>IF(Control!$D$5=1,"Right of Use Assets","Ativos de Direito de Uso")</f>
        <v>Right of Use Assets</v>
      </c>
      <c r="C44" s="166"/>
      <c r="D44" s="166"/>
      <c r="E44" s="76"/>
      <c r="F44" s="7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>
        <v>90.483999999999995</v>
      </c>
      <c r="AX44" s="166">
        <v>93.48</v>
      </c>
      <c r="AY44" s="166">
        <v>90.227000000000004</v>
      </c>
      <c r="AZ44" s="166">
        <v>90.1</v>
      </c>
      <c r="BA44" s="166">
        <v>93.951999999999998</v>
      </c>
      <c r="BB44" s="166">
        <v>173.9</v>
      </c>
      <c r="BC44" s="166">
        <v>167.9</v>
      </c>
      <c r="BD44" s="166">
        <v>168.79400000000001</v>
      </c>
      <c r="BE44" s="166">
        <v>175.67599999999999</v>
      </c>
      <c r="BF44" s="166">
        <v>154.386</v>
      </c>
      <c r="BG44" s="166">
        <v>160.953</v>
      </c>
      <c r="BH44" s="166">
        <v>190.47399999999999</v>
      </c>
      <c r="BI44" s="73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>
        <f>BC44</f>
        <v>167.9</v>
      </c>
      <c r="BX44" s="166">
        <f>BG44</f>
        <v>160.953</v>
      </c>
      <c r="CG44" s="63"/>
    </row>
    <row r="45" spans="1:85" x14ac:dyDescent="0.35">
      <c r="B45" s="51"/>
      <c r="C45" s="166"/>
      <c r="D45" s="166"/>
      <c r="E45" s="76"/>
      <c r="F45" s="7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73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CG45" s="63"/>
    </row>
    <row r="46" spans="1:85" x14ac:dyDescent="0.35">
      <c r="B46" s="51"/>
      <c r="C46" s="166"/>
      <c r="D46" s="166"/>
      <c r="E46" s="76"/>
      <c r="F46" s="7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73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CG46" s="63"/>
    </row>
    <row r="47" spans="1:85" ht="6.5" customHeight="1" x14ac:dyDescent="0.35">
      <c r="B47" s="1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73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</row>
    <row r="48" spans="1:85" s="23" customFormat="1" x14ac:dyDescent="0.35">
      <c r="A48" s="7"/>
      <c r="B48" s="54" t="str">
        <f>IF(Control!$D$5=1,"Total Assets","Ativo Total")</f>
        <v>Total Assets</v>
      </c>
      <c r="C48" s="168">
        <f>C9+C27+C40</f>
        <v>449.452</v>
      </c>
      <c r="D48" s="168">
        <f>D9+D27+D40</f>
        <v>800.92400000000009</v>
      </c>
      <c r="E48" s="168" t="s">
        <v>2</v>
      </c>
      <c r="F48" s="168" t="s">
        <v>2</v>
      </c>
      <c r="G48" s="168">
        <f t="shared" ref="G48:AZ48" si="30">G9+G27+G40</f>
        <v>747.58999999999992</v>
      </c>
      <c r="H48" s="168">
        <f t="shared" si="30"/>
        <v>912.13600000000008</v>
      </c>
      <c r="I48" s="168">
        <f t="shared" si="30"/>
        <v>763.4799999999999</v>
      </c>
      <c r="J48" s="168">
        <f t="shared" si="30"/>
        <v>709.14499999999998</v>
      </c>
      <c r="K48" s="168">
        <f t="shared" si="30"/>
        <v>958.34499999999991</v>
      </c>
      <c r="L48" s="168">
        <f t="shared" si="30"/>
        <v>1195.3290000000002</v>
      </c>
      <c r="M48" s="168">
        <f t="shared" si="30"/>
        <v>1121.2710000000002</v>
      </c>
      <c r="N48" s="168">
        <f t="shared" si="30"/>
        <v>1075.6610000000001</v>
      </c>
      <c r="O48" s="168">
        <f t="shared" si="30"/>
        <v>1115.1869999999999</v>
      </c>
      <c r="P48" s="168">
        <f t="shared" si="30"/>
        <v>1628.087</v>
      </c>
      <c r="Q48" s="168">
        <f t="shared" si="30"/>
        <v>1599.1669999999999</v>
      </c>
      <c r="R48" s="168">
        <f t="shared" si="30"/>
        <v>1877.6669999999999</v>
      </c>
      <c r="S48" s="168">
        <f t="shared" si="30"/>
        <v>2029.0559999999998</v>
      </c>
      <c r="T48" s="168">
        <f t="shared" si="30"/>
        <v>2440.7129999999997</v>
      </c>
      <c r="U48" s="168">
        <f t="shared" si="30"/>
        <v>2323.6819999999998</v>
      </c>
      <c r="V48" s="168">
        <f t="shared" si="30"/>
        <v>2773.0919999999996</v>
      </c>
      <c r="W48" s="168">
        <f t="shared" si="30"/>
        <v>2737.3820000000001</v>
      </c>
      <c r="X48" s="168">
        <f t="shared" si="30"/>
        <v>3170.8429999999998</v>
      </c>
      <c r="Y48" s="168">
        <f t="shared" si="30"/>
        <v>3227.6279999999997</v>
      </c>
      <c r="Z48" s="168">
        <f t="shared" si="30"/>
        <v>3083.268</v>
      </c>
      <c r="AA48" s="168">
        <f t="shared" si="30"/>
        <v>3001.7820000000002</v>
      </c>
      <c r="AB48" s="168">
        <f t="shared" si="30"/>
        <v>3401.2640000000001</v>
      </c>
      <c r="AC48" s="168">
        <f t="shared" si="30"/>
        <v>3339.8450000000003</v>
      </c>
      <c r="AD48" s="168">
        <f t="shared" si="30"/>
        <v>3450.5640000000003</v>
      </c>
      <c r="AE48" s="168">
        <f t="shared" si="30"/>
        <v>3265.7579999999998</v>
      </c>
      <c r="AF48" s="168">
        <f t="shared" si="30"/>
        <v>3819.33</v>
      </c>
      <c r="AG48" s="168">
        <f t="shared" si="30"/>
        <v>3878.0860000000007</v>
      </c>
      <c r="AH48" s="168">
        <f t="shared" si="30"/>
        <v>3794.951</v>
      </c>
      <c r="AI48" s="168">
        <f t="shared" si="30"/>
        <v>3741.8039999999996</v>
      </c>
      <c r="AJ48" s="168">
        <f t="shared" si="30"/>
        <v>3998.915</v>
      </c>
      <c r="AK48" s="168">
        <f t="shared" si="30"/>
        <v>3859.5910000000003</v>
      </c>
      <c r="AL48" s="168">
        <f t="shared" si="30"/>
        <v>3756.491</v>
      </c>
      <c r="AM48" s="168">
        <f t="shared" si="30"/>
        <v>3830.5999999999995</v>
      </c>
      <c r="AN48" s="168">
        <f t="shared" si="30"/>
        <v>3944.9249999999997</v>
      </c>
      <c r="AO48" s="168">
        <f t="shared" si="30"/>
        <v>3783.0449999999996</v>
      </c>
      <c r="AP48" s="168">
        <f t="shared" si="30"/>
        <v>3669.4530000000004</v>
      </c>
      <c r="AQ48" s="168">
        <f t="shared" si="30"/>
        <v>3781.2</v>
      </c>
      <c r="AR48" s="168">
        <f t="shared" si="30"/>
        <v>4427.2000000000007</v>
      </c>
      <c r="AS48" s="168">
        <f t="shared" si="30"/>
        <v>4394.7000000000007</v>
      </c>
      <c r="AT48" s="168">
        <f t="shared" si="30"/>
        <v>4317.2</v>
      </c>
      <c r="AU48" s="168">
        <f t="shared" si="30"/>
        <v>4436.7160000000003</v>
      </c>
      <c r="AV48" s="168">
        <f t="shared" si="30"/>
        <v>5651.5410000000002</v>
      </c>
      <c r="AW48" s="168">
        <f t="shared" si="30"/>
        <v>5390.0150000000003</v>
      </c>
      <c r="AX48" s="168">
        <f t="shared" si="30"/>
        <v>5174.7889999999998</v>
      </c>
      <c r="AY48" s="168">
        <f t="shared" si="30"/>
        <v>4809.3989999999994</v>
      </c>
      <c r="AZ48" s="168">
        <f t="shared" si="30"/>
        <v>7320.1390000000001</v>
      </c>
      <c r="BA48" s="168">
        <f t="shared" ref="BA48:BF48" si="31">BA9+BA27+BA40</f>
        <v>6566.4219999999996</v>
      </c>
      <c r="BB48" s="168">
        <f t="shared" si="31"/>
        <v>6604.18</v>
      </c>
      <c r="BC48" s="168">
        <f t="shared" si="31"/>
        <v>6166.7780000000002</v>
      </c>
      <c r="BD48" s="168">
        <f t="shared" si="31"/>
        <v>7426.4670000000006</v>
      </c>
      <c r="BE48" s="168">
        <f t="shared" si="31"/>
        <v>6690.9279999999999</v>
      </c>
      <c r="BF48" s="168">
        <f t="shared" si="31"/>
        <v>8117.9779999999992</v>
      </c>
      <c r="BG48" s="168">
        <f t="shared" ref="BG48" si="32">BG9+BG27+BG40</f>
        <v>7930.9589999999998</v>
      </c>
      <c r="BH48" s="168">
        <f>BH9+BH27+BH40</f>
        <v>8624.9179999999997</v>
      </c>
      <c r="BI48" s="73"/>
      <c r="BJ48" s="168">
        <f t="shared" ref="BJ48:BV48" si="33">BJ9+BJ27+BJ40</f>
        <v>449.452</v>
      </c>
      <c r="BK48" s="168">
        <f t="shared" si="33"/>
        <v>747.58999999999992</v>
      </c>
      <c r="BL48" s="168">
        <f t="shared" si="33"/>
        <v>958.34499999999991</v>
      </c>
      <c r="BM48" s="168">
        <f t="shared" si="33"/>
        <v>1115.1869999999999</v>
      </c>
      <c r="BN48" s="168">
        <f t="shared" si="33"/>
        <v>2029.0559999999998</v>
      </c>
      <c r="BO48" s="168">
        <f t="shared" si="33"/>
        <v>2737.3820000000001</v>
      </c>
      <c r="BP48" s="168">
        <f t="shared" si="33"/>
        <v>3001.7820000000002</v>
      </c>
      <c r="BQ48" s="168">
        <f t="shared" si="33"/>
        <v>3265.7579999999998</v>
      </c>
      <c r="BR48" s="168">
        <f t="shared" si="33"/>
        <v>3741.8039999999996</v>
      </c>
      <c r="BS48" s="168">
        <f t="shared" si="33"/>
        <v>3830.5999999999995</v>
      </c>
      <c r="BT48" s="168">
        <f t="shared" si="33"/>
        <v>3781.2</v>
      </c>
      <c r="BU48" s="168">
        <f t="shared" si="33"/>
        <v>4436.7160000000003</v>
      </c>
      <c r="BV48" s="168">
        <f t="shared" si="33"/>
        <v>4809.3989999999994</v>
      </c>
      <c r="BW48" s="168">
        <f>BC48</f>
        <v>6166.7780000000002</v>
      </c>
      <c r="BX48" s="168">
        <f>BG48</f>
        <v>7930.9589999999998</v>
      </c>
      <c r="CG48" s="47"/>
    </row>
    <row r="49" spans="1:85" ht="6.75" customHeight="1" x14ac:dyDescent="0.35">
      <c r="A49" s="80"/>
      <c r="B49" s="1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73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</row>
    <row r="50" spans="1:85" s="23" customFormat="1" x14ac:dyDescent="0.35">
      <c r="A50" s="7"/>
      <c r="B50" s="53" t="str">
        <f>IF(Control!$D$5=1,"Total Current Liabilities","Passivo Circulante")</f>
        <v>Total Current Liabilities</v>
      </c>
      <c r="C50" s="160">
        <f>SUM(C51:C67)</f>
        <v>153.928</v>
      </c>
      <c r="D50" s="160">
        <f>SUM(D51:D67)</f>
        <v>483.62400000000002</v>
      </c>
      <c r="E50" s="165" t="s">
        <v>2</v>
      </c>
      <c r="F50" s="165" t="s">
        <v>2</v>
      </c>
      <c r="G50" s="160">
        <f t="shared" ref="G50:AV50" si="34">SUM(G51:G67)</f>
        <v>400.90300000000002</v>
      </c>
      <c r="H50" s="160">
        <f t="shared" si="34"/>
        <v>679.80500000000006</v>
      </c>
      <c r="I50" s="160">
        <f t="shared" si="34"/>
        <v>404.01400000000007</v>
      </c>
      <c r="J50" s="160">
        <f t="shared" si="34"/>
        <v>380.57999999999993</v>
      </c>
      <c r="K50" s="160">
        <f t="shared" si="34"/>
        <v>364.16799999999995</v>
      </c>
      <c r="L50" s="160">
        <f t="shared" si="34"/>
        <v>585.32400000000007</v>
      </c>
      <c r="M50" s="160">
        <f t="shared" si="34"/>
        <v>468.51099999999991</v>
      </c>
      <c r="N50" s="160">
        <f t="shared" si="34"/>
        <v>435.61399999999992</v>
      </c>
      <c r="O50" s="160">
        <f t="shared" si="34"/>
        <v>412.46</v>
      </c>
      <c r="P50" s="160">
        <f t="shared" si="34"/>
        <v>804.08399999999995</v>
      </c>
      <c r="Q50" s="160">
        <f t="shared" si="34"/>
        <v>673.3889999999999</v>
      </c>
      <c r="R50" s="160">
        <f t="shared" si="34"/>
        <v>641.34799999999996</v>
      </c>
      <c r="S50" s="160">
        <f t="shared" si="34"/>
        <v>521.50299999999993</v>
      </c>
      <c r="T50" s="160">
        <f t="shared" si="34"/>
        <v>841.43399999999997</v>
      </c>
      <c r="U50" s="160">
        <f t="shared" si="34"/>
        <v>812.81299999999987</v>
      </c>
      <c r="V50" s="160">
        <f t="shared" si="34"/>
        <v>879.81099999999992</v>
      </c>
      <c r="W50" s="160">
        <f t="shared" si="34"/>
        <v>851.69</v>
      </c>
      <c r="X50" s="160">
        <f t="shared" si="34"/>
        <v>1196.7569999999998</v>
      </c>
      <c r="Y50" s="160">
        <f t="shared" si="34"/>
        <v>1163.7960000000003</v>
      </c>
      <c r="Z50" s="160">
        <f t="shared" si="34"/>
        <v>1004.082</v>
      </c>
      <c r="AA50" s="160">
        <f t="shared" si="34"/>
        <v>914.42499999999995</v>
      </c>
      <c r="AB50" s="160">
        <f t="shared" si="34"/>
        <v>1310.624</v>
      </c>
      <c r="AC50" s="160">
        <f t="shared" si="34"/>
        <v>1108.854</v>
      </c>
      <c r="AD50" s="160">
        <f t="shared" si="34"/>
        <v>1120.3699999999999</v>
      </c>
      <c r="AE50" s="160">
        <f t="shared" si="34"/>
        <v>975.08899999999994</v>
      </c>
      <c r="AF50" s="160">
        <f t="shared" si="34"/>
        <v>1438.7470000000003</v>
      </c>
      <c r="AG50" s="160">
        <f t="shared" si="34"/>
        <v>1365.1879999999996</v>
      </c>
      <c r="AH50" s="160">
        <f t="shared" si="34"/>
        <v>1255.829</v>
      </c>
      <c r="AI50" s="160">
        <f t="shared" si="34"/>
        <v>1243.6480000000004</v>
      </c>
      <c r="AJ50" s="160">
        <f t="shared" si="34"/>
        <v>1744.1670000000001</v>
      </c>
      <c r="AK50" s="160">
        <f t="shared" si="34"/>
        <v>1714.8899999999999</v>
      </c>
      <c r="AL50" s="160">
        <f t="shared" si="34"/>
        <v>1646.6149999999998</v>
      </c>
      <c r="AM50" s="160">
        <f t="shared" si="34"/>
        <v>1410.4</v>
      </c>
      <c r="AN50" s="160">
        <f t="shared" si="34"/>
        <v>1623.6580000000001</v>
      </c>
      <c r="AO50" s="160">
        <f t="shared" si="34"/>
        <v>1038.037</v>
      </c>
      <c r="AP50" s="160">
        <f t="shared" si="34"/>
        <v>669.40099999999995</v>
      </c>
      <c r="AQ50" s="160">
        <f t="shared" si="34"/>
        <v>659.8</v>
      </c>
      <c r="AR50" s="160">
        <f t="shared" si="34"/>
        <v>1198.2</v>
      </c>
      <c r="AS50" s="160">
        <f t="shared" si="34"/>
        <v>1043</v>
      </c>
      <c r="AT50" s="160">
        <f t="shared" si="34"/>
        <v>920.2</v>
      </c>
      <c r="AU50" s="160">
        <f t="shared" si="34"/>
        <v>1107.5820000000001</v>
      </c>
      <c r="AV50" s="160">
        <f t="shared" si="34"/>
        <v>1652.6999999999998</v>
      </c>
      <c r="AW50" s="160">
        <f t="shared" ref="AW50:BB50" si="35">SUM(AW51:AW67)</f>
        <v>1642.8330000000001</v>
      </c>
      <c r="AX50" s="160">
        <f t="shared" si="35"/>
        <v>1533.511</v>
      </c>
      <c r="AY50" s="160">
        <f t="shared" si="35"/>
        <v>1244.8410000000001</v>
      </c>
      <c r="AZ50" s="160">
        <f t="shared" si="35"/>
        <v>3155.4139999999998</v>
      </c>
      <c r="BA50" s="160">
        <f t="shared" si="35"/>
        <v>2490.2029999999995</v>
      </c>
      <c r="BB50" s="160">
        <f t="shared" si="35"/>
        <v>1740.7099999999998</v>
      </c>
      <c r="BC50" s="160">
        <f t="shared" ref="BC50:BH50" si="36">SUM(BC51:BC67)</f>
        <v>1600.8239999999998</v>
      </c>
      <c r="BD50" s="160">
        <f t="shared" si="36"/>
        <v>2317.8860000000004</v>
      </c>
      <c r="BE50" s="160">
        <f t="shared" si="36"/>
        <v>1601.5150000000001</v>
      </c>
      <c r="BF50" s="160">
        <f t="shared" si="36"/>
        <v>2187.0829999999996</v>
      </c>
      <c r="BG50" s="160">
        <f t="shared" si="36"/>
        <v>1964.6660000000004</v>
      </c>
      <c r="BH50" s="160">
        <f t="shared" si="36"/>
        <v>2708.3389999999995</v>
      </c>
      <c r="BI50" s="73"/>
      <c r="BJ50" s="160">
        <f t="shared" ref="BJ50:BU50" si="37">SUM(BJ51:BJ67)</f>
        <v>153.928</v>
      </c>
      <c r="BK50" s="160">
        <f t="shared" si="37"/>
        <v>400.90300000000002</v>
      </c>
      <c r="BL50" s="160">
        <f t="shared" si="37"/>
        <v>364.16799999999995</v>
      </c>
      <c r="BM50" s="160">
        <f t="shared" si="37"/>
        <v>412.46</v>
      </c>
      <c r="BN50" s="160">
        <f t="shared" si="37"/>
        <v>521.50299999999993</v>
      </c>
      <c r="BO50" s="160">
        <f t="shared" si="37"/>
        <v>851.69</v>
      </c>
      <c r="BP50" s="160">
        <f t="shared" si="37"/>
        <v>914.42499999999995</v>
      </c>
      <c r="BQ50" s="160">
        <f t="shared" si="37"/>
        <v>975.08899999999994</v>
      </c>
      <c r="BR50" s="160">
        <f t="shared" si="37"/>
        <v>1243.6480000000004</v>
      </c>
      <c r="BS50" s="160">
        <f t="shared" si="37"/>
        <v>1410.4</v>
      </c>
      <c r="BT50" s="160">
        <f t="shared" si="37"/>
        <v>659.8</v>
      </c>
      <c r="BU50" s="160">
        <f t="shared" si="37"/>
        <v>1107.5820000000001</v>
      </c>
      <c r="BV50" s="160">
        <f t="shared" ref="BV50:BV67" si="38">AY50</f>
        <v>1244.8410000000001</v>
      </c>
      <c r="BW50" s="160">
        <f t="shared" ref="BW50:BW67" si="39">BC50</f>
        <v>1600.8239999999998</v>
      </c>
      <c r="BX50" s="160">
        <f t="shared" ref="BX50:BX67" si="40">BG50</f>
        <v>1964.6660000000004</v>
      </c>
    </row>
    <row r="51" spans="1:85" x14ac:dyDescent="0.35">
      <c r="A51" s="80"/>
      <c r="B51" s="51" t="str">
        <f>IF(Control!$D$5=1,"Accounts Payable","Fornecedores")</f>
        <v>Accounts Payable</v>
      </c>
      <c r="C51" s="166">
        <v>80.103999999999999</v>
      </c>
      <c r="D51" s="166">
        <v>295.56700000000001</v>
      </c>
      <c r="E51" s="76" t="s">
        <v>2</v>
      </c>
      <c r="F51" s="76" t="s">
        <v>2</v>
      </c>
      <c r="G51" s="166">
        <v>159.22999999999999</v>
      </c>
      <c r="H51" s="166">
        <v>344.67399999999998</v>
      </c>
      <c r="I51" s="166">
        <v>206.358</v>
      </c>
      <c r="J51" s="166">
        <v>165.346</v>
      </c>
      <c r="K51" s="166">
        <v>160.05199999999999</v>
      </c>
      <c r="L51" s="166">
        <v>346.10500000000002</v>
      </c>
      <c r="M51" s="166">
        <v>193.04400000000001</v>
      </c>
      <c r="N51" s="166">
        <v>168.02699999999999</v>
      </c>
      <c r="O51" s="166">
        <v>143.977</v>
      </c>
      <c r="P51" s="166">
        <v>351.685</v>
      </c>
      <c r="Q51" s="166">
        <v>177.31899999999999</v>
      </c>
      <c r="R51" s="166">
        <v>171.40799999999999</v>
      </c>
      <c r="S51" s="166">
        <v>238.50899999999999</v>
      </c>
      <c r="T51" s="166">
        <v>476.91300000000001</v>
      </c>
      <c r="U51" s="166">
        <v>247.35400000000001</v>
      </c>
      <c r="V51" s="166">
        <v>280.27800000000002</v>
      </c>
      <c r="W51" s="166">
        <v>314.04199999999997</v>
      </c>
      <c r="X51" s="166">
        <v>609.32299999999998</v>
      </c>
      <c r="Y51" s="166">
        <v>417.94</v>
      </c>
      <c r="Z51" s="166">
        <v>398.86099999999999</v>
      </c>
      <c r="AA51" s="166">
        <v>349.43599999999998</v>
      </c>
      <c r="AB51" s="166">
        <v>653.67200000000003</v>
      </c>
      <c r="AC51" s="166">
        <v>396.94200000000001</v>
      </c>
      <c r="AD51" s="166">
        <v>395.25299999999999</v>
      </c>
      <c r="AE51" s="166">
        <v>418.60700000000003</v>
      </c>
      <c r="AF51" s="166">
        <v>761.35599999999999</v>
      </c>
      <c r="AG51" s="166">
        <v>521.452</v>
      </c>
      <c r="AH51" s="166">
        <v>494.31700000000001</v>
      </c>
      <c r="AI51" s="166">
        <v>460.56099999999998</v>
      </c>
      <c r="AJ51" s="166">
        <v>857.08799999999997</v>
      </c>
      <c r="AK51" s="166">
        <v>490.322</v>
      </c>
      <c r="AL51" s="166">
        <v>495.22</v>
      </c>
      <c r="AM51" s="166">
        <v>467.9</v>
      </c>
      <c r="AN51" s="166">
        <v>804.38699999999994</v>
      </c>
      <c r="AO51" s="166">
        <v>380.54700000000003</v>
      </c>
      <c r="AP51" s="166">
        <v>327.02699999999999</v>
      </c>
      <c r="AQ51" s="166">
        <v>365.1</v>
      </c>
      <c r="AR51" s="166">
        <v>771.3</v>
      </c>
      <c r="AS51" s="166">
        <v>457.3</v>
      </c>
      <c r="AT51" s="166">
        <v>405.8</v>
      </c>
      <c r="AU51" s="166">
        <v>419.14699999999999</v>
      </c>
      <c r="AV51" s="166">
        <v>911.2</v>
      </c>
      <c r="AW51" s="166">
        <v>500.99799999999999</v>
      </c>
      <c r="AX51" s="166">
        <v>509.40600000000001</v>
      </c>
      <c r="AY51" s="166">
        <v>517.27</v>
      </c>
      <c r="AZ51" s="166">
        <v>1176.2059999999999</v>
      </c>
      <c r="BA51" s="166">
        <v>783.28499999999997</v>
      </c>
      <c r="BB51" s="166">
        <v>747.94399999999996</v>
      </c>
      <c r="BC51" s="166">
        <v>673.59900000000005</v>
      </c>
      <c r="BD51" s="166">
        <v>1511.374</v>
      </c>
      <c r="BE51" s="166">
        <v>834.42899999999997</v>
      </c>
      <c r="BF51" s="166">
        <v>980.60599999999999</v>
      </c>
      <c r="BG51" s="166">
        <v>1101.0360000000001</v>
      </c>
      <c r="BH51" s="166">
        <v>1582.1079999999999</v>
      </c>
      <c r="BI51" s="73"/>
      <c r="BJ51" s="166">
        <v>80.103999999999999</v>
      </c>
      <c r="BK51" s="166">
        <v>159.22999999999999</v>
      </c>
      <c r="BL51" s="166">
        <v>160.05199999999999</v>
      </c>
      <c r="BM51" s="166">
        <v>143.977</v>
      </c>
      <c r="BN51" s="166">
        <v>238.50899999999999</v>
      </c>
      <c r="BO51" s="166">
        <v>314.04199999999997</v>
      </c>
      <c r="BP51" s="166">
        <v>349.43599999999998</v>
      </c>
      <c r="BQ51" s="166">
        <v>418.60700000000003</v>
      </c>
      <c r="BR51" s="166">
        <v>460.56099999999998</v>
      </c>
      <c r="BS51" s="166">
        <v>467.9</v>
      </c>
      <c r="BT51" s="166">
        <f t="shared" ref="BT51:BT67" si="41">AQ51</f>
        <v>365.1</v>
      </c>
      <c r="BU51" s="166">
        <f t="shared" ref="BU51:BU67" si="42">AU51</f>
        <v>419.14699999999999</v>
      </c>
      <c r="BV51" s="166">
        <f t="shared" si="38"/>
        <v>517.27</v>
      </c>
      <c r="BW51" s="166">
        <f t="shared" si="39"/>
        <v>673.59900000000005</v>
      </c>
      <c r="BX51" s="166">
        <f t="shared" si="40"/>
        <v>1101.0360000000001</v>
      </c>
      <c r="CG51" s="63"/>
    </row>
    <row r="52" spans="1:85" x14ac:dyDescent="0.35">
      <c r="A52" s="80"/>
      <c r="B52" s="51" t="str">
        <f>IF(Control!$D$5=1,"Short-Term Debt","Empréstimos e Financiamentos")</f>
        <v>Short-Term Debt</v>
      </c>
      <c r="C52" s="166">
        <v>47.55</v>
      </c>
      <c r="D52" s="166">
        <v>136.26499999999999</v>
      </c>
      <c r="E52" s="76" t="s">
        <v>2</v>
      </c>
      <c r="F52" s="76" t="s">
        <v>2</v>
      </c>
      <c r="G52" s="166">
        <v>183.88800000000001</v>
      </c>
      <c r="H52" s="166">
        <v>259.60000000000002</v>
      </c>
      <c r="I52" s="166">
        <v>155.04499999999999</v>
      </c>
      <c r="J52" s="166">
        <v>178.02099999999999</v>
      </c>
      <c r="K52" s="166">
        <v>148.33500000000001</v>
      </c>
      <c r="L52" s="166">
        <v>151.36699999999999</v>
      </c>
      <c r="M52" s="166">
        <v>206.58199999999999</v>
      </c>
      <c r="N52" s="166">
        <v>193.94499999999999</v>
      </c>
      <c r="O52" s="166">
        <v>167.66200000000001</v>
      </c>
      <c r="P52" s="166">
        <v>293.68599999999998</v>
      </c>
      <c r="Q52" s="166">
        <v>317.322</v>
      </c>
      <c r="R52" s="166">
        <v>291.07900000000001</v>
      </c>
      <c r="S52" s="166">
        <v>182.9</v>
      </c>
      <c r="T52" s="166">
        <v>228.06399999999999</v>
      </c>
      <c r="U52" s="167">
        <v>439.214</v>
      </c>
      <c r="V52" s="166">
        <v>379.51400000000001</v>
      </c>
      <c r="W52" s="166">
        <v>311.39</v>
      </c>
      <c r="X52" s="166">
        <v>363.25400000000002</v>
      </c>
      <c r="Y52" s="166">
        <v>424.62400000000002</v>
      </c>
      <c r="Z52" s="166">
        <v>279.601</v>
      </c>
      <c r="AA52" s="166">
        <v>199.40199999999999</v>
      </c>
      <c r="AB52" s="166">
        <v>249.92500000000001</v>
      </c>
      <c r="AC52" s="166">
        <v>355.66300000000001</v>
      </c>
      <c r="AD52" s="166">
        <v>309.911</v>
      </c>
      <c r="AE52" s="166">
        <v>167.39400000000001</v>
      </c>
      <c r="AF52" s="166">
        <v>218.142</v>
      </c>
      <c r="AG52" s="166">
        <v>399.25099999999998</v>
      </c>
      <c r="AH52" s="166">
        <v>370.87799999999999</v>
      </c>
      <c r="AI52" s="166">
        <v>367.78100000000001</v>
      </c>
      <c r="AJ52" s="166">
        <v>418.221</v>
      </c>
      <c r="AK52" s="166">
        <v>838.98299999999995</v>
      </c>
      <c r="AL52" s="166">
        <v>745.73800000000006</v>
      </c>
      <c r="AM52" s="166">
        <v>634.1</v>
      </c>
      <c r="AN52" s="166">
        <v>432.61099999999999</v>
      </c>
      <c r="AO52" s="166">
        <v>274.505</v>
      </c>
      <c r="AP52" s="166">
        <v>168.88</v>
      </c>
      <c r="AQ52" s="166">
        <v>150.9</v>
      </c>
      <c r="AR52" s="166">
        <v>218.7</v>
      </c>
      <c r="AS52" s="166">
        <v>353</v>
      </c>
      <c r="AT52" s="166">
        <v>264.8</v>
      </c>
      <c r="AU52" s="166">
        <v>291.61799999999999</v>
      </c>
      <c r="AV52" s="166">
        <v>311</v>
      </c>
      <c r="AW52" s="166">
        <v>441.87523193999999</v>
      </c>
      <c r="AX52" s="166">
        <v>363.16699999999997</v>
      </c>
      <c r="AY52" s="166">
        <v>123.63500000000001</v>
      </c>
      <c r="AZ52" s="166">
        <v>1310.002</v>
      </c>
      <c r="BA52" s="166">
        <v>1103.298</v>
      </c>
      <c r="BB52" s="166">
        <v>395.12400000000002</v>
      </c>
      <c r="BC52" s="166">
        <v>339.911</v>
      </c>
      <c r="BD52" s="166">
        <v>201.589</v>
      </c>
      <c r="BE52" s="166">
        <v>326.416</v>
      </c>
      <c r="BF52" s="166">
        <v>730.49199999999996</v>
      </c>
      <c r="BG52" s="166">
        <v>531.46</v>
      </c>
      <c r="BH52" s="166">
        <v>487.31599999999997</v>
      </c>
      <c r="BI52" s="73"/>
      <c r="BJ52" s="166">
        <v>47.55</v>
      </c>
      <c r="BK52" s="166">
        <v>183.88800000000001</v>
      </c>
      <c r="BL52" s="166">
        <v>148.33500000000001</v>
      </c>
      <c r="BM52" s="166">
        <v>167.66200000000001</v>
      </c>
      <c r="BN52" s="166">
        <v>182.9</v>
      </c>
      <c r="BO52" s="166">
        <v>311.39</v>
      </c>
      <c r="BP52" s="166">
        <v>199.40199999999999</v>
      </c>
      <c r="BQ52" s="166">
        <v>167.39400000000001</v>
      </c>
      <c r="BR52" s="166">
        <v>367.78100000000001</v>
      </c>
      <c r="BS52" s="166">
        <v>634.1</v>
      </c>
      <c r="BT52" s="166">
        <f t="shared" si="41"/>
        <v>150.9</v>
      </c>
      <c r="BU52" s="166">
        <f t="shared" si="42"/>
        <v>291.61799999999999</v>
      </c>
      <c r="BV52" s="166">
        <f t="shared" si="38"/>
        <v>123.63500000000001</v>
      </c>
      <c r="BW52" s="166">
        <f t="shared" si="39"/>
        <v>339.911</v>
      </c>
      <c r="BX52" s="166">
        <f t="shared" si="40"/>
        <v>531.46</v>
      </c>
      <c r="CG52" s="63"/>
    </row>
    <row r="53" spans="1:85" x14ac:dyDescent="0.35">
      <c r="A53" s="80"/>
      <c r="B53" s="51" t="str">
        <f>IF(Control!$D$5=1,"Derivatives","Derivativos")</f>
        <v>Derivatives</v>
      </c>
      <c r="C53" s="166">
        <v>0</v>
      </c>
      <c r="D53" s="166">
        <v>0</v>
      </c>
      <c r="E53" s="76" t="s">
        <v>2</v>
      </c>
      <c r="F53" s="76" t="s">
        <v>2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66">
        <v>0</v>
      </c>
      <c r="R53" s="166">
        <v>0</v>
      </c>
      <c r="S53" s="166">
        <v>0</v>
      </c>
      <c r="T53" s="166">
        <v>0</v>
      </c>
      <c r="U53" s="167">
        <v>0</v>
      </c>
      <c r="V53" s="166">
        <v>0</v>
      </c>
      <c r="W53" s="166">
        <v>0</v>
      </c>
      <c r="X53" s="166">
        <v>0</v>
      </c>
      <c r="Y53" s="166">
        <v>0</v>
      </c>
      <c r="Z53" s="166">
        <v>0</v>
      </c>
      <c r="AA53" s="166">
        <v>0</v>
      </c>
      <c r="AB53" s="166">
        <v>0</v>
      </c>
      <c r="AC53" s="166">
        <v>0</v>
      </c>
      <c r="AD53" s="166">
        <v>0</v>
      </c>
      <c r="AE53" s="166">
        <v>0</v>
      </c>
      <c r="AF53" s="166">
        <v>0</v>
      </c>
      <c r="AG53" s="166">
        <v>0</v>
      </c>
      <c r="AH53" s="166">
        <v>0</v>
      </c>
      <c r="AI53" s="166">
        <v>0</v>
      </c>
      <c r="AJ53" s="166">
        <v>0</v>
      </c>
      <c r="AK53" s="166">
        <v>0</v>
      </c>
      <c r="AL53" s="166">
        <v>0.16800000000000001</v>
      </c>
      <c r="AM53" s="166">
        <v>0</v>
      </c>
      <c r="AN53" s="166">
        <v>0.41299999999999998</v>
      </c>
      <c r="AO53" s="166">
        <v>0.28299999999999997</v>
      </c>
      <c r="AP53" s="166">
        <v>0</v>
      </c>
      <c r="AQ53" s="166">
        <v>0.1</v>
      </c>
      <c r="AR53" s="166">
        <v>0</v>
      </c>
      <c r="AS53" s="166">
        <v>2.8</v>
      </c>
      <c r="AT53" s="166">
        <v>0</v>
      </c>
      <c r="AU53" s="166">
        <v>0</v>
      </c>
      <c r="AV53" s="166">
        <v>0.8</v>
      </c>
      <c r="AW53" s="166">
        <v>0.28499999999999998</v>
      </c>
      <c r="AX53" s="166">
        <v>0</v>
      </c>
      <c r="AY53" s="166">
        <v>0</v>
      </c>
      <c r="AZ53" s="166">
        <v>0</v>
      </c>
      <c r="BA53" s="166">
        <v>0</v>
      </c>
      <c r="BB53" s="166">
        <v>0</v>
      </c>
      <c r="BC53" s="166">
        <v>0</v>
      </c>
      <c r="BD53" s="166">
        <v>0</v>
      </c>
      <c r="BE53" s="166">
        <v>0.41699999999999998</v>
      </c>
      <c r="BF53" s="166">
        <v>0</v>
      </c>
      <c r="BG53" s="166">
        <v>0</v>
      </c>
      <c r="BH53" s="166">
        <v>0</v>
      </c>
      <c r="BI53" s="166"/>
      <c r="BJ53" s="166">
        <v>0</v>
      </c>
      <c r="BK53" s="166">
        <v>0</v>
      </c>
      <c r="BL53" s="166">
        <v>0</v>
      </c>
      <c r="BM53" s="166">
        <v>0</v>
      </c>
      <c r="BN53" s="166">
        <v>0</v>
      </c>
      <c r="BO53" s="166">
        <v>0</v>
      </c>
      <c r="BP53" s="166">
        <v>0</v>
      </c>
      <c r="BQ53" s="166">
        <v>0</v>
      </c>
      <c r="BR53" s="166">
        <v>0</v>
      </c>
      <c r="BS53" s="166">
        <v>0</v>
      </c>
      <c r="BT53" s="166">
        <f t="shared" si="41"/>
        <v>0.1</v>
      </c>
      <c r="BU53" s="166">
        <f t="shared" si="42"/>
        <v>0</v>
      </c>
      <c r="BV53" s="166">
        <f t="shared" si="38"/>
        <v>0</v>
      </c>
      <c r="BW53" s="166">
        <f t="shared" si="39"/>
        <v>0</v>
      </c>
      <c r="BX53" s="166">
        <f t="shared" si="40"/>
        <v>0</v>
      </c>
      <c r="CG53" s="63"/>
    </row>
    <row r="54" spans="1:85" x14ac:dyDescent="0.35">
      <c r="A54" s="80"/>
      <c r="B54" s="51" t="str">
        <f>IF(Control!$D$5=1,"Debentures","Debêntures")</f>
        <v>Debentures</v>
      </c>
      <c r="C54" s="166">
        <v>0</v>
      </c>
      <c r="D54" s="166">
        <v>0</v>
      </c>
      <c r="E54" s="76" t="s">
        <v>2</v>
      </c>
      <c r="F54" s="76" t="s">
        <v>2</v>
      </c>
      <c r="G54" s="166">
        <v>0</v>
      </c>
      <c r="H54" s="166">
        <v>0</v>
      </c>
      <c r="I54" s="166">
        <v>0</v>
      </c>
      <c r="J54" s="166">
        <v>0</v>
      </c>
      <c r="K54" s="166">
        <v>3.6019999999999999</v>
      </c>
      <c r="L54" s="166">
        <v>5.8109999999999999</v>
      </c>
      <c r="M54" s="166">
        <v>6.1609999999999996</v>
      </c>
      <c r="N54" s="166">
        <v>6.4550000000000001</v>
      </c>
      <c r="O54" s="166">
        <v>42.658000000000001</v>
      </c>
      <c r="P54" s="166">
        <v>42.93</v>
      </c>
      <c r="Q54" s="166">
        <v>79.009</v>
      </c>
      <c r="R54" s="166">
        <v>78.266000000000005</v>
      </c>
      <c r="S54" s="166">
        <v>1.1040000000000001</v>
      </c>
      <c r="T54" s="166">
        <v>10.304</v>
      </c>
      <c r="U54" s="166">
        <v>4.9580000000000002</v>
      </c>
      <c r="V54" s="166">
        <v>12.159000000000001</v>
      </c>
      <c r="W54" s="166">
        <v>8.282</v>
      </c>
      <c r="X54" s="166">
        <v>11.773999999999999</v>
      </c>
      <c r="Y54" s="166">
        <v>85.48</v>
      </c>
      <c r="Z54" s="166">
        <v>90.046000000000006</v>
      </c>
      <c r="AA54" s="166">
        <v>162.642</v>
      </c>
      <c r="AB54" s="166">
        <v>195.03</v>
      </c>
      <c r="AC54" s="166">
        <v>164.85400000000001</v>
      </c>
      <c r="AD54" s="166">
        <v>170.15600000000001</v>
      </c>
      <c r="AE54" s="166">
        <v>172.87799999999999</v>
      </c>
      <c r="AF54" s="166">
        <v>169.03800000000001</v>
      </c>
      <c r="AG54" s="166">
        <v>176.08099999999999</v>
      </c>
      <c r="AH54" s="166">
        <v>202.583</v>
      </c>
      <c r="AI54" s="166">
        <v>209.125</v>
      </c>
      <c r="AJ54" s="166">
        <v>233.607</v>
      </c>
      <c r="AK54" s="166">
        <v>168.614</v>
      </c>
      <c r="AL54" s="166">
        <v>204.726</v>
      </c>
      <c r="AM54" s="166">
        <v>146.1</v>
      </c>
      <c r="AN54" s="166">
        <v>175.79</v>
      </c>
      <c r="AO54" s="166">
        <v>196.977</v>
      </c>
      <c r="AP54" s="166">
        <v>10.43</v>
      </c>
      <c r="AQ54" s="166">
        <v>9</v>
      </c>
      <c r="AR54" s="166">
        <v>11</v>
      </c>
      <c r="AS54" s="166">
        <v>9.1999999999999993</v>
      </c>
      <c r="AT54" s="166">
        <v>11.1</v>
      </c>
      <c r="AU54" s="166">
        <v>222.49600000000001</v>
      </c>
      <c r="AV54" s="166">
        <v>228.1</v>
      </c>
      <c r="AW54" s="166">
        <v>473.50376806000003</v>
      </c>
      <c r="AX54" s="166">
        <v>464.52699999999999</v>
      </c>
      <c r="AY54" s="166">
        <v>437.00400000000002</v>
      </c>
      <c r="AZ54" s="166">
        <v>432.38</v>
      </c>
      <c r="BA54" s="166">
        <v>359.459</v>
      </c>
      <c r="BB54" s="166">
        <v>357.54599999999999</v>
      </c>
      <c r="BC54" s="166">
        <v>342.22399999999999</v>
      </c>
      <c r="BD54" s="166">
        <v>341.40800000000002</v>
      </c>
      <c r="BE54" s="166">
        <v>195.18700000000001</v>
      </c>
      <c r="BF54" s="166">
        <v>182.90700000000001</v>
      </c>
      <c r="BG54" s="166">
        <v>68.45</v>
      </c>
      <c r="BH54" s="166">
        <v>296.37599999999998</v>
      </c>
      <c r="BI54" s="166"/>
      <c r="BJ54" s="166">
        <v>0</v>
      </c>
      <c r="BK54" s="166">
        <v>0</v>
      </c>
      <c r="BL54" s="166">
        <v>3.6019999999999999</v>
      </c>
      <c r="BM54" s="166">
        <v>42.658000000000001</v>
      </c>
      <c r="BN54" s="166">
        <v>1.1040000000000001</v>
      </c>
      <c r="BO54" s="166">
        <v>8.282</v>
      </c>
      <c r="BP54" s="166">
        <v>162.642</v>
      </c>
      <c r="BQ54" s="166">
        <v>172.87799999999999</v>
      </c>
      <c r="BR54" s="166">
        <v>209.125</v>
      </c>
      <c r="BS54" s="166">
        <v>146.1</v>
      </c>
      <c r="BT54" s="166">
        <f t="shared" si="41"/>
        <v>9</v>
      </c>
      <c r="BU54" s="166">
        <f t="shared" si="42"/>
        <v>222.49600000000001</v>
      </c>
      <c r="BV54" s="166">
        <f t="shared" si="38"/>
        <v>437.00400000000002</v>
      </c>
      <c r="BW54" s="166">
        <f t="shared" si="39"/>
        <v>342.22399999999999</v>
      </c>
      <c r="BX54" s="166">
        <f t="shared" si="40"/>
        <v>68.45</v>
      </c>
      <c r="CG54" s="63"/>
    </row>
    <row r="55" spans="1:85" x14ac:dyDescent="0.35">
      <c r="A55" s="80"/>
      <c r="B55" s="51" t="str">
        <f>IF(Control!$D$5=1,"Leasing liability","Passivo de Arrendamento")</f>
        <v>Leasing liability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6">
        <v>0</v>
      </c>
      <c r="X55" s="166">
        <v>0</v>
      </c>
      <c r="Y55" s="166">
        <v>0</v>
      </c>
      <c r="Z55" s="166">
        <v>0</v>
      </c>
      <c r="AA55" s="166">
        <v>0</v>
      </c>
      <c r="AB55" s="166">
        <v>0</v>
      </c>
      <c r="AC55" s="166">
        <v>0</v>
      </c>
      <c r="AD55" s="166">
        <v>0</v>
      </c>
      <c r="AE55" s="166">
        <v>0</v>
      </c>
      <c r="AF55" s="166">
        <v>0</v>
      </c>
      <c r="AG55" s="166">
        <v>0</v>
      </c>
      <c r="AH55" s="166">
        <v>0</v>
      </c>
      <c r="AI55" s="166">
        <v>0</v>
      </c>
      <c r="AJ55" s="166">
        <v>0</v>
      </c>
      <c r="AK55" s="166">
        <v>0</v>
      </c>
      <c r="AL55" s="166">
        <v>0</v>
      </c>
      <c r="AM55" s="166">
        <v>0</v>
      </c>
      <c r="AN55" s="166">
        <v>0</v>
      </c>
      <c r="AO55" s="166">
        <v>0</v>
      </c>
      <c r="AP55" s="166">
        <v>0</v>
      </c>
      <c r="AQ55" s="166">
        <v>0</v>
      </c>
      <c r="AR55" s="166">
        <v>0</v>
      </c>
      <c r="AS55" s="166">
        <v>0</v>
      </c>
      <c r="AT55" s="166">
        <v>0</v>
      </c>
      <c r="AU55" s="166">
        <v>0</v>
      </c>
      <c r="AV55" s="166">
        <v>30.3</v>
      </c>
      <c r="AW55" s="166">
        <v>33.006999999999998</v>
      </c>
      <c r="AX55" s="166">
        <v>27.28</v>
      </c>
      <c r="AY55" s="166">
        <v>25.952000000000002</v>
      </c>
      <c r="AZ55" s="166">
        <v>23.777000000000001</v>
      </c>
      <c r="BA55" s="166">
        <v>29.106000000000002</v>
      </c>
      <c r="BB55" s="166">
        <v>21.54</v>
      </c>
      <c r="BC55" s="166">
        <v>21.006</v>
      </c>
      <c r="BD55" s="166">
        <v>21.094999999999999</v>
      </c>
      <c r="BE55" s="166">
        <v>22.004000000000001</v>
      </c>
      <c r="BF55" s="166">
        <v>22.782</v>
      </c>
      <c r="BG55" s="166">
        <v>23.228999999999999</v>
      </c>
      <c r="BH55" s="166">
        <v>30.574999999999999</v>
      </c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>
        <f t="shared" si="41"/>
        <v>0</v>
      </c>
      <c r="BU55" s="166">
        <f t="shared" si="42"/>
        <v>0</v>
      </c>
      <c r="BV55" s="166">
        <f t="shared" si="38"/>
        <v>25.952000000000002</v>
      </c>
      <c r="BW55" s="166">
        <f t="shared" si="39"/>
        <v>21.006</v>
      </c>
      <c r="BX55" s="166">
        <f t="shared" si="40"/>
        <v>23.228999999999999</v>
      </c>
      <c r="CG55" s="63"/>
    </row>
    <row r="56" spans="1:85" x14ac:dyDescent="0.35">
      <c r="A56" s="80"/>
      <c r="B56" s="51" t="s">
        <v>13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66">
        <v>0</v>
      </c>
      <c r="R56" s="166">
        <v>0</v>
      </c>
      <c r="S56" s="166">
        <v>0</v>
      </c>
      <c r="T56" s="166">
        <v>0</v>
      </c>
      <c r="U56" s="166">
        <v>0</v>
      </c>
      <c r="V56" s="166">
        <v>0</v>
      </c>
      <c r="W56" s="166">
        <v>0</v>
      </c>
      <c r="X56" s="166">
        <v>0</v>
      </c>
      <c r="Y56" s="166">
        <v>0</v>
      </c>
      <c r="Z56" s="166">
        <v>0</v>
      </c>
      <c r="AA56" s="166">
        <v>0</v>
      </c>
      <c r="AB56" s="166">
        <v>0</v>
      </c>
      <c r="AC56" s="166">
        <v>0</v>
      </c>
      <c r="AD56" s="166">
        <v>0</v>
      </c>
      <c r="AE56" s="166">
        <v>0</v>
      </c>
      <c r="AF56" s="166">
        <v>0</v>
      </c>
      <c r="AG56" s="166">
        <v>0</v>
      </c>
      <c r="AH56" s="166">
        <v>0</v>
      </c>
      <c r="AI56" s="166">
        <v>0</v>
      </c>
      <c r="AJ56" s="166">
        <v>0</v>
      </c>
      <c r="AK56" s="166">
        <v>0</v>
      </c>
      <c r="AL56" s="166">
        <v>0</v>
      </c>
      <c r="AM56" s="166">
        <v>0</v>
      </c>
      <c r="AN56" s="166">
        <v>0</v>
      </c>
      <c r="AO56" s="166">
        <v>0</v>
      </c>
      <c r="AP56" s="166">
        <v>0</v>
      </c>
      <c r="AQ56" s="166">
        <v>0</v>
      </c>
      <c r="AR56" s="166">
        <v>0</v>
      </c>
      <c r="AS56" s="166">
        <v>0</v>
      </c>
      <c r="AT56" s="166">
        <v>0</v>
      </c>
      <c r="AU56" s="166">
        <v>0</v>
      </c>
      <c r="AV56" s="166">
        <v>6.7</v>
      </c>
      <c r="AW56" s="166">
        <v>9.2750000000000004</v>
      </c>
      <c r="AX56" s="166">
        <v>24.475999999999999</v>
      </c>
      <c r="AY56" s="166">
        <v>12.645</v>
      </c>
      <c r="AZ56" s="166">
        <v>20.111999999999998</v>
      </c>
      <c r="BA56" s="166">
        <v>20.146000000000001</v>
      </c>
      <c r="BB56" s="166">
        <v>6.9420000000000002</v>
      </c>
      <c r="BC56" s="166">
        <v>23.687000000000001</v>
      </c>
      <c r="BD56" s="166">
        <v>15.236000000000001</v>
      </c>
      <c r="BE56" s="166">
        <v>12.132999999999999</v>
      </c>
      <c r="BF56" s="166">
        <v>9.6479999999999997</v>
      </c>
      <c r="BG56" s="166">
        <v>11.602</v>
      </c>
      <c r="BH56" s="166">
        <v>10.426</v>
      </c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>
        <f t="shared" si="41"/>
        <v>0</v>
      </c>
      <c r="BU56" s="166">
        <f t="shared" si="42"/>
        <v>0</v>
      </c>
      <c r="BV56" s="166">
        <f t="shared" si="38"/>
        <v>12.645</v>
      </c>
      <c r="BW56" s="166">
        <f t="shared" si="39"/>
        <v>23.687000000000001</v>
      </c>
      <c r="BX56" s="166">
        <f t="shared" si="40"/>
        <v>11.602</v>
      </c>
      <c r="CG56" s="63"/>
    </row>
    <row r="57" spans="1:85" x14ac:dyDescent="0.35">
      <c r="B57" s="51" t="str">
        <f>IF(Control!$D$5=1,"Related Party","Partes Relacionadas")</f>
        <v>Related Party</v>
      </c>
      <c r="C57" s="166">
        <v>0</v>
      </c>
      <c r="D57" s="166">
        <v>0</v>
      </c>
      <c r="E57" s="76" t="s">
        <v>2</v>
      </c>
      <c r="F57" s="76" t="s">
        <v>2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2.0009999999999999</v>
      </c>
      <c r="O57" s="166">
        <v>3.121</v>
      </c>
      <c r="P57" s="166">
        <v>3.129</v>
      </c>
      <c r="Q57" s="166">
        <v>1.9830000000000001</v>
      </c>
      <c r="R57" s="166">
        <v>0.46700000000000003</v>
      </c>
      <c r="S57" s="166">
        <v>3.113</v>
      </c>
      <c r="T57" s="166">
        <v>3.8069999999999999</v>
      </c>
      <c r="U57" s="166">
        <v>4.7030000000000003</v>
      </c>
      <c r="V57" s="166">
        <v>4.3179999999999996</v>
      </c>
      <c r="W57" s="166">
        <v>3.5830000000000002</v>
      </c>
      <c r="X57" s="166">
        <v>1.8759999999999999</v>
      </c>
      <c r="Y57" s="166">
        <v>4.7889999999999997</v>
      </c>
      <c r="Z57" s="166">
        <v>3.02</v>
      </c>
      <c r="AA57" s="166">
        <v>2.9380000000000002</v>
      </c>
      <c r="AB57" s="166">
        <v>3.3809999999999998</v>
      </c>
      <c r="AC57" s="166">
        <v>4.3049999999999997</v>
      </c>
      <c r="AD57" s="166">
        <v>1.329</v>
      </c>
      <c r="AE57" s="166">
        <v>6.2409999999999997</v>
      </c>
      <c r="AF57" s="166">
        <v>4.5579999999999998</v>
      </c>
      <c r="AG57" s="166">
        <v>5.5720000000000001</v>
      </c>
      <c r="AH57" s="166">
        <v>5.5919999999999996</v>
      </c>
      <c r="AI57" s="166">
        <v>7.64</v>
      </c>
      <c r="AJ57" s="166">
        <v>8.3320000000000007</v>
      </c>
      <c r="AK57" s="166">
        <v>8.3710000000000004</v>
      </c>
      <c r="AL57" s="166">
        <v>5.4359999999999999</v>
      </c>
      <c r="AM57" s="166">
        <v>4.5999999999999996</v>
      </c>
      <c r="AN57" s="166">
        <v>4.226</v>
      </c>
      <c r="AO57" s="166">
        <v>5.81</v>
      </c>
      <c r="AP57" s="166">
        <v>5.4290000000000003</v>
      </c>
      <c r="AQ57" s="166">
        <v>5.0999999999999996</v>
      </c>
      <c r="AR57" s="166">
        <v>6.1</v>
      </c>
      <c r="AS57" s="166">
        <v>6.3</v>
      </c>
      <c r="AT57" s="166">
        <v>5.7</v>
      </c>
      <c r="AU57" s="166">
        <v>3.8849999999999998</v>
      </c>
      <c r="AV57" s="166">
        <v>2</v>
      </c>
      <c r="AW57" s="166">
        <v>20.204999999999998</v>
      </c>
      <c r="AX57" s="166">
        <v>4.0490000000000004</v>
      </c>
      <c r="AY57" s="166">
        <v>4.1879999999999997</v>
      </c>
      <c r="AZ57" s="166">
        <v>4.9260000000000002</v>
      </c>
      <c r="BA57" s="166">
        <v>5.165</v>
      </c>
      <c r="BB57" s="166">
        <v>11.888</v>
      </c>
      <c r="BC57" s="166">
        <v>21.745000000000001</v>
      </c>
      <c r="BD57" s="166">
        <v>22.513999999999999</v>
      </c>
      <c r="BE57" s="166">
        <v>30.196999999999999</v>
      </c>
      <c r="BF57" s="166">
        <v>26.34</v>
      </c>
      <c r="BG57" s="166">
        <v>20.678999999999998</v>
      </c>
      <c r="BH57" s="166">
        <v>41.482999999999997</v>
      </c>
      <c r="BI57" s="73"/>
      <c r="BJ57" s="166">
        <v>0</v>
      </c>
      <c r="BK57" s="166">
        <v>0</v>
      </c>
      <c r="BL57" s="166">
        <v>0</v>
      </c>
      <c r="BM57" s="166">
        <v>3.121</v>
      </c>
      <c r="BN57" s="166">
        <v>3.113</v>
      </c>
      <c r="BO57" s="166">
        <v>3.5830000000000002</v>
      </c>
      <c r="BP57" s="166">
        <v>2.9380000000000002</v>
      </c>
      <c r="BQ57" s="166">
        <v>6.2409999999999997</v>
      </c>
      <c r="BR57" s="166">
        <v>7.64</v>
      </c>
      <c r="BS57" s="166">
        <v>4.5999999999999996</v>
      </c>
      <c r="BT57" s="166">
        <f t="shared" si="41"/>
        <v>5.0999999999999996</v>
      </c>
      <c r="BU57" s="166">
        <f t="shared" si="42"/>
        <v>3.8849999999999998</v>
      </c>
      <c r="BV57" s="166">
        <f t="shared" si="38"/>
        <v>4.1879999999999997</v>
      </c>
      <c r="BW57" s="166">
        <f t="shared" si="39"/>
        <v>21.745000000000001</v>
      </c>
      <c r="BX57" s="166">
        <f t="shared" si="40"/>
        <v>20.678999999999998</v>
      </c>
      <c r="CG57" s="63"/>
    </row>
    <row r="58" spans="1:85" x14ac:dyDescent="0.35">
      <c r="A58" s="80"/>
      <c r="B58" s="51" t="str">
        <f>IF(Control!$D$5=1,"Salaries and Social Contributions","Salários, Provisões e Contribuições Sociais")</f>
        <v>Salaries and Social Contributions</v>
      </c>
      <c r="C58" s="166">
        <v>4.5410000000000004</v>
      </c>
      <c r="D58" s="166">
        <v>3.36</v>
      </c>
      <c r="E58" s="76" t="s">
        <v>2</v>
      </c>
      <c r="F58" s="76" t="s">
        <v>2</v>
      </c>
      <c r="G58" s="166">
        <v>3.4279999999999999</v>
      </c>
      <c r="H58" s="166">
        <v>3.4260000000000002</v>
      </c>
      <c r="I58" s="166">
        <v>3.1160000000000001</v>
      </c>
      <c r="J58" s="166">
        <v>2.6120000000000001</v>
      </c>
      <c r="K58" s="166">
        <v>3.1589999999999998</v>
      </c>
      <c r="L58" s="166">
        <v>3.36</v>
      </c>
      <c r="M58" s="166">
        <v>3.2149999999999999</v>
      </c>
      <c r="N58" s="166">
        <v>3.45</v>
      </c>
      <c r="O58" s="166">
        <v>4.1189999999999998</v>
      </c>
      <c r="P58" s="166">
        <v>5.4480000000000004</v>
      </c>
      <c r="Q58" s="166">
        <v>5.077</v>
      </c>
      <c r="R58" s="166">
        <v>7.1790000000000003</v>
      </c>
      <c r="S58" s="166">
        <v>10.215</v>
      </c>
      <c r="T58" s="166">
        <v>10.976000000000001</v>
      </c>
      <c r="U58" s="166">
        <v>10.124000000000001</v>
      </c>
      <c r="V58" s="166">
        <v>22.477</v>
      </c>
      <c r="W58" s="166">
        <v>18.927</v>
      </c>
      <c r="X58" s="166">
        <v>29.128</v>
      </c>
      <c r="Y58" s="166">
        <v>26.035</v>
      </c>
      <c r="Z58" s="166">
        <v>25.146000000000001</v>
      </c>
      <c r="AA58" s="166">
        <v>25.259</v>
      </c>
      <c r="AB58" s="166">
        <v>24.446000000000002</v>
      </c>
      <c r="AC58" s="166">
        <v>17.713999999999999</v>
      </c>
      <c r="AD58" s="166">
        <v>20.61</v>
      </c>
      <c r="AE58" s="166">
        <v>18.29</v>
      </c>
      <c r="AF58" s="166">
        <v>23.486000000000001</v>
      </c>
      <c r="AG58" s="166">
        <v>22.417999999999999</v>
      </c>
      <c r="AH58" s="166">
        <v>29.568000000000001</v>
      </c>
      <c r="AI58" s="166">
        <v>35.89</v>
      </c>
      <c r="AJ58" s="166">
        <v>41.756999999999998</v>
      </c>
      <c r="AK58" s="166">
        <v>31.367000000000001</v>
      </c>
      <c r="AL58" s="166">
        <v>36.207999999999998</v>
      </c>
      <c r="AM58" s="166">
        <v>37.9</v>
      </c>
      <c r="AN58" s="166">
        <v>43.048999999999999</v>
      </c>
      <c r="AO58" s="166">
        <v>27.114000000000001</v>
      </c>
      <c r="AP58" s="166">
        <v>21.641999999999999</v>
      </c>
      <c r="AQ58" s="166">
        <v>22.1</v>
      </c>
      <c r="AR58" s="166">
        <v>42.8</v>
      </c>
      <c r="AS58" s="166">
        <v>29</v>
      </c>
      <c r="AT58" s="166">
        <v>23.3</v>
      </c>
      <c r="AU58" s="166">
        <v>24.074000000000002</v>
      </c>
      <c r="AV58" s="166">
        <v>18.5</v>
      </c>
      <c r="AW58" s="166">
        <v>24.559000000000001</v>
      </c>
      <c r="AX58" s="166">
        <v>26.952999999999999</v>
      </c>
      <c r="AY58" s="166">
        <v>25.731000000000002</v>
      </c>
      <c r="AZ58" s="166">
        <v>31.332000000000001</v>
      </c>
      <c r="BA58" s="166">
        <v>35.97</v>
      </c>
      <c r="BB58" s="166">
        <v>39.134</v>
      </c>
      <c r="BC58" s="166">
        <v>49.447000000000003</v>
      </c>
      <c r="BD58" s="166">
        <v>33.479999999999997</v>
      </c>
      <c r="BE58" s="166">
        <v>29.920999999999999</v>
      </c>
      <c r="BF58" s="166">
        <v>39.920999999999999</v>
      </c>
      <c r="BG58" s="166">
        <v>38.779000000000003</v>
      </c>
      <c r="BH58" s="166">
        <v>39.576999999999998</v>
      </c>
      <c r="BI58" s="73"/>
      <c r="BJ58" s="166">
        <v>4.5410000000000004</v>
      </c>
      <c r="BK58" s="166">
        <v>3.4279999999999999</v>
      </c>
      <c r="BL58" s="166">
        <v>3.1589999999999998</v>
      </c>
      <c r="BM58" s="166">
        <v>4.1189999999999998</v>
      </c>
      <c r="BN58" s="166">
        <v>10.215</v>
      </c>
      <c r="BO58" s="166">
        <v>18.927</v>
      </c>
      <c r="BP58" s="166">
        <v>25.259</v>
      </c>
      <c r="BQ58" s="166">
        <v>18.29</v>
      </c>
      <c r="BR58" s="166">
        <v>35.89</v>
      </c>
      <c r="BS58" s="166">
        <v>37.9</v>
      </c>
      <c r="BT58" s="166">
        <f t="shared" si="41"/>
        <v>22.1</v>
      </c>
      <c r="BU58" s="166">
        <f t="shared" si="42"/>
        <v>24.074000000000002</v>
      </c>
      <c r="BV58" s="166">
        <f t="shared" si="38"/>
        <v>25.731000000000002</v>
      </c>
      <c r="BW58" s="166">
        <f t="shared" si="39"/>
        <v>49.447000000000003</v>
      </c>
      <c r="BX58" s="166">
        <f t="shared" si="40"/>
        <v>38.779000000000003</v>
      </c>
      <c r="CG58" s="63"/>
    </row>
    <row r="59" spans="1:85" x14ac:dyDescent="0.35">
      <c r="B59" s="51" t="str">
        <f>IF(Control!$D$5=1,"Dividends and Interest on Equity Payable","Dividendos e JCP a Pagar")</f>
        <v>Dividends and Interest on Equity Payable</v>
      </c>
      <c r="C59" s="166">
        <v>0</v>
      </c>
      <c r="D59" s="166">
        <v>0</v>
      </c>
      <c r="E59" s="76" t="s">
        <v>2</v>
      </c>
      <c r="F59" s="76" t="s">
        <v>2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166">
        <v>0</v>
      </c>
      <c r="U59" s="166">
        <v>0</v>
      </c>
      <c r="V59" s="166">
        <v>0</v>
      </c>
      <c r="W59" s="166">
        <v>33.466999999999999</v>
      </c>
      <c r="X59" s="166">
        <v>0.46700000000000003</v>
      </c>
      <c r="Y59" s="166">
        <v>0</v>
      </c>
      <c r="Z59" s="166">
        <v>0</v>
      </c>
      <c r="AA59" s="166">
        <v>34</v>
      </c>
      <c r="AB59" s="166">
        <v>0</v>
      </c>
      <c r="AC59" s="166">
        <v>0</v>
      </c>
      <c r="AD59" s="166">
        <v>0</v>
      </c>
      <c r="AE59" s="166">
        <v>25.95</v>
      </c>
      <c r="AF59" s="166">
        <v>0</v>
      </c>
      <c r="AG59" s="166">
        <v>0</v>
      </c>
      <c r="AH59" s="166">
        <v>0</v>
      </c>
      <c r="AI59" s="166">
        <v>0</v>
      </c>
      <c r="AJ59" s="166">
        <v>0</v>
      </c>
      <c r="AK59" s="166">
        <v>0</v>
      </c>
      <c r="AL59" s="166">
        <v>0</v>
      </c>
      <c r="AM59" s="166">
        <v>0</v>
      </c>
      <c r="AN59" s="166">
        <v>0</v>
      </c>
      <c r="AO59" s="166">
        <v>0</v>
      </c>
      <c r="AP59" s="166">
        <v>0</v>
      </c>
      <c r="AQ59" s="166">
        <v>0</v>
      </c>
      <c r="AR59" s="166">
        <v>0</v>
      </c>
      <c r="AS59" s="166">
        <v>17.5</v>
      </c>
      <c r="AT59" s="166">
        <v>39.4</v>
      </c>
      <c r="AU59" s="166">
        <v>0</v>
      </c>
      <c r="AV59" s="166">
        <v>0</v>
      </c>
      <c r="AW59" s="166">
        <v>15</v>
      </c>
      <c r="AX59" s="166">
        <v>0</v>
      </c>
      <c r="AY59" s="166">
        <v>0</v>
      </c>
      <c r="AZ59" s="166">
        <v>0</v>
      </c>
      <c r="BA59" s="166">
        <v>0</v>
      </c>
      <c r="BB59" s="166">
        <v>0</v>
      </c>
      <c r="BC59" s="166">
        <v>6.3630000000000004</v>
      </c>
      <c r="BD59" s="166">
        <v>6.327</v>
      </c>
      <c r="BE59" s="166">
        <v>7.843</v>
      </c>
      <c r="BF59" s="166">
        <v>7.7809999999999997</v>
      </c>
      <c r="BG59" s="166">
        <v>7.6849999999999996</v>
      </c>
      <c r="BH59" s="166">
        <v>16.765999999999998</v>
      </c>
      <c r="BI59" s="73"/>
      <c r="BJ59" s="166">
        <v>0</v>
      </c>
      <c r="BK59" s="166">
        <v>0</v>
      </c>
      <c r="BL59" s="166">
        <v>0</v>
      </c>
      <c r="BM59" s="166">
        <v>0</v>
      </c>
      <c r="BN59" s="166">
        <v>0</v>
      </c>
      <c r="BO59" s="166">
        <v>33.466999999999999</v>
      </c>
      <c r="BP59" s="166">
        <v>34</v>
      </c>
      <c r="BQ59" s="166">
        <v>25.95</v>
      </c>
      <c r="BR59" s="166">
        <v>0</v>
      </c>
      <c r="BS59" s="166">
        <v>0</v>
      </c>
      <c r="BT59" s="166">
        <f t="shared" si="41"/>
        <v>0</v>
      </c>
      <c r="BU59" s="166">
        <f t="shared" si="42"/>
        <v>0</v>
      </c>
      <c r="BV59" s="166">
        <f t="shared" si="38"/>
        <v>0</v>
      </c>
      <c r="BW59" s="166">
        <f t="shared" si="39"/>
        <v>6.3630000000000004</v>
      </c>
      <c r="BX59" s="166">
        <f t="shared" si="40"/>
        <v>7.6849999999999996</v>
      </c>
      <c r="CG59" s="63"/>
    </row>
    <row r="60" spans="1:85" x14ac:dyDescent="0.35">
      <c r="A60" s="250"/>
      <c r="B60" s="51" t="str">
        <f>IF(Control!$D$5=1,"Taxes Payables","Impostos a Pagar")</f>
        <v>Taxes Payables</v>
      </c>
      <c r="C60" s="166">
        <v>6.5830000000000002</v>
      </c>
      <c r="D60" s="166">
        <v>16.052</v>
      </c>
      <c r="E60" s="76" t="s">
        <v>2</v>
      </c>
      <c r="F60" s="76" t="s">
        <v>2</v>
      </c>
      <c r="G60" s="166">
        <v>20.725000000000001</v>
      </c>
      <c r="H60" s="166">
        <v>23.895</v>
      </c>
      <c r="I60" s="166">
        <v>3.1709999999999998</v>
      </c>
      <c r="J60" s="166">
        <v>5.2990000000000004</v>
      </c>
      <c r="K60" s="166">
        <v>24.789000000000001</v>
      </c>
      <c r="L60" s="166">
        <v>23.091999999999999</v>
      </c>
      <c r="M60" s="166">
        <v>21.853999999999999</v>
      </c>
      <c r="N60" s="166">
        <v>20.834</v>
      </c>
      <c r="O60" s="166">
        <v>20.414000000000001</v>
      </c>
      <c r="P60" s="166">
        <v>24.692</v>
      </c>
      <c r="Q60" s="166">
        <v>15.102</v>
      </c>
      <c r="R60" s="166">
        <v>15.337</v>
      </c>
      <c r="S60" s="166">
        <v>18.994</v>
      </c>
      <c r="T60" s="166">
        <v>23.712</v>
      </c>
      <c r="U60" s="166">
        <v>14.606999999999999</v>
      </c>
      <c r="V60" s="166">
        <v>41.034999999999997</v>
      </c>
      <c r="W60" s="166">
        <v>43.408999999999999</v>
      </c>
      <c r="X60" s="166">
        <v>30.152000000000001</v>
      </c>
      <c r="Y60" s="166">
        <v>41.424999999999997</v>
      </c>
      <c r="Z60" s="166">
        <v>57.97</v>
      </c>
      <c r="AA60" s="166">
        <v>9.2780000000000005</v>
      </c>
      <c r="AB60" s="166">
        <v>15.792</v>
      </c>
      <c r="AC60" s="166">
        <v>8.9250000000000007</v>
      </c>
      <c r="AD60" s="166">
        <v>9.9120000000000008</v>
      </c>
      <c r="AE60" s="166">
        <v>27.463999999999999</v>
      </c>
      <c r="AF60" s="166">
        <v>33.53</v>
      </c>
      <c r="AG60" s="166">
        <v>29.943999999999999</v>
      </c>
      <c r="AH60" s="166">
        <v>30.963999999999999</v>
      </c>
      <c r="AI60" s="166">
        <v>54.03</v>
      </c>
      <c r="AJ60" s="166">
        <v>35.768999999999998</v>
      </c>
      <c r="AK60" s="166">
        <v>38.798999999999999</v>
      </c>
      <c r="AL60" s="166">
        <v>43.348999999999997</v>
      </c>
      <c r="AM60" s="166">
        <v>34.799999999999997</v>
      </c>
      <c r="AN60" s="166">
        <v>30.611000000000001</v>
      </c>
      <c r="AO60" s="166">
        <v>15.494</v>
      </c>
      <c r="AP60" s="166">
        <v>27.68</v>
      </c>
      <c r="AQ60" s="166">
        <v>26.3</v>
      </c>
      <c r="AR60" s="166">
        <v>29.7</v>
      </c>
      <c r="AS60" s="166">
        <v>43.9</v>
      </c>
      <c r="AT60" s="166">
        <v>50.5</v>
      </c>
      <c r="AU60" s="166">
        <v>49.701000000000001</v>
      </c>
      <c r="AV60" s="166">
        <v>28</v>
      </c>
      <c r="AW60" s="166">
        <v>33.966000000000001</v>
      </c>
      <c r="AX60" s="166">
        <v>9.7370000000000001</v>
      </c>
      <c r="AY60" s="166">
        <v>14.943</v>
      </c>
      <c r="AZ60" s="166">
        <v>21.751000000000001</v>
      </c>
      <c r="BA60" s="166">
        <v>24.669</v>
      </c>
      <c r="BB60" s="166">
        <v>36.366</v>
      </c>
      <c r="BC60" s="166">
        <v>34.871000000000002</v>
      </c>
      <c r="BD60" s="166">
        <v>33.880000000000003</v>
      </c>
      <c r="BE60" s="166">
        <v>20.257999999999999</v>
      </c>
      <c r="BF60" s="166">
        <v>34.268999999999998</v>
      </c>
      <c r="BG60" s="166">
        <v>47.921999999999997</v>
      </c>
      <c r="BH60" s="166">
        <v>55.695999999999998</v>
      </c>
      <c r="BI60" s="73"/>
      <c r="BJ60" s="166">
        <v>6.5830000000000002</v>
      </c>
      <c r="BK60" s="166">
        <v>20.725000000000001</v>
      </c>
      <c r="BL60" s="166">
        <v>24.789000000000001</v>
      </c>
      <c r="BM60" s="166">
        <v>20.414000000000001</v>
      </c>
      <c r="BN60" s="166">
        <v>18.994</v>
      </c>
      <c r="BO60" s="166">
        <v>43.408999999999999</v>
      </c>
      <c r="BP60" s="166">
        <v>9.2780000000000005</v>
      </c>
      <c r="BQ60" s="166">
        <v>27.463999999999999</v>
      </c>
      <c r="BR60" s="166">
        <v>54.03</v>
      </c>
      <c r="BS60" s="166">
        <v>34.799999999999997</v>
      </c>
      <c r="BT60" s="166">
        <f t="shared" si="41"/>
        <v>26.3</v>
      </c>
      <c r="BU60" s="166">
        <f t="shared" si="42"/>
        <v>49.701000000000001</v>
      </c>
      <c r="BV60" s="166">
        <f t="shared" si="38"/>
        <v>14.943</v>
      </c>
      <c r="BW60" s="166">
        <f t="shared" si="39"/>
        <v>34.871000000000002</v>
      </c>
      <c r="BX60" s="166">
        <f t="shared" si="40"/>
        <v>47.921999999999997</v>
      </c>
      <c r="CG60" s="63"/>
    </row>
    <row r="61" spans="1:85" x14ac:dyDescent="0.35">
      <c r="B61" s="51" t="str">
        <f>IF(Control!$D$5=1,"Vacation accrual and related charges","Provisão para férias e Encargos")</f>
        <v>Vacation accrual and related charges</v>
      </c>
      <c r="C61" s="166">
        <v>2.754</v>
      </c>
      <c r="D61" s="166">
        <v>3.9329999999999998</v>
      </c>
      <c r="E61" s="76" t="s">
        <v>2</v>
      </c>
      <c r="F61" s="76" t="s">
        <v>2</v>
      </c>
      <c r="G61" s="166">
        <v>3.593</v>
      </c>
      <c r="H61" s="166">
        <v>5.0069999999999997</v>
      </c>
      <c r="I61" s="166">
        <v>5.8259999999999996</v>
      </c>
      <c r="J61" s="166">
        <v>7.6219999999999999</v>
      </c>
      <c r="K61" s="166">
        <v>4.1130000000000004</v>
      </c>
      <c r="L61" s="166">
        <v>6.1239999999999997</v>
      </c>
      <c r="M61" s="166">
        <v>6.6589999999999998</v>
      </c>
      <c r="N61" s="166">
        <v>8.9659999999999993</v>
      </c>
      <c r="O61" s="166">
        <v>4.2530000000000001</v>
      </c>
      <c r="P61" s="166">
        <v>8.99</v>
      </c>
      <c r="Q61" s="166">
        <v>11.987</v>
      </c>
      <c r="R61" s="166">
        <v>16.494</v>
      </c>
      <c r="S61" s="166">
        <v>12.914999999999999</v>
      </c>
      <c r="T61" s="166">
        <v>17.295000000000002</v>
      </c>
      <c r="U61" s="166">
        <v>19.911000000000001</v>
      </c>
      <c r="V61" s="166">
        <v>25.158999999999999</v>
      </c>
      <c r="W61" s="166">
        <v>20.053999999999998</v>
      </c>
      <c r="X61" s="166">
        <v>24.405000000000001</v>
      </c>
      <c r="Y61" s="166">
        <v>28.552</v>
      </c>
      <c r="Z61" s="166">
        <v>35.014000000000003</v>
      </c>
      <c r="AA61" s="166">
        <v>19.704999999999998</v>
      </c>
      <c r="AB61" s="166">
        <v>25.408999999999999</v>
      </c>
      <c r="AC61" s="166">
        <v>29.637</v>
      </c>
      <c r="AD61" s="166">
        <v>37.151000000000003</v>
      </c>
      <c r="AE61" s="166">
        <v>24.016999999999999</v>
      </c>
      <c r="AF61" s="166">
        <v>30.582999999999998</v>
      </c>
      <c r="AG61" s="166">
        <v>33.393999999999998</v>
      </c>
      <c r="AH61" s="166">
        <v>40.104999999999997</v>
      </c>
      <c r="AI61" s="166">
        <v>24.641999999999999</v>
      </c>
      <c r="AJ61" s="166">
        <v>34.853999999999999</v>
      </c>
      <c r="AK61" s="166">
        <v>39.826999999999998</v>
      </c>
      <c r="AL61" s="166">
        <v>47.530999999999999</v>
      </c>
      <c r="AM61" s="166">
        <v>27.4</v>
      </c>
      <c r="AN61" s="166">
        <v>36.158000000000001</v>
      </c>
      <c r="AO61" s="166">
        <v>38.841999999999999</v>
      </c>
      <c r="AP61" s="166">
        <v>48.850999999999999</v>
      </c>
      <c r="AQ61" s="166">
        <v>32.299999999999997</v>
      </c>
      <c r="AR61" s="166">
        <v>42.5</v>
      </c>
      <c r="AS61" s="166">
        <v>46.5</v>
      </c>
      <c r="AT61" s="166">
        <v>51.6</v>
      </c>
      <c r="AU61" s="166">
        <v>36.503</v>
      </c>
      <c r="AV61" s="166">
        <v>44.3</v>
      </c>
      <c r="AW61" s="166">
        <v>48.508000000000003</v>
      </c>
      <c r="AX61" s="166">
        <v>55.93</v>
      </c>
      <c r="AY61" s="166">
        <v>40.695999999999998</v>
      </c>
      <c r="AZ61" s="166">
        <v>53.14</v>
      </c>
      <c r="BA61" s="166">
        <v>61.095999999999997</v>
      </c>
      <c r="BB61" s="166">
        <v>70.903000000000006</v>
      </c>
      <c r="BC61" s="166">
        <v>47.994999999999997</v>
      </c>
      <c r="BD61" s="166">
        <v>56.688000000000002</v>
      </c>
      <c r="BE61" s="166">
        <v>63.561</v>
      </c>
      <c r="BF61" s="166">
        <v>82.575999999999993</v>
      </c>
      <c r="BG61" s="166">
        <v>53.027999999999999</v>
      </c>
      <c r="BH61" s="166">
        <v>65.113</v>
      </c>
      <c r="BI61" s="73"/>
      <c r="BJ61" s="166">
        <v>2.754</v>
      </c>
      <c r="BK61" s="166">
        <v>3.593</v>
      </c>
      <c r="BL61" s="166">
        <v>4.1130000000000004</v>
      </c>
      <c r="BM61" s="166">
        <v>4.2530000000000001</v>
      </c>
      <c r="BN61" s="166">
        <v>12.914999999999999</v>
      </c>
      <c r="BO61" s="166">
        <v>20.053999999999998</v>
      </c>
      <c r="BP61" s="166">
        <v>19.704999999999998</v>
      </c>
      <c r="BQ61" s="166">
        <v>24.016999999999999</v>
      </c>
      <c r="BR61" s="166">
        <v>24.641999999999999</v>
      </c>
      <c r="BS61" s="166">
        <v>27.4</v>
      </c>
      <c r="BT61" s="166">
        <f t="shared" si="41"/>
        <v>32.299999999999997</v>
      </c>
      <c r="BU61" s="166">
        <f t="shared" si="42"/>
        <v>36.503</v>
      </c>
      <c r="BV61" s="166">
        <f t="shared" si="38"/>
        <v>40.695999999999998</v>
      </c>
      <c r="BW61" s="166">
        <f t="shared" si="39"/>
        <v>47.994999999999997</v>
      </c>
      <c r="BX61" s="166">
        <f t="shared" si="40"/>
        <v>53.027999999999999</v>
      </c>
      <c r="CG61" s="63"/>
    </row>
    <row r="62" spans="1:85" x14ac:dyDescent="0.35">
      <c r="B62" s="51" t="str">
        <f>IF(Control!$D$5=1,"Outstanding Taxes","Parcelamento de Impostos")</f>
        <v>Outstanding Taxes</v>
      </c>
      <c r="C62" s="166">
        <v>3.1619999999999999</v>
      </c>
      <c r="D62" s="166">
        <v>2.9580000000000002</v>
      </c>
      <c r="E62" s="76" t="s">
        <v>2</v>
      </c>
      <c r="F62" s="76" t="s">
        <v>2</v>
      </c>
      <c r="G62" s="166">
        <v>3.0880000000000001</v>
      </c>
      <c r="H62" s="166">
        <v>3.109</v>
      </c>
      <c r="I62" s="166">
        <v>2.2970000000000002</v>
      </c>
      <c r="J62" s="166">
        <v>1.532</v>
      </c>
      <c r="K62" s="166">
        <v>0.90100000000000002</v>
      </c>
      <c r="L62" s="166">
        <v>0.26900000000000002</v>
      </c>
      <c r="M62" s="166">
        <v>2.1629999999999998</v>
      </c>
      <c r="N62" s="166">
        <v>2.5270000000000001</v>
      </c>
      <c r="O62" s="166">
        <v>1.895</v>
      </c>
      <c r="P62" s="166">
        <v>7.0430000000000001</v>
      </c>
      <c r="Q62" s="166">
        <v>10.616</v>
      </c>
      <c r="R62" s="166">
        <v>10.404</v>
      </c>
      <c r="S62" s="166">
        <v>10.872999999999999</v>
      </c>
      <c r="T62" s="166">
        <v>10.988</v>
      </c>
      <c r="U62" s="166">
        <v>11.106</v>
      </c>
      <c r="V62" s="166">
        <v>10.622</v>
      </c>
      <c r="W62" s="166">
        <v>12.311</v>
      </c>
      <c r="X62" s="166">
        <v>11.87</v>
      </c>
      <c r="Y62" s="166">
        <v>12.526</v>
      </c>
      <c r="Z62" s="166">
        <v>12.673999999999999</v>
      </c>
      <c r="AA62" s="166">
        <v>9.6270000000000007</v>
      </c>
      <c r="AB62" s="166">
        <v>8.5459999999999994</v>
      </c>
      <c r="AC62" s="166">
        <v>15.505000000000001</v>
      </c>
      <c r="AD62" s="166">
        <v>23.071999999999999</v>
      </c>
      <c r="AE62" s="166">
        <v>10.173</v>
      </c>
      <c r="AF62" s="166">
        <v>10.349</v>
      </c>
      <c r="AG62" s="166">
        <v>10.502000000000001</v>
      </c>
      <c r="AH62" s="166">
        <v>10.242000000000001</v>
      </c>
      <c r="AI62" s="166">
        <v>9.9640000000000004</v>
      </c>
      <c r="AJ62" s="166">
        <v>9.7319999999999993</v>
      </c>
      <c r="AK62" s="166">
        <v>9.4410000000000007</v>
      </c>
      <c r="AL62" s="166">
        <v>8.4809999999999999</v>
      </c>
      <c r="AM62" s="166">
        <v>9.7000000000000011</v>
      </c>
      <c r="AN62" s="166">
        <v>10.212999999999999</v>
      </c>
      <c r="AO62" s="166">
        <v>9.9179999999999993</v>
      </c>
      <c r="AP62" s="166">
        <v>9.6809999999999992</v>
      </c>
      <c r="AQ62" s="166">
        <v>2.5</v>
      </c>
      <c r="AR62" s="166">
        <v>2.1</v>
      </c>
      <c r="AS62" s="166">
        <v>1.6</v>
      </c>
      <c r="AT62" s="166">
        <v>8.5</v>
      </c>
      <c r="AU62" s="166">
        <v>8.4580000000000002</v>
      </c>
      <c r="AV62" s="166">
        <v>8.5</v>
      </c>
      <c r="AW62" s="166">
        <v>8.4600000000000009</v>
      </c>
      <c r="AX62" s="166">
        <v>8.4619999999999997</v>
      </c>
      <c r="AY62" s="166">
        <v>8.4619999999999997</v>
      </c>
      <c r="AZ62" s="166">
        <v>8.4730000000000008</v>
      </c>
      <c r="BA62" s="166">
        <v>8.423</v>
      </c>
      <c r="BB62" s="166">
        <v>8.3979999999999997</v>
      </c>
      <c r="BC62" s="166">
        <v>8.3740000000000006</v>
      </c>
      <c r="BD62" s="166">
        <v>5.2210000000000001</v>
      </c>
      <c r="BE62" s="166">
        <v>9.0340000000000007</v>
      </c>
      <c r="BF62" s="166">
        <v>10.628</v>
      </c>
      <c r="BG62" s="166">
        <v>9.6720000000000006</v>
      </c>
      <c r="BH62" s="166">
        <v>7.02</v>
      </c>
      <c r="BI62" s="73"/>
      <c r="BJ62" s="166">
        <v>3.1619999999999999</v>
      </c>
      <c r="BK62" s="166">
        <v>3.0880000000000001</v>
      </c>
      <c r="BL62" s="166">
        <v>0.90100000000000002</v>
      </c>
      <c r="BM62" s="166">
        <v>1.895</v>
      </c>
      <c r="BN62" s="166">
        <v>10.872999999999999</v>
      </c>
      <c r="BO62" s="166">
        <v>12.311</v>
      </c>
      <c r="BP62" s="166">
        <v>9.6270000000000007</v>
      </c>
      <c r="BQ62" s="166">
        <v>10.173</v>
      </c>
      <c r="BR62" s="166">
        <v>9.9640000000000004</v>
      </c>
      <c r="BS62" s="166">
        <v>9.7000000000000011</v>
      </c>
      <c r="BT62" s="166">
        <f t="shared" si="41"/>
        <v>2.5</v>
      </c>
      <c r="BU62" s="166">
        <f t="shared" si="42"/>
        <v>8.4580000000000002</v>
      </c>
      <c r="BV62" s="166">
        <f t="shared" si="38"/>
        <v>8.4619999999999997</v>
      </c>
      <c r="BW62" s="166">
        <f t="shared" si="39"/>
        <v>8.3740000000000006</v>
      </c>
      <c r="BX62" s="166">
        <f t="shared" si="40"/>
        <v>9.6720000000000006</v>
      </c>
      <c r="CG62" s="63"/>
    </row>
    <row r="63" spans="1:85" x14ac:dyDescent="0.35">
      <c r="B63" s="51" t="str">
        <f>IF(Control!$D$5=1,"Deferred Income Taxes","Imposto de Renda Diferido")</f>
        <v>Deferred Income Taxes</v>
      </c>
      <c r="C63" s="166">
        <v>0.17499999999999999</v>
      </c>
      <c r="D63" s="166">
        <v>0.17499999999999999</v>
      </c>
      <c r="E63" s="76" t="s">
        <v>2</v>
      </c>
      <c r="F63" s="76" t="s">
        <v>2</v>
      </c>
      <c r="G63" s="166">
        <v>0.67300000000000004</v>
      </c>
      <c r="H63" s="166">
        <v>0.68899999999999995</v>
      </c>
      <c r="I63" s="166">
        <v>0.73199999999999998</v>
      </c>
      <c r="J63" s="166">
        <v>0.67600000000000005</v>
      </c>
      <c r="K63" s="166">
        <v>0.90500000000000003</v>
      </c>
      <c r="L63" s="166">
        <v>0</v>
      </c>
      <c r="M63" s="166">
        <v>0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6">
        <v>0</v>
      </c>
      <c r="T63" s="166">
        <v>0</v>
      </c>
      <c r="U63" s="166">
        <v>0</v>
      </c>
      <c r="V63" s="166">
        <v>0</v>
      </c>
      <c r="W63" s="166">
        <v>0</v>
      </c>
      <c r="X63" s="166">
        <v>0</v>
      </c>
      <c r="Y63" s="166">
        <v>0</v>
      </c>
      <c r="Z63" s="166">
        <v>0</v>
      </c>
      <c r="AA63" s="166">
        <v>0</v>
      </c>
      <c r="AB63" s="166">
        <v>0</v>
      </c>
      <c r="AC63" s="166">
        <v>0</v>
      </c>
      <c r="AD63" s="166">
        <v>0</v>
      </c>
      <c r="AE63" s="166">
        <v>0</v>
      </c>
      <c r="AF63" s="166">
        <v>0</v>
      </c>
      <c r="AG63" s="166">
        <v>0</v>
      </c>
      <c r="AH63" s="166">
        <v>0</v>
      </c>
      <c r="AI63" s="166">
        <v>0</v>
      </c>
      <c r="AJ63" s="166">
        <v>0</v>
      </c>
      <c r="AK63" s="166">
        <v>0</v>
      </c>
      <c r="AL63" s="166">
        <v>0</v>
      </c>
      <c r="AM63" s="166">
        <v>0</v>
      </c>
      <c r="AN63" s="166">
        <v>0</v>
      </c>
      <c r="AO63" s="166">
        <v>0</v>
      </c>
      <c r="AP63" s="166">
        <v>0</v>
      </c>
      <c r="AQ63" s="166">
        <v>0</v>
      </c>
      <c r="AR63" s="166">
        <v>0</v>
      </c>
      <c r="AS63" s="166">
        <v>0</v>
      </c>
      <c r="AT63" s="166">
        <v>0</v>
      </c>
      <c r="AU63" s="166">
        <v>0</v>
      </c>
      <c r="AV63" s="166">
        <v>0</v>
      </c>
      <c r="AW63" s="166">
        <v>0</v>
      </c>
      <c r="AX63" s="166">
        <v>0</v>
      </c>
      <c r="AY63" s="166">
        <v>0</v>
      </c>
      <c r="AZ63" s="166">
        <v>0</v>
      </c>
      <c r="BA63" s="166">
        <v>0</v>
      </c>
      <c r="BB63" s="166">
        <v>0</v>
      </c>
      <c r="BC63" s="166">
        <v>0</v>
      </c>
      <c r="BD63" s="166">
        <v>0</v>
      </c>
      <c r="BE63" s="166">
        <v>0</v>
      </c>
      <c r="BF63" s="166">
        <v>0</v>
      </c>
      <c r="BG63" s="166">
        <v>0</v>
      </c>
      <c r="BH63" s="166">
        <v>0</v>
      </c>
      <c r="BI63" s="73"/>
      <c r="BJ63" s="166">
        <v>0.17499999999999999</v>
      </c>
      <c r="BK63" s="166">
        <v>0.67300000000000004</v>
      </c>
      <c r="BL63" s="166">
        <v>0.90500000000000003</v>
      </c>
      <c r="BM63" s="166">
        <v>0</v>
      </c>
      <c r="BN63" s="166">
        <v>0</v>
      </c>
      <c r="BO63" s="166">
        <v>0</v>
      </c>
      <c r="BP63" s="166">
        <v>0</v>
      </c>
      <c r="BQ63" s="166">
        <v>0</v>
      </c>
      <c r="BR63" s="166">
        <v>0</v>
      </c>
      <c r="BS63" s="166">
        <v>0</v>
      </c>
      <c r="BT63" s="166">
        <f t="shared" si="41"/>
        <v>0</v>
      </c>
      <c r="BU63" s="166">
        <f t="shared" si="42"/>
        <v>0</v>
      </c>
      <c r="BV63" s="166">
        <f t="shared" si="38"/>
        <v>0</v>
      </c>
      <c r="BW63" s="166">
        <f t="shared" si="39"/>
        <v>0</v>
      </c>
      <c r="BX63" s="166">
        <f t="shared" si="40"/>
        <v>0</v>
      </c>
      <c r="CG63" s="63"/>
    </row>
    <row r="64" spans="1:85" x14ac:dyDescent="0.35">
      <c r="B64" s="51" t="str">
        <f>IF(Control!$D$5=1,"Provision for contingencies","Provisão para Contingências")</f>
        <v>Provision for contingencies</v>
      </c>
      <c r="C64" s="166">
        <v>1.363</v>
      </c>
      <c r="D64" s="166">
        <v>0.55100000000000005</v>
      </c>
      <c r="E64" s="76" t="s">
        <v>2</v>
      </c>
      <c r="F64" s="76" t="s">
        <v>2</v>
      </c>
      <c r="G64" s="166">
        <v>0.84</v>
      </c>
      <c r="H64" s="166">
        <v>0.66700000000000004</v>
      </c>
      <c r="I64" s="166">
        <v>0.63800000000000001</v>
      </c>
      <c r="J64" s="166">
        <v>0.59199999999999997</v>
      </c>
      <c r="K64" s="166">
        <v>0.61199999999999999</v>
      </c>
      <c r="L64" s="166">
        <v>0.61399999999999999</v>
      </c>
      <c r="M64" s="166">
        <v>0.55600000000000005</v>
      </c>
      <c r="N64" s="166">
        <v>0.64100000000000001</v>
      </c>
      <c r="O64" s="166">
        <v>0.62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  <c r="U64" s="166">
        <v>0</v>
      </c>
      <c r="V64" s="166">
        <v>0</v>
      </c>
      <c r="W64" s="166">
        <v>0</v>
      </c>
      <c r="X64" s="166">
        <v>0</v>
      </c>
      <c r="Y64" s="166">
        <v>0</v>
      </c>
      <c r="Z64" s="166">
        <v>0</v>
      </c>
      <c r="AA64" s="166">
        <v>0</v>
      </c>
      <c r="AB64" s="166">
        <v>0</v>
      </c>
      <c r="AC64" s="166">
        <v>0</v>
      </c>
      <c r="AD64" s="166">
        <v>0</v>
      </c>
      <c r="AE64" s="166">
        <v>0</v>
      </c>
      <c r="AF64" s="166">
        <v>0</v>
      </c>
      <c r="AG64" s="166">
        <v>0</v>
      </c>
      <c r="AH64" s="166">
        <v>0</v>
      </c>
      <c r="AI64" s="166">
        <v>0</v>
      </c>
      <c r="AJ64" s="166">
        <v>0</v>
      </c>
      <c r="AK64" s="166">
        <v>0</v>
      </c>
      <c r="AL64" s="166">
        <v>0</v>
      </c>
      <c r="AM64" s="166">
        <v>0</v>
      </c>
      <c r="AN64" s="166">
        <v>0</v>
      </c>
      <c r="AO64" s="166">
        <v>0</v>
      </c>
      <c r="AP64" s="166">
        <v>0</v>
      </c>
      <c r="AQ64" s="166">
        <v>0</v>
      </c>
      <c r="AR64" s="166">
        <v>0</v>
      </c>
      <c r="AS64" s="166">
        <v>0</v>
      </c>
      <c r="AT64" s="166">
        <v>0</v>
      </c>
      <c r="AU64" s="166">
        <v>0</v>
      </c>
      <c r="AV64" s="166">
        <v>0</v>
      </c>
      <c r="AW64" s="166">
        <v>0</v>
      </c>
      <c r="AX64" s="166">
        <v>0</v>
      </c>
      <c r="AY64" s="166">
        <v>0</v>
      </c>
      <c r="AZ64" s="166">
        <v>0</v>
      </c>
      <c r="BA64" s="166">
        <v>0</v>
      </c>
      <c r="BB64" s="166">
        <v>0</v>
      </c>
      <c r="BC64" s="166">
        <v>0</v>
      </c>
      <c r="BD64" s="166">
        <v>0</v>
      </c>
      <c r="BE64" s="166">
        <v>0</v>
      </c>
      <c r="BF64" s="166">
        <v>0</v>
      </c>
      <c r="BG64" s="166">
        <v>0</v>
      </c>
      <c r="BH64" s="166">
        <v>0</v>
      </c>
      <c r="BI64" s="73"/>
      <c r="BJ64" s="166">
        <v>1.363</v>
      </c>
      <c r="BK64" s="166">
        <v>0.84</v>
      </c>
      <c r="BL64" s="166">
        <v>0.61199999999999999</v>
      </c>
      <c r="BM64" s="166">
        <v>0.62</v>
      </c>
      <c r="BN64" s="166">
        <v>0</v>
      </c>
      <c r="BO64" s="166">
        <v>0</v>
      </c>
      <c r="BP64" s="166">
        <v>0</v>
      </c>
      <c r="BQ64" s="166">
        <v>0</v>
      </c>
      <c r="BR64" s="166">
        <v>0</v>
      </c>
      <c r="BS64" s="166">
        <v>0</v>
      </c>
      <c r="BT64" s="166">
        <f t="shared" si="41"/>
        <v>0</v>
      </c>
      <c r="BU64" s="166">
        <f t="shared" si="42"/>
        <v>0</v>
      </c>
      <c r="BV64" s="166">
        <f t="shared" si="38"/>
        <v>0</v>
      </c>
      <c r="BW64" s="166">
        <f t="shared" si="39"/>
        <v>0</v>
      </c>
      <c r="BX64" s="166">
        <f t="shared" si="40"/>
        <v>0</v>
      </c>
      <c r="CG64" s="63"/>
    </row>
    <row r="65" spans="1:85" x14ac:dyDescent="0.35">
      <c r="B65" s="51" t="str">
        <f>IF(Control!$D$5=1,"Notes Payable","Títulos a Pagar")</f>
        <v>Notes Payable</v>
      </c>
      <c r="C65" s="166">
        <v>0</v>
      </c>
      <c r="D65" s="166">
        <v>0</v>
      </c>
      <c r="E65" s="76" t="s">
        <v>2</v>
      </c>
      <c r="F65" s="76" t="s">
        <v>2</v>
      </c>
      <c r="G65" s="166">
        <v>25.437999999999999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  <c r="V65" s="166">
        <v>58.162999999999997</v>
      </c>
      <c r="W65" s="166">
        <v>54.970999999999997</v>
      </c>
      <c r="X65" s="166">
        <v>55.923000000000002</v>
      </c>
      <c r="Y65" s="166">
        <v>57.043999999999997</v>
      </c>
      <c r="Z65" s="166">
        <v>62.694000000000003</v>
      </c>
      <c r="AA65" s="166">
        <v>62.694000000000003</v>
      </c>
      <c r="AB65" s="166">
        <v>65.784999999999997</v>
      </c>
      <c r="AC65" s="166">
        <v>67.522000000000006</v>
      </c>
      <c r="AD65" s="166">
        <v>69.349999999999994</v>
      </c>
      <c r="AE65" s="166">
        <v>71.239000000000004</v>
      </c>
      <c r="AF65" s="166">
        <v>73.372</v>
      </c>
      <c r="AG65" s="166">
        <v>75.855000000000004</v>
      </c>
      <c r="AH65" s="166">
        <v>0</v>
      </c>
      <c r="AI65" s="166">
        <v>0</v>
      </c>
      <c r="AJ65" s="166">
        <v>0</v>
      </c>
      <c r="AK65" s="166">
        <v>0</v>
      </c>
      <c r="AL65" s="166">
        <v>0</v>
      </c>
      <c r="AM65" s="166">
        <v>0</v>
      </c>
      <c r="AN65" s="166">
        <v>0</v>
      </c>
      <c r="AO65" s="166">
        <v>0</v>
      </c>
      <c r="AP65" s="166">
        <v>0</v>
      </c>
      <c r="AQ65" s="166">
        <v>0</v>
      </c>
      <c r="AR65" s="166">
        <v>0</v>
      </c>
      <c r="AS65" s="166">
        <v>0</v>
      </c>
      <c r="AT65" s="166">
        <v>0</v>
      </c>
      <c r="AU65" s="166">
        <v>0</v>
      </c>
      <c r="AV65" s="166">
        <v>0</v>
      </c>
      <c r="AW65" s="166">
        <v>0</v>
      </c>
      <c r="AX65" s="166">
        <v>0</v>
      </c>
      <c r="AY65" s="166">
        <v>0</v>
      </c>
      <c r="AZ65" s="166">
        <v>0</v>
      </c>
      <c r="BA65" s="166">
        <v>0</v>
      </c>
      <c r="BB65" s="166">
        <v>0</v>
      </c>
      <c r="BC65" s="166">
        <v>0</v>
      </c>
      <c r="BD65" s="166">
        <v>0</v>
      </c>
      <c r="BE65" s="166">
        <v>0</v>
      </c>
      <c r="BF65" s="166">
        <v>0</v>
      </c>
      <c r="BG65" s="166">
        <v>0</v>
      </c>
      <c r="BH65" s="166">
        <v>0</v>
      </c>
      <c r="BI65" s="73"/>
      <c r="BJ65" s="166">
        <v>0</v>
      </c>
      <c r="BK65" s="166">
        <v>25.437999999999999</v>
      </c>
      <c r="BL65" s="166">
        <v>0</v>
      </c>
      <c r="BM65" s="166">
        <v>0</v>
      </c>
      <c r="BN65" s="166">
        <v>0</v>
      </c>
      <c r="BO65" s="166">
        <v>54.970999999999997</v>
      </c>
      <c r="BP65" s="166">
        <v>62.694000000000003</v>
      </c>
      <c r="BQ65" s="166">
        <v>71.239000000000004</v>
      </c>
      <c r="BR65" s="166">
        <v>0</v>
      </c>
      <c r="BS65" s="166">
        <v>0</v>
      </c>
      <c r="BT65" s="166">
        <f t="shared" si="41"/>
        <v>0</v>
      </c>
      <c r="BU65" s="166">
        <f t="shared" si="42"/>
        <v>0</v>
      </c>
      <c r="BV65" s="166">
        <f t="shared" si="38"/>
        <v>0</v>
      </c>
      <c r="BW65" s="166">
        <f t="shared" si="39"/>
        <v>0</v>
      </c>
      <c r="BX65" s="166">
        <f t="shared" si="40"/>
        <v>0</v>
      </c>
      <c r="CG65" s="63"/>
    </row>
    <row r="66" spans="1:85" s="7" customFormat="1" x14ac:dyDescent="0.35">
      <c r="A66" s="216"/>
      <c r="B66" s="264" t="str">
        <f>IF(Control!$D$5=1,"Subsidiary liability","Passivo à descoberto em controlada")</f>
        <v>Subsidiary liability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>
        <v>0</v>
      </c>
      <c r="AN66" s="76">
        <v>0</v>
      </c>
      <c r="AO66" s="76">
        <v>0</v>
      </c>
      <c r="AP66" s="76">
        <v>0</v>
      </c>
      <c r="AQ66" s="76">
        <v>3.4</v>
      </c>
      <c r="AR66" s="76">
        <v>0</v>
      </c>
      <c r="AS66" s="76">
        <v>0</v>
      </c>
      <c r="AT66" s="166">
        <v>0</v>
      </c>
      <c r="AU66" s="166">
        <v>0</v>
      </c>
      <c r="AV66" s="166">
        <v>0</v>
      </c>
      <c r="AW66" s="166">
        <v>0</v>
      </c>
      <c r="AX66" s="166">
        <v>0</v>
      </c>
      <c r="AY66" s="166">
        <v>0</v>
      </c>
      <c r="AZ66" s="166">
        <v>0</v>
      </c>
      <c r="BA66" s="166">
        <v>0</v>
      </c>
      <c r="BB66" s="166">
        <v>0</v>
      </c>
      <c r="BC66" s="166">
        <v>0</v>
      </c>
      <c r="BD66" s="166">
        <v>0</v>
      </c>
      <c r="BE66" s="166">
        <v>0</v>
      </c>
      <c r="BF66" s="166">
        <v>0</v>
      </c>
      <c r="BG66" s="166">
        <v>0</v>
      </c>
      <c r="BH66" s="166">
        <v>0</v>
      </c>
      <c r="BI66" s="190"/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76">
        <v>0</v>
      </c>
      <c r="BQ66" s="76">
        <v>0</v>
      </c>
      <c r="BR66" s="76">
        <v>0</v>
      </c>
      <c r="BS66" s="76">
        <v>0</v>
      </c>
      <c r="BT66" s="166">
        <f t="shared" si="41"/>
        <v>3.4</v>
      </c>
      <c r="BU66" s="166">
        <f t="shared" si="42"/>
        <v>0</v>
      </c>
      <c r="BV66" s="166">
        <f t="shared" si="38"/>
        <v>0</v>
      </c>
      <c r="BW66" s="166">
        <f t="shared" si="39"/>
        <v>0</v>
      </c>
      <c r="BX66" s="166">
        <f t="shared" si="40"/>
        <v>0</v>
      </c>
      <c r="BY66" s="249"/>
      <c r="BZ66" s="249"/>
      <c r="CA66" s="249"/>
      <c r="CB66" s="249"/>
      <c r="CC66" s="249"/>
      <c r="CD66" s="249"/>
      <c r="CE66" s="249"/>
      <c r="CF66" s="249"/>
      <c r="CG66" s="268"/>
    </row>
    <row r="67" spans="1:85" x14ac:dyDescent="0.35">
      <c r="B67" s="51" t="str">
        <f>IF(Control!$D$5=1,"Other Current Liabilities","Outros Passivos Circulantes")</f>
        <v>Other Current Liabilities</v>
      </c>
      <c r="C67" s="166">
        <v>7.6959999999999997</v>
      </c>
      <c r="D67" s="166">
        <v>24.763000000000002</v>
      </c>
      <c r="E67" s="76" t="s">
        <v>2</v>
      </c>
      <c r="F67" s="76" t="s">
        <v>2</v>
      </c>
      <c r="G67" s="166">
        <v>0</v>
      </c>
      <c r="H67" s="166">
        <v>38.738</v>
      </c>
      <c r="I67" s="166">
        <v>26.831</v>
      </c>
      <c r="J67" s="166">
        <v>18.88</v>
      </c>
      <c r="K67" s="166">
        <v>17.7</v>
      </c>
      <c r="L67" s="166">
        <v>48.582000000000001</v>
      </c>
      <c r="M67" s="166">
        <v>28.277000000000001</v>
      </c>
      <c r="N67" s="166">
        <v>28.768000000000001</v>
      </c>
      <c r="O67" s="166">
        <v>23.741</v>
      </c>
      <c r="P67" s="166">
        <v>66.480999999999995</v>
      </c>
      <c r="Q67" s="166">
        <v>54.973999999999997</v>
      </c>
      <c r="R67" s="166">
        <v>50.713999999999999</v>
      </c>
      <c r="S67" s="166">
        <v>42.88</v>
      </c>
      <c r="T67" s="166">
        <v>59.375</v>
      </c>
      <c r="U67" s="166">
        <v>60.835999999999999</v>
      </c>
      <c r="V67" s="166">
        <v>46.085999999999999</v>
      </c>
      <c r="W67" s="166">
        <v>31.254000000000001</v>
      </c>
      <c r="X67" s="166">
        <v>58.585000000000001</v>
      </c>
      <c r="Y67" s="166">
        <v>65.381</v>
      </c>
      <c r="Z67" s="166">
        <v>39.055999999999997</v>
      </c>
      <c r="AA67" s="166">
        <v>39.444000000000003</v>
      </c>
      <c r="AB67" s="166">
        <v>68.638000000000005</v>
      </c>
      <c r="AC67" s="166">
        <v>47.786999999999999</v>
      </c>
      <c r="AD67" s="166">
        <v>83.626000000000005</v>
      </c>
      <c r="AE67" s="166">
        <v>32.835999999999999</v>
      </c>
      <c r="AF67" s="166">
        <v>114.333</v>
      </c>
      <c r="AG67" s="166">
        <v>90.718999999999994</v>
      </c>
      <c r="AH67" s="166">
        <v>71.58</v>
      </c>
      <c r="AI67" s="166">
        <v>74.015000000000001</v>
      </c>
      <c r="AJ67" s="166">
        <v>104.807</v>
      </c>
      <c r="AK67" s="166">
        <v>89.165999999999997</v>
      </c>
      <c r="AL67" s="166">
        <v>59.758000000000003</v>
      </c>
      <c r="AM67" s="166">
        <v>47.9</v>
      </c>
      <c r="AN67" s="166">
        <v>86.2</v>
      </c>
      <c r="AO67" s="166">
        <v>88.546999999999997</v>
      </c>
      <c r="AP67" s="166">
        <v>49.780999999999999</v>
      </c>
      <c r="AQ67" s="166">
        <v>43</v>
      </c>
      <c r="AR67" s="166">
        <v>74</v>
      </c>
      <c r="AS67" s="166">
        <v>75.900000000000006</v>
      </c>
      <c r="AT67" s="166">
        <v>59.5</v>
      </c>
      <c r="AU67" s="166">
        <v>51.7</v>
      </c>
      <c r="AV67" s="166">
        <f>100.3-AV55-AV56</f>
        <v>63.3</v>
      </c>
      <c r="AW67" s="166">
        <v>33.191000000000003</v>
      </c>
      <c r="AX67" s="166">
        <v>39.524000000000001</v>
      </c>
      <c r="AY67" s="166">
        <v>34.314999999999998</v>
      </c>
      <c r="AZ67" s="166">
        <v>73.314999999999998</v>
      </c>
      <c r="BA67" s="166">
        <v>59.585999999999999</v>
      </c>
      <c r="BB67" s="166">
        <v>44.924999999999997</v>
      </c>
      <c r="BC67" s="166">
        <v>31.602</v>
      </c>
      <c r="BD67" s="166">
        <v>69.073999999999998</v>
      </c>
      <c r="BE67" s="166">
        <v>50.115000000000002</v>
      </c>
      <c r="BF67" s="166">
        <v>59.133000000000003</v>
      </c>
      <c r="BG67" s="166">
        <v>51.124000000000002</v>
      </c>
      <c r="BH67" s="166">
        <v>75.882999999999996</v>
      </c>
      <c r="BI67" s="73"/>
      <c r="BJ67" s="166">
        <v>7.6959999999999997</v>
      </c>
      <c r="BK67" s="166">
        <v>0</v>
      </c>
      <c r="BL67" s="166">
        <v>17.7</v>
      </c>
      <c r="BM67" s="166">
        <v>23.741</v>
      </c>
      <c r="BN67" s="166">
        <v>42.88</v>
      </c>
      <c r="BO67" s="166">
        <v>31.254000000000001</v>
      </c>
      <c r="BP67" s="166">
        <v>39.444000000000003</v>
      </c>
      <c r="BQ67" s="166">
        <v>32.835999999999999</v>
      </c>
      <c r="BR67" s="166">
        <v>74.015000000000001</v>
      </c>
      <c r="BS67" s="166">
        <v>47.9</v>
      </c>
      <c r="BT67" s="166">
        <f t="shared" si="41"/>
        <v>43</v>
      </c>
      <c r="BU67" s="166">
        <f t="shared" si="42"/>
        <v>51.7</v>
      </c>
      <c r="BV67" s="166">
        <f t="shared" si="38"/>
        <v>34.314999999999998</v>
      </c>
      <c r="BW67" s="166">
        <f t="shared" si="39"/>
        <v>31.602</v>
      </c>
      <c r="BX67" s="166">
        <f t="shared" si="40"/>
        <v>51.124000000000002</v>
      </c>
      <c r="CG67" s="63"/>
    </row>
    <row r="68" spans="1:85" ht="6.75" customHeight="1" x14ac:dyDescent="0.35">
      <c r="B68" s="15"/>
      <c r="C68" s="166"/>
      <c r="D68" s="166"/>
      <c r="E68" s="76"/>
      <c r="F68" s="7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73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</row>
    <row r="69" spans="1:85" s="23" customFormat="1" x14ac:dyDescent="0.35">
      <c r="A69" s="7"/>
      <c r="B69" s="41" t="str">
        <f>IF(Control!$D$5=1,"Total Long Term Liabilities","Passivo Longo Prazo")</f>
        <v>Total Long Term Liabilities</v>
      </c>
      <c r="C69" s="160">
        <f>SUM(C70:C77)</f>
        <v>213.67600000000002</v>
      </c>
      <c r="D69" s="160">
        <f>SUM(D70:D77)</f>
        <v>207.846</v>
      </c>
      <c r="E69" s="165" t="s">
        <v>2</v>
      </c>
      <c r="F69" s="165" t="s">
        <v>2</v>
      </c>
      <c r="G69" s="160">
        <f t="shared" ref="G69:AN69" si="43">SUM(G70:G77)</f>
        <v>180.41400000000002</v>
      </c>
      <c r="H69" s="160">
        <f t="shared" si="43"/>
        <v>62.217999999999989</v>
      </c>
      <c r="I69" s="160">
        <f t="shared" si="43"/>
        <v>169.97700000000003</v>
      </c>
      <c r="J69" s="160">
        <f t="shared" si="43"/>
        <v>142.77800000000002</v>
      </c>
      <c r="K69" s="160">
        <f t="shared" si="43"/>
        <v>398.89100000000002</v>
      </c>
      <c r="L69" s="160">
        <f t="shared" si="43"/>
        <v>393.07400000000001</v>
      </c>
      <c r="M69" s="160">
        <f t="shared" si="43"/>
        <v>434.26099999999997</v>
      </c>
      <c r="N69" s="160">
        <f t="shared" si="43"/>
        <v>412.05900000000003</v>
      </c>
      <c r="O69" s="160">
        <f t="shared" si="43"/>
        <v>397.11700000000002</v>
      </c>
      <c r="P69" s="160">
        <f t="shared" si="43"/>
        <v>502.41699999999997</v>
      </c>
      <c r="Q69" s="160">
        <f t="shared" si="43"/>
        <v>596.47900000000004</v>
      </c>
      <c r="R69" s="160">
        <f t="shared" si="43"/>
        <v>608.56600000000003</v>
      </c>
      <c r="S69" s="160">
        <f t="shared" si="43"/>
        <v>864.16499999999996</v>
      </c>
      <c r="T69" s="160">
        <f t="shared" si="43"/>
        <v>890.15100000000007</v>
      </c>
      <c r="U69" s="160">
        <f t="shared" si="43"/>
        <v>755.50400000000002</v>
      </c>
      <c r="V69" s="160">
        <f t="shared" si="43"/>
        <v>1092.2260000000001</v>
      </c>
      <c r="W69" s="160">
        <f t="shared" si="43"/>
        <v>1036.3920000000001</v>
      </c>
      <c r="X69" s="160">
        <f t="shared" si="43"/>
        <v>1061.319</v>
      </c>
      <c r="Y69" s="160">
        <f t="shared" si="43"/>
        <v>1088.664</v>
      </c>
      <c r="Z69" s="160">
        <f t="shared" si="43"/>
        <v>1089.548</v>
      </c>
      <c r="AA69" s="160">
        <f t="shared" si="43"/>
        <v>1101.3810000000001</v>
      </c>
      <c r="AB69" s="160">
        <f t="shared" si="43"/>
        <v>1077.768</v>
      </c>
      <c r="AC69" s="160">
        <f t="shared" si="43"/>
        <v>1190.096</v>
      </c>
      <c r="AD69" s="160">
        <f t="shared" si="43"/>
        <v>1226.6960000000001</v>
      </c>
      <c r="AE69" s="160">
        <f t="shared" si="43"/>
        <v>1146.915</v>
      </c>
      <c r="AF69" s="160">
        <f t="shared" si="43"/>
        <v>1166.0550000000001</v>
      </c>
      <c r="AG69" s="160">
        <f t="shared" si="43"/>
        <v>1193.0040000000001</v>
      </c>
      <c r="AH69" s="160">
        <f t="shared" si="43"/>
        <v>1162.0120000000002</v>
      </c>
      <c r="AI69" s="160">
        <f t="shared" si="43"/>
        <v>1071.7660000000001</v>
      </c>
      <c r="AJ69" s="160">
        <f t="shared" si="43"/>
        <v>843.04399999999987</v>
      </c>
      <c r="AK69" s="160">
        <f t="shared" si="43"/>
        <v>768.62599999999986</v>
      </c>
      <c r="AL69" s="160">
        <f t="shared" si="43"/>
        <v>675.13099999999997</v>
      </c>
      <c r="AM69" s="160">
        <f t="shared" si="43"/>
        <v>1059.5</v>
      </c>
      <c r="AN69" s="160">
        <f t="shared" si="43"/>
        <v>979.78499999999997</v>
      </c>
      <c r="AO69" s="160">
        <f t="shared" ref="AO69:AT69" si="44">SUM(AO70:AO77)</f>
        <v>1369.057</v>
      </c>
      <c r="AP69" s="160">
        <f t="shared" si="44"/>
        <v>1179.0430000000001</v>
      </c>
      <c r="AQ69" s="160">
        <f t="shared" si="44"/>
        <v>1300.2999999999997</v>
      </c>
      <c r="AR69" s="160">
        <f t="shared" si="44"/>
        <v>1308.7</v>
      </c>
      <c r="AS69" s="160">
        <f t="shared" si="44"/>
        <v>1308.7</v>
      </c>
      <c r="AT69" s="160">
        <f t="shared" si="44"/>
        <v>1305.8</v>
      </c>
      <c r="AU69" s="160">
        <f t="shared" ref="AU69:AZ69" si="45">SUM(AU70:AU77)</f>
        <v>1159.922</v>
      </c>
      <c r="AV69" s="160">
        <f t="shared" si="45"/>
        <v>1760</v>
      </c>
      <c r="AW69" s="160">
        <f t="shared" si="45"/>
        <v>1488.7269999999999</v>
      </c>
      <c r="AX69" s="160">
        <f t="shared" si="45"/>
        <v>1518.23</v>
      </c>
      <c r="AY69" s="160">
        <f t="shared" si="45"/>
        <v>1315.1760000000002</v>
      </c>
      <c r="AZ69" s="160">
        <f t="shared" si="45"/>
        <v>1577.5250000000001</v>
      </c>
      <c r="BA69" s="160">
        <f t="shared" ref="BA69:BF69" si="46">SUM(BA70:BA77)</f>
        <v>1387.65</v>
      </c>
      <c r="BB69" s="160">
        <f t="shared" si="46"/>
        <v>2102.201</v>
      </c>
      <c r="BC69" s="160">
        <f t="shared" si="46"/>
        <v>1857.2540000000001</v>
      </c>
      <c r="BD69" s="160">
        <f t="shared" si="46"/>
        <v>2408.904</v>
      </c>
      <c r="BE69" s="160">
        <f t="shared" si="46"/>
        <v>2386.1872407199994</v>
      </c>
      <c r="BF69" s="160">
        <f t="shared" si="46"/>
        <v>3058.355</v>
      </c>
      <c r="BG69" s="160">
        <f t="shared" ref="BG69:BH69" si="47">SUM(BG70:BG77)</f>
        <v>3087.3020000000006</v>
      </c>
      <c r="BH69" s="160">
        <f t="shared" si="47"/>
        <v>3114.9289999999996</v>
      </c>
      <c r="BI69" s="73"/>
      <c r="BJ69" s="160">
        <f t="shared" ref="BJ69:BU69" si="48">SUM(BJ70:BJ77)</f>
        <v>213.67600000000002</v>
      </c>
      <c r="BK69" s="160">
        <f t="shared" si="48"/>
        <v>180.41400000000002</v>
      </c>
      <c r="BL69" s="160">
        <f t="shared" si="48"/>
        <v>398.89100000000002</v>
      </c>
      <c r="BM69" s="160">
        <f t="shared" si="48"/>
        <v>397.11700000000002</v>
      </c>
      <c r="BN69" s="160">
        <f t="shared" si="48"/>
        <v>864.16499999999996</v>
      </c>
      <c r="BO69" s="160">
        <f t="shared" si="48"/>
        <v>1036.3920000000001</v>
      </c>
      <c r="BP69" s="160">
        <f t="shared" si="48"/>
        <v>1101.3810000000001</v>
      </c>
      <c r="BQ69" s="160">
        <f t="shared" si="48"/>
        <v>1146.915</v>
      </c>
      <c r="BR69" s="160">
        <f t="shared" si="48"/>
        <v>1071.7660000000001</v>
      </c>
      <c r="BS69" s="160">
        <f t="shared" si="48"/>
        <v>1059.5</v>
      </c>
      <c r="BT69" s="160">
        <f t="shared" si="48"/>
        <v>1300.2999999999997</v>
      </c>
      <c r="BU69" s="160">
        <f t="shared" si="48"/>
        <v>1159.922</v>
      </c>
      <c r="BV69" s="160">
        <f t="shared" ref="BV69:BV77" si="49">AY69</f>
        <v>1315.1760000000002</v>
      </c>
      <c r="BW69" s="160">
        <f t="shared" ref="BW69:BW79" si="50">BC69</f>
        <v>1857.2540000000001</v>
      </c>
      <c r="BX69" s="160">
        <f t="shared" ref="BX69:BX77" si="51">BG69</f>
        <v>3087.3020000000006</v>
      </c>
    </row>
    <row r="70" spans="1:85" x14ac:dyDescent="0.35">
      <c r="B70" s="51" t="str">
        <f>IF(Control!$D$5=1,"Long-Term Debt","Empréstimos e Financiamentos")</f>
        <v>Long-Term Debt</v>
      </c>
      <c r="C70" s="166">
        <v>188.69399999999999</v>
      </c>
      <c r="D70" s="166">
        <v>183.85499999999999</v>
      </c>
      <c r="E70" s="76" t="s">
        <v>2</v>
      </c>
      <c r="F70" s="76" t="s">
        <v>2</v>
      </c>
      <c r="G70" s="166">
        <v>146.24</v>
      </c>
      <c r="H70" s="166">
        <v>32.981999999999999</v>
      </c>
      <c r="I70" s="166">
        <v>141.38900000000001</v>
      </c>
      <c r="J70" s="166">
        <v>121.83</v>
      </c>
      <c r="K70" s="166">
        <v>126.53400000000001</v>
      </c>
      <c r="L70" s="166">
        <v>119.81699999999999</v>
      </c>
      <c r="M70" s="166">
        <v>157.95099999999999</v>
      </c>
      <c r="N70" s="166">
        <v>139.79499999999999</v>
      </c>
      <c r="O70" s="166">
        <v>116.836</v>
      </c>
      <c r="P70" s="166">
        <v>111.74</v>
      </c>
      <c r="Q70" s="166">
        <v>214.98699999999999</v>
      </c>
      <c r="R70" s="166">
        <v>220.27</v>
      </c>
      <c r="S70" s="166">
        <v>203.05199999999999</v>
      </c>
      <c r="T70" s="166">
        <v>223.87299999999999</v>
      </c>
      <c r="U70" s="166">
        <v>89.245999999999995</v>
      </c>
      <c r="V70" s="166">
        <v>87.623999999999995</v>
      </c>
      <c r="W70" s="166">
        <v>116.22199999999999</v>
      </c>
      <c r="X70" s="166">
        <v>135.25399999999999</v>
      </c>
      <c r="Y70" s="166">
        <v>242.959</v>
      </c>
      <c r="Z70" s="166">
        <v>297.99700000000001</v>
      </c>
      <c r="AA70" s="166">
        <v>398.40499999999997</v>
      </c>
      <c r="AB70" s="166">
        <v>392.10300000000001</v>
      </c>
      <c r="AC70" s="166">
        <v>335.02100000000002</v>
      </c>
      <c r="AD70" s="166">
        <v>439.10399999999998</v>
      </c>
      <c r="AE70" s="166">
        <v>436.14100000000002</v>
      </c>
      <c r="AF70" s="166">
        <v>449.89299999999997</v>
      </c>
      <c r="AG70" s="166">
        <v>586.49599999999998</v>
      </c>
      <c r="AH70" s="166">
        <v>592.10599999999999</v>
      </c>
      <c r="AI70" s="166">
        <v>578.46</v>
      </c>
      <c r="AJ70" s="166">
        <v>386.03</v>
      </c>
      <c r="AK70" s="166">
        <v>304.66699999999997</v>
      </c>
      <c r="AL70" s="166">
        <v>292.92700000000002</v>
      </c>
      <c r="AM70" s="166">
        <v>262.7</v>
      </c>
      <c r="AN70" s="166">
        <v>258.71199999999999</v>
      </c>
      <c r="AO70" s="166">
        <v>232.24600000000001</v>
      </c>
      <c r="AP70" s="166">
        <v>191.15700000000001</v>
      </c>
      <c r="AQ70" s="166">
        <v>159.1</v>
      </c>
      <c r="AR70" s="166">
        <v>164.8</v>
      </c>
      <c r="AS70" s="166">
        <v>164.8</v>
      </c>
      <c r="AT70" s="166">
        <v>139.5</v>
      </c>
      <c r="AU70" s="166">
        <v>157.10300000000001</v>
      </c>
      <c r="AV70" s="166">
        <v>134.19999999999982</v>
      </c>
      <c r="AW70" s="166">
        <v>113.76187339000012</v>
      </c>
      <c r="AX70" s="166">
        <v>110.447</v>
      </c>
      <c r="AY70" s="166">
        <v>115.776</v>
      </c>
      <c r="AZ70" s="166">
        <v>372.62200000000001</v>
      </c>
      <c r="BA70" s="166">
        <v>356.84</v>
      </c>
      <c r="BB70" s="166">
        <v>637.52700000000004</v>
      </c>
      <c r="BC70" s="166">
        <v>569.94000000000005</v>
      </c>
      <c r="BD70" s="166">
        <v>522.73699999999997</v>
      </c>
      <c r="BE70" s="166">
        <v>497.10199999999998</v>
      </c>
      <c r="BF70" s="166">
        <v>488.43400000000003</v>
      </c>
      <c r="BG70" s="166">
        <v>473.72300000000001</v>
      </c>
      <c r="BH70" s="166">
        <v>736.9</v>
      </c>
      <c r="BI70" s="73"/>
      <c r="BJ70" s="166">
        <v>188.69399999999999</v>
      </c>
      <c r="BK70" s="166">
        <v>146.24</v>
      </c>
      <c r="BL70" s="166">
        <v>126.53400000000001</v>
      </c>
      <c r="BM70" s="166">
        <v>116.836</v>
      </c>
      <c r="BN70" s="166">
        <v>203.05199999999999</v>
      </c>
      <c r="BO70" s="166">
        <v>116.22199999999999</v>
      </c>
      <c r="BP70" s="166">
        <v>398.40499999999997</v>
      </c>
      <c r="BQ70" s="166">
        <v>436.14100000000002</v>
      </c>
      <c r="BR70" s="166">
        <v>578.46</v>
      </c>
      <c r="BS70" s="166">
        <v>262.7</v>
      </c>
      <c r="BT70" s="166">
        <f t="shared" ref="BT70:BT77" si="52">AQ70</f>
        <v>159.1</v>
      </c>
      <c r="BU70" s="166">
        <f t="shared" ref="BU70:BU77" si="53">AU70</f>
        <v>157.10300000000001</v>
      </c>
      <c r="BV70" s="166">
        <f t="shared" si="49"/>
        <v>115.776</v>
      </c>
      <c r="BW70" s="166">
        <f t="shared" si="50"/>
        <v>569.94000000000005</v>
      </c>
      <c r="BX70" s="166">
        <f t="shared" si="51"/>
        <v>473.72300000000001</v>
      </c>
      <c r="CG70" s="63"/>
    </row>
    <row r="71" spans="1:85" x14ac:dyDescent="0.35">
      <c r="B71" s="51" t="str">
        <f>IF(Control!$D$5=1,"Leasing liability","Passivo de Arrendamento")</f>
        <v>Leasing liability</v>
      </c>
      <c r="C71" s="166">
        <v>0</v>
      </c>
      <c r="D71" s="166">
        <v>0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v>0</v>
      </c>
      <c r="M71" s="166">
        <v>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  <c r="Y71" s="166">
        <v>0</v>
      </c>
      <c r="Z71" s="166">
        <v>0</v>
      </c>
      <c r="AA71" s="166">
        <v>0</v>
      </c>
      <c r="AB71" s="166">
        <v>0</v>
      </c>
      <c r="AC71" s="166">
        <v>0</v>
      </c>
      <c r="AD71" s="166">
        <v>0</v>
      </c>
      <c r="AE71" s="166">
        <v>0</v>
      </c>
      <c r="AF71" s="166">
        <v>0</v>
      </c>
      <c r="AG71" s="166">
        <v>0</v>
      </c>
      <c r="AH71" s="166">
        <v>0</v>
      </c>
      <c r="AI71" s="166">
        <v>0</v>
      </c>
      <c r="AJ71" s="166">
        <v>0</v>
      </c>
      <c r="AK71" s="166">
        <v>0</v>
      </c>
      <c r="AL71" s="166">
        <v>0</v>
      </c>
      <c r="AM71" s="166">
        <v>0</v>
      </c>
      <c r="AN71" s="166">
        <v>0</v>
      </c>
      <c r="AO71" s="166">
        <v>0</v>
      </c>
      <c r="AP71" s="166">
        <v>0</v>
      </c>
      <c r="AQ71" s="166">
        <v>0</v>
      </c>
      <c r="AR71" s="166">
        <v>0</v>
      </c>
      <c r="AS71" s="166">
        <v>0</v>
      </c>
      <c r="AT71" s="166">
        <v>0</v>
      </c>
      <c r="AU71" s="166">
        <v>0</v>
      </c>
      <c r="AV71" s="166">
        <v>0</v>
      </c>
      <c r="AW71" s="166">
        <v>59.023000000000003</v>
      </c>
      <c r="AX71" s="166">
        <v>67.957999999999998</v>
      </c>
      <c r="AY71" s="166">
        <v>65.480999999999995</v>
      </c>
      <c r="AZ71" s="166">
        <v>66.072000000000003</v>
      </c>
      <c r="BA71" s="166">
        <v>63.893000000000001</v>
      </c>
      <c r="BB71" s="166">
        <v>152.89400000000001</v>
      </c>
      <c r="BC71" s="166">
        <v>148.29300000000001</v>
      </c>
      <c r="BD71" s="166">
        <v>150.66300000000001</v>
      </c>
      <c r="BE71" s="166">
        <v>158.37024072</v>
      </c>
      <c r="BF71" s="166">
        <v>136.03100000000001</v>
      </c>
      <c r="BG71" s="166">
        <v>143.054</v>
      </c>
      <c r="BH71" s="166">
        <v>167.13499999999999</v>
      </c>
      <c r="BI71" s="73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>
        <f t="shared" si="52"/>
        <v>0</v>
      </c>
      <c r="BU71" s="166">
        <f t="shared" si="53"/>
        <v>0</v>
      </c>
      <c r="BV71" s="166">
        <f t="shared" si="49"/>
        <v>65.480999999999995</v>
      </c>
      <c r="BW71" s="166">
        <f t="shared" si="50"/>
        <v>148.29300000000001</v>
      </c>
      <c r="BX71" s="166">
        <f t="shared" si="51"/>
        <v>143.054</v>
      </c>
      <c r="CG71" s="63"/>
    </row>
    <row r="72" spans="1:85" x14ac:dyDescent="0.35">
      <c r="B72" s="51" t="str">
        <f>IF(Control!$D$5=1,"Debentures","Debêntures")</f>
        <v>Debentures</v>
      </c>
      <c r="C72" s="166">
        <v>13.699</v>
      </c>
      <c r="D72" s="166">
        <v>0</v>
      </c>
      <c r="E72" s="76" t="s">
        <v>2</v>
      </c>
      <c r="F72" s="76" t="s">
        <v>2</v>
      </c>
      <c r="G72" s="166">
        <v>0</v>
      </c>
      <c r="H72" s="166">
        <v>0</v>
      </c>
      <c r="I72" s="166">
        <v>0</v>
      </c>
      <c r="J72" s="166">
        <v>0</v>
      </c>
      <c r="K72" s="166">
        <v>248.261</v>
      </c>
      <c r="L72" s="166">
        <v>248.22399999999999</v>
      </c>
      <c r="M72" s="166">
        <v>248.22399999999999</v>
      </c>
      <c r="N72" s="166">
        <v>248.22399999999999</v>
      </c>
      <c r="O72" s="166">
        <v>213.18799999999999</v>
      </c>
      <c r="P72" s="166">
        <v>213.36099999999999</v>
      </c>
      <c r="Q72" s="166">
        <v>178.05199999999999</v>
      </c>
      <c r="R72" s="166">
        <v>178.05199999999999</v>
      </c>
      <c r="S72" s="166">
        <v>447.79899999999998</v>
      </c>
      <c r="T72" s="166">
        <v>447.79899999999998</v>
      </c>
      <c r="U72" s="166">
        <v>447.49400000000003</v>
      </c>
      <c r="V72" s="166">
        <v>617.86500000000001</v>
      </c>
      <c r="W72" s="166">
        <v>618.11599999999999</v>
      </c>
      <c r="X72" s="166">
        <v>618.44100000000003</v>
      </c>
      <c r="Y72" s="166">
        <v>543.67499999999995</v>
      </c>
      <c r="Z72" s="166">
        <v>543.69500000000005</v>
      </c>
      <c r="AA72" s="166">
        <v>468.88799999999998</v>
      </c>
      <c r="AB72" s="166">
        <v>440.68700000000001</v>
      </c>
      <c r="AC72" s="166">
        <v>592.45899999999995</v>
      </c>
      <c r="AD72" s="166">
        <v>592.71900000000005</v>
      </c>
      <c r="AE72" s="166">
        <v>517.96699999999998</v>
      </c>
      <c r="AF72" s="166">
        <v>518.21199999999999</v>
      </c>
      <c r="AG72" s="166">
        <v>443.44799999999998</v>
      </c>
      <c r="AH72" s="166">
        <v>409.66800000000001</v>
      </c>
      <c r="AI72" s="166">
        <v>334.827</v>
      </c>
      <c r="AJ72" s="166">
        <v>300.95299999999997</v>
      </c>
      <c r="AK72" s="166">
        <v>301.09699999999998</v>
      </c>
      <c r="AL72" s="166">
        <v>217.232</v>
      </c>
      <c r="AM72" s="166">
        <v>614.4</v>
      </c>
      <c r="AN72" s="166">
        <v>531.10500000000002</v>
      </c>
      <c r="AO72" s="166">
        <v>932.43499999999995</v>
      </c>
      <c r="AP72" s="166">
        <v>799.53800000000001</v>
      </c>
      <c r="AQ72" s="166">
        <v>966.7</v>
      </c>
      <c r="AR72" s="166">
        <v>967.9</v>
      </c>
      <c r="AS72" s="166">
        <v>967.9</v>
      </c>
      <c r="AT72" s="166">
        <v>970.6</v>
      </c>
      <c r="AU72" s="166">
        <v>757.64200000000005</v>
      </c>
      <c r="AV72" s="166">
        <v>1349.4</v>
      </c>
      <c r="AW72" s="166">
        <v>1112.6791266099999</v>
      </c>
      <c r="AX72" s="166">
        <v>1113.8920000000001</v>
      </c>
      <c r="AY72" s="166">
        <v>926.47900000000004</v>
      </c>
      <c r="AZ72" s="166">
        <v>927.46600000000001</v>
      </c>
      <c r="BA72" s="166">
        <v>761.39</v>
      </c>
      <c r="BB72" s="166">
        <v>1110.557</v>
      </c>
      <c r="BC72" s="166">
        <v>943.24599999999998</v>
      </c>
      <c r="BD72" s="166">
        <v>1541.925</v>
      </c>
      <c r="BE72" s="166">
        <v>1542.88</v>
      </c>
      <c r="BF72" s="166">
        <v>2189.0650000000001</v>
      </c>
      <c r="BG72" s="166">
        <v>2190.0970000000002</v>
      </c>
      <c r="BH72" s="166">
        <v>1919.674</v>
      </c>
      <c r="BI72" s="73"/>
      <c r="BJ72" s="166">
        <v>13.699</v>
      </c>
      <c r="BK72" s="166">
        <v>0</v>
      </c>
      <c r="BL72" s="166">
        <v>248.261</v>
      </c>
      <c r="BM72" s="166">
        <v>213.18799999999999</v>
      </c>
      <c r="BN72" s="166">
        <v>447.79899999999998</v>
      </c>
      <c r="BO72" s="166">
        <v>618.11599999999999</v>
      </c>
      <c r="BP72" s="166">
        <v>468.88799999999998</v>
      </c>
      <c r="BQ72" s="166">
        <v>517.96699999999998</v>
      </c>
      <c r="BR72" s="166">
        <v>334.827</v>
      </c>
      <c r="BS72" s="166">
        <v>614.4</v>
      </c>
      <c r="BT72" s="166">
        <f t="shared" si="52"/>
        <v>966.7</v>
      </c>
      <c r="BU72" s="166">
        <f t="shared" si="53"/>
        <v>757.64200000000005</v>
      </c>
      <c r="BV72" s="166">
        <f t="shared" si="49"/>
        <v>926.47900000000004</v>
      </c>
      <c r="BW72" s="166">
        <f t="shared" si="50"/>
        <v>943.24599999999998</v>
      </c>
      <c r="BX72" s="166">
        <f t="shared" si="51"/>
        <v>2190.0970000000002</v>
      </c>
      <c r="CG72" s="63"/>
    </row>
    <row r="73" spans="1:85" x14ac:dyDescent="0.35">
      <c r="B73" s="51" t="str">
        <f>IF(Control!$D$5=1,"Outstanding Taxes","Parcelamento de Impostos")</f>
        <v>Outstanding Taxes</v>
      </c>
      <c r="C73" s="166">
        <v>0.94699999999999995</v>
      </c>
      <c r="D73" s="166">
        <v>12.818</v>
      </c>
      <c r="E73" s="76" t="s">
        <v>2</v>
      </c>
      <c r="F73" s="76" t="s">
        <v>2</v>
      </c>
      <c r="G73" s="166">
        <v>10.733000000000001</v>
      </c>
      <c r="H73" s="167">
        <v>10.050000000000001</v>
      </c>
      <c r="I73" s="166">
        <v>10.050000000000001</v>
      </c>
      <c r="J73" s="166">
        <v>10.255000000000001</v>
      </c>
      <c r="K73" s="166">
        <v>8.84</v>
      </c>
      <c r="L73" s="166">
        <v>8.84</v>
      </c>
      <c r="M73" s="166">
        <v>6.3140000000000001</v>
      </c>
      <c r="N73" s="166">
        <v>5.319</v>
      </c>
      <c r="O73" s="166">
        <v>5.319</v>
      </c>
      <c r="P73" s="166">
        <v>56.188000000000002</v>
      </c>
      <c r="Q73" s="166">
        <v>78.575000000000003</v>
      </c>
      <c r="R73" s="166">
        <v>78.206000000000003</v>
      </c>
      <c r="S73" s="166">
        <v>76.161000000000001</v>
      </c>
      <c r="T73" s="166">
        <v>74.816000000000003</v>
      </c>
      <c r="U73" s="166">
        <v>72.858999999999995</v>
      </c>
      <c r="V73" s="166">
        <v>85.98</v>
      </c>
      <c r="W73" s="166">
        <v>82.983999999999995</v>
      </c>
      <c r="X73" s="166">
        <v>80.497</v>
      </c>
      <c r="Y73" s="166">
        <v>79.441000000000003</v>
      </c>
      <c r="Z73" s="166">
        <v>85.522999999999996</v>
      </c>
      <c r="AA73" s="166">
        <v>75.927999999999997</v>
      </c>
      <c r="AB73" s="166">
        <v>75.733999999999995</v>
      </c>
      <c r="AC73" s="166">
        <v>81.628</v>
      </c>
      <c r="AD73" s="166">
        <v>72.524000000000001</v>
      </c>
      <c r="AE73" s="166">
        <v>71.316000000000003</v>
      </c>
      <c r="AF73" s="166">
        <v>59.34</v>
      </c>
      <c r="AG73" s="166">
        <v>57.926000000000002</v>
      </c>
      <c r="AH73" s="166">
        <v>56.914000000000001</v>
      </c>
      <c r="AI73" s="166">
        <v>55.793999999999997</v>
      </c>
      <c r="AJ73" s="166">
        <v>54.88</v>
      </c>
      <c r="AK73" s="166">
        <v>53.63</v>
      </c>
      <c r="AL73" s="166">
        <v>52.274000000000001</v>
      </c>
      <c r="AM73" s="166">
        <v>50.7</v>
      </c>
      <c r="AN73" s="166">
        <v>48.68</v>
      </c>
      <c r="AO73" s="166">
        <v>47.145000000000003</v>
      </c>
      <c r="AP73" s="166">
        <v>25.507999999999999</v>
      </c>
      <c r="AQ73" s="166">
        <v>1.1000000000000001</v>
      </c>
      <c r="AR73" s="166">
        <v>0.9</v>
      </c>
      <c r="AS73" s="166">
        <v>0.9</v>
      </c>
      <c r="AT73" s="166">
        <v>29.5</v>
      </c>
      <c r="AU73" s="166">
        <v>27.433</v>
      </c>
      <c r="AV73" s="166">
        <v>22.8</v>
      </c>
      <c r="AW73" s="166">
        <v>20.675999999999998</v>
      </c>
      <c r="AX73" s="166">
        <v>18.558</v>
      </c>
      <c r="AY73" s="166">
        <v>16.437999999999999</v>
      </c>
      <c r="AZ73" s="166">
        <v>14.335000000000001</v>
      </c>
      <c r="BA73" s="166">
        <v>12.241</v>
      </c>
      <c r="BB73" s="166">
        <v>10.145</v>
      </c>
      <c r="BC73" s="166">
        <v>8.0500000000000007</v>
      </c>
      <c r="BD73" s="166">
        <v>6.6360000000000001</v>
      </c>
      <c r="BE73" s="166">
        <v>0.24099999999999999</v>
      </c>
      <c r="BF73" s="166">
        <v>3.0059999999999998</v>
      </c>
      <c r="BG73" s="166">
        <v>25.114000000000001</v>
      </c>
      <c r="BH73" s="166">
        <v>24.053999999999998</v>
      </c>
      <c r="BI73" s="73"/>
      <c r="BJ73" s="166">
        <v>0.94699999999999995</v>
      </c>
      <c r="BK73" s="166">
        <v>10.733000000000001</v>
      </c>
      <c r="BL73" s="166">
        <v>8.84</v>
      </c>
      <c r="BM73" s="166">
        <v>5.319</v>
      </c>
      <c r="BN73" s="166">
        <v>76.161000000000001</v>
      </c>
      <c r="BO73" s="166">
        <v>82.983999999999995</v>
      </c>
      <c r="BP73" s="166">
        <v>75.927999999999997</v>
      </c>
      <c r="BQ73" s="166">
        <v>71.316000000000003</v>
      </c>
      <c r="BR73" s="166">
        <v>55.793999999999997</v>
      </c>
      <c r="BS73" s="166">
        <v>50.7</v>
      </c>
      <c r="BT73" s="166">
        <f t="shared" si="52"/>
        <v>1.1000000000000001</v>
      </c>
      <c r="BU73" s="166">
        <f t="shared" si="53"/>
        <v>27.433</v>
      </c>
      <c r="BV73" s="166">
        <f t="shared" si="49"/>
        <v>16.437999999999999</v>
      </c>
      <c r="BW73" s="166">
        <f t="shared" si="50"/>
        <v>8.0500000000000007</v>
      </c>
      <c r="BX73" s="166">
        <f t="shared" si="51"/>
        <v>25.114000000000001</v>
      </c>
      <c r="CG73" s="63"/>
    </row>
    <row r="74" spans="1:85" x14ac:dyDescent="0.35">
      <c r="B74" s="51" t="str">
        <f>IF(Control!$D$5=1,"Deferred Income Taxes","Imposto de Renda Diferido")</f>
        <v>Deferred Income Taxes</v>
      </c>
      <c r="C74" s="166">
        <v>0</v>
      </c>
      <c r="D74" s="166">
        <v>0.40100000000000002</v>
      </c>
      <c r="E74" s="76" t="s">
        <v>2</v>
      </c>
      <c r="F74" s="76" t="s">
        <v>2</v>
      </c>
      <c r="G74" s="166">
        <v>4.6260000000000003</v>
      </c>
      <c r="H74" s="166">
        <v>3.3540000000000001</v>
      </c>
      <c r="I74" s="166">
        <v>3.3540000000000001</v>
      </c>
      <c r="J74" s="166">
        <v>3.3540000000000001</v>
      </c>
      <c r="K74" s="166">
        <v>2.8889999999999998</v>
      </c>
      <c r="L74" s="166">
        <v>3.8090000000000002</v>
      </c>
      <c r="M74" s="166">
        <v>3.6280000000000001</v>
      </c>
      <c r="N74" s="166">
        <v>3.347</v>
      </c>
      <c r="O74" s="166">
        <v>50.771999999999998</v>
      </c>
      <c r="P74" s="166">
        <v>78.495999999999995</v>
      </c>
      <c r="Q74" s="166">
        <v>76.813000000000002</v>
      </c>
      <c r="R74" s="166">
        <v>68.325999999999993</v>
      </c>
      <c r="S74" s="166">
        <v>73.643000000000001</v>
      </c>
      <c r="T74" s="166">
        <v>78.757999999999996</v>
      </c>
      <c r="U74" s="166">
        <v>81.221000000000004</v>
      </c>
      <c r="V74" s="166">
        <v>87.340999999999994</v>
      </c>
      <c r="W74" s="166">
        <v>8.1780000000000008</v>
      </c>
      <c r="X74" s="166">
        <v>14.484</v>
      </c>
      <c r="Y74" s="166">
        <v>4.5049999999999999</v>
      </c>
      <c r="Z74" s="166">
        <v>8.3480000000000008</v>
      </c>
      <c r="AA74" s="166">
        <v>24.044</v>
      </c>
      <c r="AB74" s="166">
        <v>34.975000000000001</v>
      </c>
      <c r="AC74" s="166">
        <v>43.698</v>
      </c>
      <c r="AD74" s="166">
        <v>55.363</v>
      </c>
      <c r="AE74" s="166">
        <v>56.765999999999998</v>
      </c>
      <c r="AF74" s="166">
        <v>73.103999999999999</v>
      </c>
      <c r="AG74" s="166">
        <v>79.168000000000006</v>
      </c>
      <c r="AH74" s="166">
        <v>88.951999999999998</v>
      </c>
      <c r="AI74" s="166">
        <v>87.668999999999997</v>
      </c>
      <c r="AJ74" s="166">
        <v>84.861000000000004</v>
      </c>
      <c r="AK74" s="166">
        <v>93.025000000000006</v>
      </c>
      <c r="AL74" s="166">
        <v>95.415999999999997</v>
      </c>
      <c r="AM74" s="166">
        <v>99.9</v>
      </c>
      <c r="AN74" s="166">
        <v>105.92400000000001</v>
      </c>
      <c r="AO74" s="166">
        <v>122.52200000000001</v>
      </c>
      <c r="AP74" s="166">
        <v>128.375</v>
      </c>
      <c r="AQ74" s="166">
        <v>137.80000000000001</v>
      </c>
      <c r="AR74" s="166">
        <v>139</v>
      </c>
      <c r="AS74" s="166">
        <v>139</v>
      </c>
      <c r="AT74" s="166">
        <v>125.2</v>
      </c>
      <c r="AU74" s="166">
        <v>128.81100000000001</v>
      </c>
      <c r="AV74" s="166">
        <v>94.2</v>
      </c>
      <c r="AW74" s="166">
        <v>85.653000000000006</v>
      </c>
      <c r="AX74" s="166">
        <v>106.916</v>
      </c>
      <c r="AY74" s="166">
        <v>101.18600000000001</v>
      </c>
      <c r="AZ74" s="166">
        <v>122.813</v>
      </c>
      <c r="BA74" s="166">
        <v>117.874</v>
      </c>
      <c r="BB74" s="166">
        <v>118.202</v>
      </c>
      <c r="BC74" s="166">
        <v>113.325</v>
      </c>
      <c r="BD74" s="166">
        <v>106.012</v>
      </c>
      <c r="BE74" s="166">
        <v>112.086</v>
      </c>
      <c r="BF74" s="166">
        <v>123.11199999999999</v>
      </c>
      <c r="BG74" s="166">
        <v>102.98399999999999</v>
      </c>
      <c r="BH74" s="166">
        <v>118.627</v>
      </c>
      <c r="BI74" s="73"/>
      <c r="BJ74" s="166">
        <v>0</v>
      </c>
      <c r="BK74" s="166">
        <v>4.6260000000000003</v>
      </c>
      <c r="BL74" s="166">
        <v>2.8889999999999998</v>
      </c>
      <c r="BM74" s="166">
        <v>50.771999999999998</v>
      </c>
      <c r="BN74" s="166">
        <v>73.643000000000001</v>
      </c>
      <c r="BO74" s="166">
        <v>8.1780000000000008</v>
      </c>
      <c r="BP74" s="166">
        <v>24.044</v>
      </c>
      <c r="BQ74" s="166">
        <v>56.765999999999998</v>
      </c>
      <c r="BR74" s="166">
        <v>87.668999999999997</v>
      </c>
      <c r="BS74" s="166">
        <v>99.9</v>
      </c>
      <c r="BT74" s="166">
        <f t="shared" si="52"/>
        <v>137.80000000000001</v>
      </c>
      <c r="BU74" s="166">
        <f t="shared" si="53"/>
        <v>128.81100000000001</v>
      </c>
      <c r="BV74" s="166">
        <f t="shared" si="49"/>
        <v>101.18600000000001</v>
      </c>
      <c r="BW74" s="166">
        <f t="shared" si="50"/>
        <v>113.325</v>
      </c>
      <c r="BX74" s="166">
        <f t="shared" si="51"/>
        <v>102.98399999999999</v>
      </c>
      <c r="CG74" s="63"/>
    </row>
    <row r="75" spans="1:85" x14ac:dyDescent="0.35">
      <c r="B75" s="51" t="str">
        <f>IF(Control!$D$5=1,"Provision for contingencies","Provisão para Contingências")</f>
        <v>Provision for contingencies</v>
      </c>
      <c r="C75" s="166">
        <v>0</v>
      </c>
      <c r="D75" s="166">
        <v>0.76900000000000002</v>
      </c>
      <c r="E75" s="76" t="s">
        <v>2</v>
      </c>
      <c r="F75" s="76" t="s">
        <v>2</v>
      </c>
      <c r="G75" s="166">
        <v>1.123</v>
      </c>
      <c r="H75" s="166">
        <v>0.93100000000000005</v>
      </c>
      <c r="I75" s="166">
        <v>0.89</v>
      </c>
      <c r="J75" s="166">
        <v>0.82599999999999996</v>
      </c>
      <c r="K75" s="166">
        <v>0.85499999999999998</v>
      </c>
      <c r="L75" s="166">
        <v>0.85699999999999998</v>
      </c>
      <c r="M75" s="166">
        <v>0.82899999999999996</v>
      </c>
      <c r="N75" s="166">
        <v>0.81</v>
      </c>
      <c r="O75" s="166">
        <v>2.226</v>
      </c>
      <c r="P75" s="166">
        <v>30.515000000000001</v>
      </c>
      <c r="Q75" s="166">
        <v>31.51</v>
      </c>
      <c r="R75" s="166">
        <v>27.867000000000001</v>
      </c>
      <c r="S75" s="166">
        <v>28.276</v>
      </c>
      <c r="T75" s="166">
        <v>28.981999999999999</v>
      </c>
      <c r="U75" s="166">
        <v>28.721</v>
      </c>
      <c r="V75" s="166">
        <v>34.08</v>
      </c>
      <c r="W75" s="166">
        <v>28.974</v>
      </c>
      <c r="X75" s="166">
        <v>30.042000000000002</v>
      </c>
      <c r="Y75" s="166">
        <v>31.922000000000001</v>
      </c>
      <c r="Z75" s="166">
        <v>32.134999999999998</v>
      </c>
      <c r="AA75" s="166">
        <v>9.59</v>
      </c>
      <c r="AB75" s="166">
        <v>9.5579999999999998</v>
      </c>
      <c r="AC75" s="166">
        <v>11.208</v>
      </c>
      <c r="AD75" s="166">
        <v>11.849</v>
      </c>
      <c r="AE75" s="166">
        <v>11.125999999999999</v>
      </c>
      <c r="AF75" s="166">
        <v>10.516999999999999</v>
      </c>
      <c r="AG75" s="166">
        <v>11.103999999999999</v>
      </c>
      <c r="AH75" s="166">
        <v>14.227</v>
      </c>
      <c r="AI75" s="166">
        <v>14.808</v>
      </c>
      <c r="AJ75" s="166">
        <v>16.169</v>
      </c>
      <c r="AK75" s="166">
        <v>16.062999999999999</v>
      </c>
      <c r="AL75" s="166">
        <v>17.123999999999999</v>
      </c>
      <c r="AM75" s="166">
        <v>31.6</v>
      </c>
      <c r="AN75" s="166">
        <v>35.143999999999998</v>
      </c>
      <c r="AO75" s="166">
        <v>34.654000000000003</v>
      </c>
      <c r="AP75" s="166">
        <v>34.409999999999997</v>
      </c>
      <c r="AQ75" s="166">
        <v>35.5</v>
      </c>
      <c r="AR75" s="166">
        <v>36</v>
      </c>
      <c r="AS75" s="166">
        <v>36</v>
      </c>
      <c r="AT75" s="166">
        <v>38.5</v>
      </c>
      <c r="AU75" s="166">
        <v>37.101999999999997</v>
      </c>
      <c r="AV75" s="166">
        <v>40.700000000000003</v>
      </c>
      <c r="AW75" s="166">
        <v>41.006</v>
      </c>
      <c r="AX75" s="166">
        <v>42.874000000000002</v>
      </c>
      <c r="AY75" s="166">
        <v>42.243000000000002</v>
      </c>
      <c r="AZ75" s="166">
        <v>25.484999999999999</v>
      </c>
      <c r="BA75" s="166">
        <v>27.257999999999999</v>
      </c>
      <c r="BB75" s="166">
        <v>23.792000000000002</v>
      </c>
      <c r="BC75" s="166">
        <v>24.853999999999999</v>
      </c>
      <c r="BD75" s="166">
        <v>30.878</v>
      </c>
      <c r="BE75" s="166">
        <v>30.288</v>
      </c>
      <c r="BF75" s="166">
        <v>30.797999999999998</v>
      </c>
      <c r="BG75" s="166">
        <v>46.204000000000001</v>
      </c>
      <c r="BH75" s="166">
        <v>35.859000000000002</v>
      </c>
      <c r="BI75" s="73"/>
      <c r="BJ75" s="166">
        <v>0</v>
      </c>
      <c r="BK75" s="166">
        <v>1.123</v>
      </c>
      <c r="BL75" s="166">
        <v>0.85499999999999998</v>
      </c>
      <c r="BM75" s="166">
        <v>2.226</v>
      </c>
      <c r="BN75" s="166">
        <v>28.276</v>
      </c>
      <c r="BO75" s="166">
        <v>28.974</v>
      </c>
      <c r="BP75" s="166">
        <v>9.59</v>
      </c>
      <c r="BQ75" s="166">
        <v>11.125999999999999</v>
      </c>
      <c r="BR75" s="166">
        <v>14.808</v>
      </c>
      <c r="BS75" s="166">
        <v>31.6</v>
      </c>
      <c r="BT75" s="166">
        <f t="shared" si="52"/>
        <v>35.5</v>
      </c>
      <c r="BU75" s="166">
        <f t="shared" si="53"/>
        <v>37.101999999999997</v>
      </c>
      <c r="BV75" s="166">
        <f t="shared" si="49"/>
        <v>42.243000000000002</v>
      </c>
      <c r="BW75" s="166">
        <f t="shared" si="50"/>
        <v>24.853999999999999</v>
      </c>
      <c r="BX75" s="166">
        <f t="shared" si="51"/>
        <v>46.204000000000001</v>
      </c>
      <c r="CG75" s="63"/>
    </row>
    <row r="76" spans="1:85" x14ac:dyDescent="0.35">
      <c r="B76" s="51" t="str">
        <f>IF(Control!$D$5=1,"Notes Payable","Títulos a Pagar")</f>
        <v>Notes Payable</v>
      </c>
      <c r="C76" s="166">
        <v>0</v>
      </c>
      <c r="D76" s="166">
        <v>0</v>
      </c>
      <c r="E76" s="76" t="s">
        <v>2</v>
      </c>
      <c r="F76" s="76" t="s">
        <v>2</v>
      </c>
      <c r="G76" s="166"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6"/>
      <c r="S76" s="166">
        <v>0</v>
      </c>
      <c r="T76" s="166">
        <v>0</v>
      </c>
      <c r="U76" s="166">
        <v>0</v>
      </c>
      <c r="V76" s="166">
        <v>148.23500000000001</v>
      </c>
      <c r="W76" s="166">
        <v>118.20099999999999</v>
      </c>
      <c r="X76" s="166">
        <v>120.246</v>
      </c>
      <c r="Y76" s="166">
        <v>122.65900000000001</v>
      </c>
      <c r="Z76" s="166">
        <v>62.694000000000003</v>
      </c>
      <c r="AA76" s="166">
        <v>62.694000000000003</v>
      </c>
      <c r="AB76" s="166">
        <v>65.784999999999997</v>
      </c>
      <c r="AC76" s="166">
        <v>67.522000000000006</v>
      </c>
      <c r="AD76" s="166">
        <v>38.137</v>
      </c>
      <c r="AE76" s="166">
        <v>0</v>
      </c>
      <c r="AF76" s="166">
        <v>0</v>
      </c>
      <c r="AG76" s="166">
        <v>0</v>
      </c>
      <c r="AH76" s="166">
        <v>0</v>
      </c>
      <c r="AI76" s="166">
        <v>0</v>
      </c>
      <c r="AJ76" s="166">
        <v>0</v>
      </c>
      <c r="AK76" s="166">
        <v>0</v>
      </c>
      <c r="AL76" s="166">
        <v>0</v>
      </c>
      <c r="AM76" s="166">
        <v>0</v>
      </c>
      <c r="AN76" s="166">
        <v>0</v>
      </c>
      <c r="AO76" s="166">
        <v>0</v>
      </c>
      <c r="AP76" s="166">
        <v>0</v>
      </c>
      <c r="AQ76" s="166">
        <v>0</v>
      </c>
      <c r="AR76" s="166">
        <v>0</v>
      </c>
      <c r="AS76" s="166">
        <v>0</v>
      </c>
      <c r="AT76" s="166">
        <v>0</v>
      </c>
      <c r="AU76" s="166">
        <v>0</v>
      </c>
      <c r="AV76" s="166">
        <v>0</v>
      </c>
      <c r="AW76" s="166">
        <v>0</v>
      </c>
      <c r="AX76" s="166">
        <v>0</v>
      </c>
      <c r="AY76" s="166">
        <v>0</v>
      </c>
      <c r="AZ76" s="166">
        <v>0</v>
      </c>
      <c r="BA76" s="166">
        <v>0</v>
      </c>
      <c r="BB76" s="166">
        <v>0</v>
      </c>
      <c r="BC76" s="166">
        <v>0</v>
      </c>
      <c r="BD76" s="166">
        <v>0</v>
      </c>
      <c r="BE76" s="166">
        <v>0</v>
      </c>
      <c r="BF76" s="166">
        <v>0</v>
      </c>
      <c r="BG76" s="166">
        <v>0</v>
      </c>
      <c r="BH76" s="166">
        <v>0</v>
      </c>
      <c r="BI76" s="73"/>
      <c r="BJ76" s="166">
        <v>0</v>
      </c>
      <c r="BK76" s="166">
        <v>0</v>
      </c>
      <c r="BL76" s="166">
        <v>0</v>
      </c>
      <c r="BM76" s="166">
        <v>0</v>
      </c>
      <c r="BN76" s="166">
        <v>0</v>
      </c>
      <c r="BO76" s="166">
        <v>118.20099999999999</v>
      </c>
      <c r="BP76" s="166">
        <v>62.694000000000003</v>
      </c>
      <c r="BQ76" s="166">
        <v>0</v>
      </c>
      <c r="BR76" s="166">
        <v>0</v>
      </c>
      <c r="BS76" s="166">
        <v>0</v>
      </c>
      <c r="BT76" s="166">
        <f t="shared" si="52"/>
        <v>0</v>
      </c>
      <c r="BU76" s="166">
        <f t="shared" si="53"/>
        <v>0</v>
      </c>
      <c r="BV76" s="166">
        <f t="shared" si="49"/>
        <v>0</v>
      </c>
      <c r="BW76" s="166">
        <f t="shared" si="50"/>
        <v>0</v>
      </c>
      <c r="BX76" s="166">
        <f t="shared" si="51"/>
        <v>0</v>
      </c>
      <c r="CG76" s="63"/>
    </row>
    <row r="77" spans="1:85" x14ac:dyDescent="0.35">
      <c r="B77" s="51" t="str">
        <f>IF(Control!$D$5=1,"Other Long-Term Liabilities","Outros Passivos Longo Prazo")</f>
        <v>Other Long-Term Liabilities</v>
      </c>
      <c r="C77" s="166">
        <v>10.336</v>
      </c>
      <c r="D77" s="166">
        <v>10.003</v>
      </c>
      <c r="E77" s="76" t="s">
        <v>2</v>
      </c>
      <c r="F77" s="76" t="s">
        <v>2</v>
      </c>
      <c r="G77" s="166">
        <v>17.692</v>
      </c>
      <c r="H77" s="166">
        <v>14.901</v>
      </c>
      <c r="I77" s="166">
        <v>14.294</v>
      </c>
      <c r="J77" s="166">
        <v>6.5129999999999999</v>
      </c>
      <c r="K77" s="166">
        <v>11.512</v>
      </c>
      <c r="L77" s="166">
        <v>11.526999999999999</v>
      </c>
      <c r="M77" s="166">
        <v>17.315000000000001</v>
      </c>
      <c r="N77" s="166">
        <v>14.564</v>
      </c>
      <c r="O77" s="166">
        <v>8.7759999999999998</v>
      </c>
      <c r="P77" s="166">
        <v>12.117000000000001</v>
      </c>
      <c r="Q77" s="166">
        <v>16.542000000000002</v>
      </c>
      <c r="R77" s="166">
        <v>35.844999999999999</v>
      </c>
      <c r="S77" s="166">
        <v>35.234000000000002</v>
      </c>
      <c r="T77" s="166">
        <v>35.923000000000002</v>
      </c>
      <c r="U77" s="166">
        <v>35.963000000000001</v>
      </c>
      <c r="V77" s="166">
        <v>31.100999999999999</v>
      </c>
      <c r="W77" s="166">
        <v>63.716999999999999</v>
      </c>
      <c r="X77" s="166">
        <v>62.354999999999997</v>
      </c>
      <c r="Y77" s="166">
        <v>63.503</v>
      </c>
      <c r="Z77" s="166">
        <v>59.155999999999999</v>
      </c>
      <c r="AA77" s="166">
        <v>61.832000000000001</v>
      </c>
      <c r="AB77" s="166">
        <v>58.926000000000002</v>
      </c>
      <c r="AC77" s="166">
        <v>58.56</v>
      </c>
      <c r="AD77" s="166">
        <v>17</v>
      </c>
      <c r="AE77" s="166">
        <v>53.598999999999997</v>
      </c>
      <c r="AF77" s="166">
        <v>54.988999999999997</v>
      </c>
      <c r="AG77" s="166">
        <v>14.862</v>
      </c>
      <c r="AH77" s="167">
        <v>0.14499999999999999</v>
      </c>
      <c r="AI77" s="166">
        <v>0.20799999999999999</v>
      </c>
      <c r="AJ77" s="166">
        <v>0.151</v>
      </c>
      <c r="AK77" s="166">
        <v>0.14399999999999999</v>
      </c>
      <c r="AL77" s="166">
        <v>0.158</v>
      </c>
      <c r="AM77" s="166">
        <v>0.2</v>
      </c>
      <c r="AN77" s="166">
        <v>0.22</v>
      </c>
      <c r="AO77" s="166">
        <v>5.5E-2</v>
      </c>
      <c r="AP77" s="166">
        <v>5.5E-2</v>
      </c>
      <c r="AQ77" s="166">
        <v>0.1</v>
      </c>
      <c r="AR77" s="166">
        <v>0.1</v>
      </c>
      <c r="AS77" s="166">
        <v>0.1</v>
      </c>
      <c r="AT77" s="166">
        <v>2.5</v>
      </c>
      <c r="AU77" s="166">
        <f>50.901+0.93</f>
        <v>51.831000000000003</v>
      </c>
      <c r="AV77" s="166">
        <f>63.8+54.9</f>
        <v>118.69999999999999</v>
      </c>
      <c r="AW77" s="166">
        <v>55.927999999999997</v>
      </c>
      <c r="AX77" s="166">
        <v>57.585000000000001</v>
      </c>
      <c r="AY77" s="166">
        <v>47.572999999999993</v>
      </c>
      <c r="AZ77" s="166">
        <v>48.731999999999999</v>
      </c>
      <c r="BA77" s="166">
        <v>48.153999999999996</v>
      </c>
      <c r="BB77" s="166">
        <v>49.083999999999996</v>
      </c>
      <c r="BC77" s="166">
        <v>49.545999999999999</v>
      </c>
      <c r="BD77" s="166">
        <v>50.052999999999997</v>
      </c>
      <c r="BE77" s="166">
        <v>45.22</v>
      </c>
      <c r="BF77" s="166">
        <v>87.909000000000006</v>
      </c>
      <c r="BG77" s="166">
        <v>106.12599999999999</v>
      </c>
      <c r="BH77" s="166">
        <v>112.68</v>
      </c>
      <c r="BI77" s="73"/>
      <c r="BJ77" s="166">
        <v>10.336</v>
      </c>
      <c r="BK77" s="166">
        <v>17.692</v>
      </c>
      <c r="BL77" s="166">
        <v>11.512</v>
      </c>
      <c r="BM77" s="166">
        <v>8.7759999999999998</v>
      </c>
      <c r="BN77" s="166">
        <v>35.234000000000002</v>
      </c>
      <c r="BO77" s="166">
        <v>63.716999999999999</v>
      </c>
      <c r="BP77" s="166">
        <v>61.832000000000001</v>
      </c>
      <c r="BQ77" s="166">
        <v>53.598999999999997</v>
      </c>
      <c r="BR77" s="166">
        <v>0.20799999999999999</v>
      </c>
      <c r="BS77" s="166">
        <v>0.2</v>
      </c>
      <c r="BT77" s="166">
        <f t="shared" si="52"/>
        <v>0.1</v>
      </c>
      <c r="BU77" s="166">
        <f t="shared" si="53"/>
        <v>51.831000000000003</v>
      </c>
      <c r="BV77" s="166">
        <f t="shared" si="49"/>
        <v>47.572999999999993</v>
      </c>
      <c r="BW77" s="166">
        <f t="shared" si="50"/>
        <v>49.545999999999999</v>
      </c>
      <c r="BX77" s="166">
        <f t="shared" si="51"/>
        <v>106.12599999999999</v>
      </c>
      <c r="CG77" s="63"/>
    </row>
    <row r="78" spans="1:85" s="7" customFormat="1" ht="6.75" hidden="1" customHeight="1" outlineLevel="1" x14ac:dyDescent="0.35">
      <c r="B78" s="264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90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>
        <f t="shared" si="50"/>
        <v>0</v>
      </c>
      <c r="BX78" s="76">
        <f>BD78</f>
        <v>0</v>
      </c>
      <c r="BY78" s="249"/>
      <c r="BZ78" s="249"/>
      <c r="CA78" s="249"/>
      <c r="CB78" s="249"/>
      <c r="CC78" s="249"/>
      <c r="CD78" s="249"/>
      <c r="CE78" s="249"/>
      <c r="CF78" s="249"/>
    </row>
    <row r="79" spans="1:85" s="127" customFormat="1" hidden="1" outlineLevel="1" x14ac:dyDescent="0.35">
      <c r="A79" s="7"/>
      <c r="B79" s="26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90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>
        <f t="shared" si="50"/>
        <v>0</v>
      </c>
      <c r="BX79" s="76">
        <f>BD79</f>
        <v>0</v>
      </c>
    </row>
    <row r="80" spans="1:85" s="127" customFormat="1" ht="6.75" customHeight="1" collapsed="1" x14ac:dyDescent="0.35">
      <c r="A80" s="7"/>
      <c r="B80" s="26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90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</row>
    <row r="81" spans="1:76" s="23" customFormat="1" x14ac:dyDescent="0.35">
      <c r="A81" s="7"/>
      <c r="B81" s="54" t="str">
        <f>IF(Control!$D$5=1,"Total Liabilites","Passivo Total")</f>
        <v>Total Liabilites</v>
      </c>
      <c r="C81" s="168">
        <f>C50+C69+C79</f>
        <v>367.60400000000004</v>
      </c>
      <c r="D81" s="168">
        <f>D50+D69+D79</f>
        <v>691.47</v>
      </c>
      <c r="E81" s="168" t="s">
        <v>2</v>
      </c>
      <c r="F81" s="168" t="s">
        <v>2</v>
      </c>
      <c r="G81" s="168">
        <f t="shared" ref="G81:AW81" si="54">G50+G69+G79</f>
        <v>581.31700000000001</v>
      </c>
      <c r="H81" s="168">
        <f t="shared" si="54"/>
        <v>742.02300000000002</v>
      </c>
      <c r="I81" s="168">
        <f t="shared" si="54"/>
        <v>573.9910000000001</v>
      </c>
      <c r="J81" s="168">
        <f t="shared" si="54"/>
        <v>523.35799999999995</v>
      </c>
      <c r="K81" s="168">
        <f t="shared" si="54"/>
        <v>763.05899999999997</v>
      </c>
      <c r="L81" s="168">
        <f t="shared" si="54"/>
        <v>978.39800000000014</v>
      </c>
      <c r="M81" s="168">
        <f t="shared" si="54"/>
        <v>902.77199999999993</v>
      </c>
      <c r="N81" s="168">
        <f t="shared" si="54"/>
        <v>847.673</v>
      </c>
      <c r="O81" s="168">
        <f t="shared" si="54"/>
        <v>809.577</v>
      </c>
      <c r="P81" s="168">
        <f t="shared" si="54"/>
        <v>1306.501</v>
      </c>
      <c r="Q81" s="168">
        <f t="shared" si="54"/>
        <v>1269.8679999999999</v>
      </c>
      <c r="R81" s="168">
        <f t="shared" si="54"/>
        <v>1249.914</v>
      </c>
      <c r="S81" s="168">
        <f t="shared" si="54"/>
        <v>1385.6679999999999</v>
      </c>
      <c r="T81" s="168">
        <f t="shared" si="54"/>
        <v>1731.585</v>
      </c>
      <c r="U81" s="168">
        <f t="shared" si="54"/>
        <v>1568.317</v>
      </c>
      <c r="V81" s="168">
        <f t="shared" si="54"/>
        <v>1972.037</v>
      </c>
      <c r="W81" s="168">
        <f t="shared" si="54"/>
        <v>1888.0820000000001</v>
      </c>
      <c r="X81" s="168">
        <f t="shared" si="54"/>
        <v>2258.076</v>
      </c>
      <c r="Y81" s="168">
        <f t="shared" si="54"/>
        <v>2252.46</v>
      </c>
      <c r="Z81" s="168">
        <f t="shared" si="54"/>
        <v>2093.63</v>
      </c>
      <c r="AA81" s="168">
        <f t="shared" si="54"/>
        <v>2015.806</v>
      </c>
      <c r="AB81" s="168">
        <f t="shared" si="54"/>
        <v>2388.3919999999998</v>
      </c>
      <c r="AC81" s="168">
        <f t="shared" si="54"/>
        <v>2298.9499999999998</v>
      </c>
      <c r="AD81" s="168">
        <f t="shared" si="54"/>
        <v>2347.0659999999998</v>
      </c>
      <c r="AE81" s="168">
        <f t="shared" si="54"/>
        <v>2122.0039999999999</v>
      </c>
      <c r="AF81" s="168">
        <f t="shared" si="54"/>
        <v>2604.8020000000006</v>
      </c>
      <c r="AG81" s="168">
        <f t="shared" si="54"/>
        <v>2558.192</v>
      </c>
      <c r="AH81" s="168">
        <f t="shared" si="54"/>
        <v>2417.8410000000003</v>
      </c>
      <c r="AI81" s="168">
        <f t="shared" si="54"/>
        <v>2315.4140000000007</v>
      </c>
      <c r="AJ81" s="168">
        <f t="shared" si="54"/>
        <v>2587.2110000000002</v>
      </c>
      <c r="AK81" s="168">
        <f t="shared" si="54"/>
        <v>2483.5159999999996</v>
      </c>
      <c r="AL81" s="168">
        <f t="shared" si="54"/>
        <v>2321.7459999999996</v>
      </c>
      <c r="AM81" s="168">
        <f t="shared" si="54"/>
        <v>2469.9</v>
      </c>
      <c r="AN81" s="168">
        <f t="shared" si="54"/>
        <v>2603.4430000000002</v>
      </c>
      <c r="AO81" s="168">
        <f t="shared" si="54"/>
        <v>2407.0940000000001</v>
      </c>
      <c r="AP81" s="168">
        <f t="shared" si="54"/>
        <v>1848.444</v>
      </c>
      <c r="AQ81" s="168">
        <f t="shared" si="54"/>
        <v>1960.0999999999997</v>
      </c>
      <c r="AR81" s="168">
        <f t="shared" si="54"/>
        <v>2506.9</v>
      </c>
      <c r="AS81" s="168">
        <f t="shared" si="54"/>
        <v>2351.6999999999998</v>
      </c>
      <c r="AT81" s="168">
        <f t="shared" si="54"/>
        <v>2226</v>
      </c>
      <c r="AU81" s="168">
        <f t="shared" si="54"/>
        <v>2267.5039999999999</v>
      </c>
      <c r="AV81" s="168">
        <f t="shared" si="54"/>
        <v>3412.7</v>
      </c>
      <c r="AW81" s="168">
        <f t="shared" si="54"/>
        <v>3131.56</v>
      </c>
      <c r="AX81" s="168">
        <f>AX50+AX69+AX79</f>
        <v>3051.741</v>
      </c>
      <c r="AY81" s="168">
        <f>AY50+AY69+AY79</f>
        <v>2560.0170000000003</v>
      </c>
      <c r="AZ81" s="168">
        <f>AZ50+AZ69+AZ79</f>
        <v>4732.9390000000003</v>
      </c>
      <c r="BA81" s="168">
        <f t="shared" ref="BA81:BF81" si="55">BA50+BA69+BA79</f>
        <v>3877.8529999999996</v>
      </c>
      <c r="BB81" s="168">
        <f t="shared" si="55"/>
        <v>3842.9110000000001</v>
      </c>
      <c r="BC81" s="168">
        <f t="shared" si="55"/>
        <v>3458.078</v>
      </c>
      <c r="BD81" s="168">
        <f t="shared" si="55"/>
        <v>4726.7900000000009</v>
      </c>
      <c r="BE81" s="168">
        <f t="shared" si="55"/>
        <v>3987.7022407199993</v>
      </c>
      <c r="BF81" s="168">
        <f t="shared" si="55"/>
        <v>5245.4380000000001</v>
      </c>
      <c r="BG81" s="168">
        <f t="shared" ref="BG81:BH81" si="56">BG50+BG69+BG79</f>
        <v>5051.9680000000008</v>
      </c>
      <c r="BH81" s="168">
        <f t="shared" si="56"/>
        <v>5823.2679999999991</v>
      </c>
      <c r="BI81" s="73"/>
      <c r="BJ81" s="168">
        <f t="shared" ref="BJ81:BU81" si="57">BJ50+BJ69+BJ79</f>
        <v>367.60400000000004</v>
      </c>
      <c r="BK81" s="168">
        <f t="shared" si="57"/>
        <v>581.31700000000001</v>
      </c>
      <c r="BL81" s="168">
        <f t="shared" si="57"/>
        <v>763.05899999999997</v>
      </c>
      <c r="BM81" s="168">
        <f t="shared" si="57"/>
        <v>809.577</v>
      </c>
      <c r="BN81" s="168">
        <f t="shared" si="57"/>
        <v>1385.6679999999999</v>
      </c>
      <c r="BO81" s="168">
        <f t="shared" si="57"/>
        <v>1888.0820000000001</v>
      </c>
      <c r="BP81" s="168">
        <f t="shared" si="57"/>
        <v>2015.806</v>
      </c>
      <c r="BQ81" s="168">
        <f t="shared" si="57"/>
        <v>2122.0039999999999</v>
      </c>
      <c r="BR81" s="168">
        <f t="shared" si="57"/>
        <v>2315.4140000000007</v>
      </c>
      <c r="BS81" s="168">
        <f t="shared" si="57"/>
        <v>2469.9</v>
      </c>
      <c r="BT81" s="168">
        <f t="shared" si="57"/>
        <v>1960.0999999999997</v>
      </c>
      <c r="BU81" s="168">
        <f t="shared" si="57"/>
        <v>2267.5039999999999</v>
      </c>
      <c r="BV81" s="168">
        <f>BV50+BV69+BV79</f>
        <v>2560.0170000000003</v>
      </c>
      <c r="BW81" s="168">
        <f>BC81</f>
        <v>3458.078</v>
      </c>
      <c r="BX81" s="168">
        <f>BG81</f>
        <v>5051.9680000000008</v>
      </c>
    </row>
    <row r="82" spans="1:76" s="25" customFormat="1" ht="6.75" customHeight="1" x14ac:dyDescent="0.35">
      <c r="A82" s="7"/>
      <c r="B82" s="34"/>
      <c r="C82" s="166"/>
      <c r="D82" s="166"/>
      <c r="E82" s="76"/>
      <c r="F82" s="7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73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</row>
    <row r="83" spans="1:76" s="25" customFormat="1" x14ac:dyDescent="0.35">
      <c r="A83" s="7"/>
      <c r="B83" s="34" t="str">
        <f>IF(Control!$D$5=1,"Paid-in Capital","Capital Social Realizado")</f>
        <v>Paid-in Capital</v>
      </c>
      <c r="C83" s="166">
        <v>50</v>
      </c>
      <c r="D83" s="166">
        <v>50</v>
      </c>
      <c r="E83" s="76" t="s">
        <v>2</v>
      </c>
      <c r="F83" s="76" t="s">
        <v>2</v>
      </c>
      <c r="G83" s="166">
        <v>100</v>
      </c>
      <c r="H83" s="166">
        <v>100</v>
      </c>
      <c r="I83" s="166">
        <v>160</v>
      </c>
      <c r="J83" s="166">
        <v>160</v>
      </c>
      <c r="K83" s="166">
        <v>160</v>
      </c>
      <c r="L83" s="166">
        <v>160</v>
      </c>
      <c r="M83" s="166">
        <v>156.02000000000001</v>
      </c>
      <c r="N83" s="166">
        <v>156.02000000000001</v>
      </c>
      <c r="O83" s="166">
        <v>156.02000000000001</v>
      </c>
      <c r="P83" s="166">
        <v>156.02000000000001</v>
      </c>
      <c r="Q83" s="166">
        <v>156.02000000000001</v>
      </c>
      <c r="R83" s="166">
        <v>527.428</v>
      </c>
      <c r="S83" s="166">
        <v>527.428</v>
      </c>
      <c r="T83" s="166">
        <v>527.428</v>
      </c>
      <c r="U83" s="166">
        <v>527.428</v>
      </c>
      <c r="V83" s="166">
        <v>527.428</v>
      </c>
      <c r="W83" s="166">
        <v>527.428</v>
      </c>
      <c r="X83" s="166">
        <v>527.428</v>
      </c>
      <c r="Y83" s="166">
        <v>527.428</v>
      </c>
      <c r="Z83" s="166">
        <v>527.428</v>
      </c>
      <c r="AA83" s="166">
        <v>527.428</v>
      </c>
      <c r="AB83" s="166">
        <v>527.428</v>
      </c>
      <c r="AC83" s="166">
        <v>527.428</v>
      </c>
      <c r="AD83" s="166">
        <v>527.428</v>
      </c>
      <c r="AE83" s="166">
        <v>527.428</v>
      </c>
      <c r="AF83" s="166">
        <v>527.428</v>
      </c>
      <c r="AG83" s="166">
        <v>527.428</v>
      </c>
      <c r="AH83" s="166">
        <v>527.428</v>
      </c>
      <c r="AI83" s="166">
        <v>527.428</v>
      </c>
      <c r="AJ83" s="166">
        <v>527.428</v>
      </c>
      <c r="AK83" s="166">
        <v>581.37300000000005</v>
      </c>
      <c r="AL83" s="166">
        <v>581.37300000000005</v>
      </c>
      <c r="AM83" s="166">
        <v>581.4</v>
      </c>
      <c r="AN83" s="166">
        <v>581.37400000000002</v>
      </c>
      <c r="AO83" s="166">
        <v>581.37400000000002</v>
      </c>
      <c r="AP83" s="166">
        <v>950.37400000000002</v>
      </c>
      <c r="AQ83" s="166">
        <v>950.4</v>
      </c>
      <c r="AR83" s="166">
        <v>950.4</v>
      </c>
      <c r="AS83" s="166">
        <v>950.4</v>
      </c>
      <c r="AT83" s="166">
        <v>950.4</v>
      </c>
      <c r="AU83" s="166">
        <v>950.37400000000002</v>
      </c>
      <c r="AV83" s="166">
        <v>950.4</v>
      </c>
      <c r="AW83" s="166">
        <v>950.37400000000002</v>
      </c>
      <c r="AX83" s="166">
        <v>950.37400000000002</v>
      </c>
      <c r="AY83" s="166">
        <v>950.37400000000002</v>
      </c>
      <c r="AZ83" s="166">
        <v>950.37400000000002</v>
      </c>
      <c r="BA83" s="166">
        <v>950.37400000000002</v>
      </c>
      <c r="BB83" s="166">
        <v>950.37400000000002</v>
      </c>
      <c r="BC83" s="166">
        <v>950.37400000000002</v>
      </c>
      <c r="BD83" s="166">
        <v>950.37400000000002</v>
      </c>
      <c r="BE83" s="166">
        <v>950.37400000000002</v>
      </c>
      <c r="BF83" s="166">
        <v>950.37400000000002</v>
      </c>
      <c r="BG83" s="166">
        <v>950.37400000000002</v>
      </c>
      <c r="BH83" s="166">
        <v>950.4</v>
      </c>
      <c r="BI83" s="73"/>
      <c r="BJ83" s="166">
        <v>50</v>
      </c>
      <c r="BK83" s="166">
        <v>100</v>
      </c>
      <c r="BL83" s="166">
        <v>160</v>
      </c>
      <c r="BM83" s="166">
        <v>156.02000000000001</v>
      </c>
      <c r="BN83" s="166">
        <v>527.428</v>
      </c>
      <c r="BO83" s="166">
        <v>527.428</v>
      </c>
      <c r="BP83" s="166">
        <v>527.428</v>
      </c>
      <c r="BQ83" s="166">
        <v>527.428</v>
      </c>
      <c r="BR83" s="166">
        <v>527.428</v>
      </c>
      <c r="BS83" s="166">
        <v>581.4</v>
      </c>
      <c r="BT83" s="166">
        <f>AQ83</f>
        <v>950.4</v>
      </c>
      <c r="BU83" s="166">
        <f t="shared" ref="BU83:BU92" si="58">AU83</f>
        <v>950.37400000000002</v>
      </c>
      <c r="BV83" s="166">
        <f t="shared" ref="BV83:BV92" si="59">AY83</f>
        <v>950.37400000000002</v>
      </c>
      <c r="BW83" s="166">
        <f t="shared" ref="BW83:BW93" si="60">BC83</f>
        <v>950.37400000000002</v>
      </c>
      <c r="BX83" s="166">
        <f t="shared" ref="BX83:BX93" si="61">BG83</f>
        <v>950.37400000000002</v>
      </c>
    </row>
    <row r="84" spans="1:76" s="127" customFormat="1" x14ac:dyDescent="0.35">
      <c r="A84" s="7"/>
      <c r="B84" s="267" t="s">
        <v>10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>
        <v>0</v>
      </c>
      <c r="AN84" s="76"/>
      <c r="AO84" s="76"/>
      <c r="AP84" s="76"/>
      <c r="AQ84" s="76">
        <v>-12.1</v>
      </c>
      <c r="AR84" s="76">
        <v>-12.1</v>
      </c>
      <c r="AS84" s="76">
        <v>-12.4</v>
      </c>
      <c r="AT84" s="76">
        <v>-12.4</v>
      </c>
      <c r="AU84" s="76">
        <v>-12.38</v>
      </c>
      <c r="AV84" s="76">
        <v>-12.4</v>
      </c>
      <c r="AW84" s="166">
        <v>-12.38</v>
      </c>
      <c r="AX84" s="166">
        <v>-12.38</v>
      </c>
      <c r="AY84" s="166">
        <v>-12.38</v>
      </c>
      <c r="AZ84" s="166">
        <v>-12.38</v>
      </c>
      <c r="BA84" s="166">
        <v>-12.38</v>
      </c>
      <c r="BB84" s="166">
        <v>-12.38</v>
      </c>
      <c r="BC84" s="166">
        <v>-12.38</v>
      </c>
      <c r="BD84" s="166">
        <v>-12.38</v>
      </c>
      <c r="BE84" s="166">
        <v>-12.38</v>
      </c>
      <c r="BF84" s="166">
        <v>-12.38</v>
      </c>
      <c r="BG84" s="166">
        <v>-12.38</v>
      </c>
      <c r="BH84" s="166">
        <v>-12.38</v>
      </c>
      <c r="BI84" s="190"/>
      <c r="BJ84" s="76"/>
      <c r="BK84" s="76"/>
      <c r="BL84" s="76"/>
      <c r="BM84" s="76"/>
      <c r="BN84" s="76"/>
      <c r="BO84" s="76"/>
      <c r="BP84" s="76"/>
      <c r="BQ84" s="76"/>
      <c r="BR84" s="76"/>
      <c r="BS84" s="76">
        <v>0</v>
      </c>
      <c r="BT84" s="166">
        <f>AQ84</f>
        <v>-12.1</v>
      </c>
      <c r="BU84" s="166">
        <f t="shared" si="58"/>
        <v>-12.38</v>
      </c>
      <c r="BV84" s="166">
        <f t="shared" si="59"/>
        <v>-12.38</v>
      </c>
      <c r="BW84" s="166">
        <f t="shared" si="60"/>
        <v>-12.38</v>
      </c>
      <c r="BX84" s="166">
        <f t="shared" si="61"/>
        <v>-12.38</v>
      </c>
    </row>
    <row r="85" spans="1:76" s="127" customFormat="1" x14ac:dyDescent="0.35">
      <c r="A85" s="7"/>
      <c r="B85" s="267" t="str">
        <f>IF(Control!$D$5=1,"Income Reserves","Reservas de Lucros")</f>
        <v>Income Reserves</v>
      </c>
      <c r="C85" s="76">
        <f>SUM(C86:C88)</f>
        <v>32.320999999999998</v>
      </c>
      <c r="D85" s="76">
        <f>SUM(D86:D88)</f>
        <v>62.810999999999993</v>
      </c>
      <c r="E85" s="76" t="s">
        <v>2</v>
      </c>
      <c r="F85" s="76" t="s">
        <v>2</v>
      </c>
      <c r="G85" s="76">
        <f>SUM(G86:G88)</f>
        <v>25.861000000000001</v>
      </c>
      <c r="H85" s="76">
        <f>SUM(H86:H88)</f>
        <v>49.718999999999994</v>
      </c>
      <c r="I85" s="76">
        <f>SUM(I86:I88)</f>
        <v>14.818999999999999</v>
      </c>
      <c r="J85" s="76">
        <v>20.024999999999999</v>
      </c>
      <c r="K85" s="76">
        <f>SUM(K86:K88)</f>
        <v>28.286000000000001</v>
      </c>
      <c r="L85" s="76">
        <f>SUM(L86:L88)</f>
        <v>49.155000000000001</v>
      </c>
      <c r="M85" s="76">
        <f>SUM(M86:M88)</f>
        <v>57.525000000000006</v>
      </c>
      <c r="N85" s="76">
        <f>SUM(N86:N88)</f>
        <v>68.540999999999997</v>
      </c>
      <c r="O85" s="76">
        <f>SUM(O86:O88)</f>
        <v>78.455999999999989</v>
      </c>
      <c r="P85" s="76">
        <v>79.790000000000006</v>
      </c>
      <c r="Q85" s="76">
        <f t="shared" ref="Q85:Z85" si="62">SUM(Q86:Q88)</f>
        <v>110.81400000000001</v>
      </c>
      <c r="R85" s="76">
        <f t="shared" si="62"/>
        <v>14.329000000000001</v>
      </c>
      <c r="S85" s="76">
        <f t="shared" si="62"/>
        <v>35.254999999999995</v>
      </c>
      <c r="T85" s="76">
        <f t="shared" si="62"/>
        <v>65.540000000000006</v>
      </c>
      <c r="U85" s="76">
        <f t="shared" si="62"/>
        <v>103.946</v>
      </c>
      <c r="V85" s="76">
        <f t="shared" si="62"/>
        <v>140.64600000000002</v>
      </c>
      <c r="W85" s="76">
        <f t="shared" si="62"/>
        <v>142.48500000000001</v>
      </c>
      <c r="X85" s="76">
        <f t="shared" si="62"/>
        <v>189.11099999999999</v>
      </c>
      <c r="Y85" s="76">
        <f t="shared" si="62"/>
        <v>216.65099999999998</v>
      </c>
      <c r="Z85" s="76">
        <f t="shared" si="62"/>
        <v>244.989</v>
      </c>
      <c r="AA85" s="76">
        <f t="shared" ref="AA85:AF85" si="63">SUM(AA86:AA88)</f>
        <v>236.965</v>
      </c>
      <c r="AB85" s="76">
        <f t="shared" si="63"/>
        <v>278.16300000000001</v>
      </c>
      <c r="AC85" s="76">
        <f t="shared" si="63"/>
        <v>312.541</v>
      </c>
      <c r="AD85" s="76">
        <f t="shared" si="63"/>
        <v>335.08599999999996</v>
      </c>
      <c r="AE85" s="76">
        <f t="shared" si="63"/>
        <v>320.06100000000004</v>
      </c>
      <c r="AF85" s="76">
        <f t="shared" si="63"/>
        <v>354.60300000000001</v>
      </c>
      <c r="AG85" s="76">
        <f>SUM(AG86:AG88)</f>
        <v>383.93100000000004</v>
      </c>
      <c r="AH85" s="76">
        <f t="shared" ref="AH85:AN85" si="64">SUM(AH86:AH88)</f>
        <v>412.57600000000002</v>
      </c>
      <c r="AI85" s="76">
        <f t="shared" si="64"/>
        <v>430.78</v>
      </c>
      <c r="AJ85" s="76">
        <f t="shared" si="64"/>
        <v>482.66399999999999</v>
      </c>
      <c r="AK85" s="76">
        <f t="shared" si="64"/>
        <v>473.51400000000001</v>
      </c>
      <c r="AL85" s="76">
        <f t="shared" si="64"/>
        <v>516.72199999999998</v>
      </c>
      <c r="AM85" s="76">
        <v>479.70000000000005</v>
      </c>
      <c r="AN85" s="76">
        <f t="shared" si="64"/>
        <v>441.96100000000001</v>
      </c>
      <c r="AO85" s="76">
        <f t="shared" ref="AO85:AV85" si="65">SUM(AO86:AO88)</f>
        <v>483.31</v>
      </c>
      <c r="AP85" s="76">
        <f t="shared" si="65"/>
        <v>556.23800000000006</v>
      </c>
      <c r="AQ85" s="76">
        <f t="shared" si="65"/>
        <v>569.5</v>
      </c>
      <c r="AR85" s="76">
        <f t="shared" si="65"/>
        <v>579.1</v>
      </c>
      <c r="AS85" s="76">
        <f t="shared" si="65"/>
        <v>593.4</v>
      </c>
      <c r="AT85" s="76">
        <f t="shared" si="65"/>
        <v>599.29999999999995</v>
      </c>
      <c r="AU85" s="94">
        <f t="shared" si="65"/>
        <v>871.01499999999999</v>
      </c>
      <c r="AV85" s="94">
        <f t="shared" si="65"/>
        <v>899.4</v>
      </c>
      <c r="AW85" s="166">
        <v>901.93500000000006</v>
      </c>
      <c r="AX85" s="166">
        <v>673.82100000000003</v>
      </c>
      <c r="AY85" s="166">
        <v>870.58399999999995</v>
      </c>
      <c r="AZ85" s="166">
        <v>907.89400000000001</v>
      </c>
      <c r="BA85" s="166">
        <v>924.25</v>
      </c>
      <c r="BB85" s="166">
        <v>980.88199999999995</v>
      </c>
      <c r="BC85" s="166">
        <v>1083.9370000000001</v>
      </c>
      <c r="BD85" s="166">
        <v>1119.08</v>
      </c>
      <c r="BE85" s="166">
        <v>1137.944</v>
      </c>
      <c r="BF85" s="166">
        <v>1130.49</v>
      </c>
      <c r="BG85" s="166">
        <v>1470.8390000000002</v>
      </c>
      <c r="BH85" s="166">
        <v>1351.634</v>
      </c>
      <c r="BI85" s="190"/>
      <c r="BJ85" s="76">
        <f t="shared" ref="BJ85:BT85" si="66">SUM(BJ86:BJ88)</f>
        <v>32.320999999999998</v>
      </c>
      <c r="BK85" s="76">
        <f t="shared" si="66"/>
        <v>25.861000000000001</v>
      </c>
      <c r="BL85" s="76">
        <f t="shared" si="66"/>
        <v>28.286000000000001</v>
      </c>
      <c r="BM85" s="76">
        <f t="shared" si="66"/>
        <v>78.455999999999989</v>
      </c>
      <c r="BN85" s="76">
        <f t="shared" si="66"/>
        <v>35.254999999999995</v>
      </c>
      <c r="BO85" s="76">
        <f t="shared" si="66"/>
        <v>142.48500000000001</v>
      </c>
      <c r="BP85" s="76">
        <f t="shared" si="66"/>
        <v>236.965</v>
      </c>
      <c r="BQ85" s="76">
        <f t="shared" si="66"/>
        <v>320.06100000000004</v>
      </c>
      <c r="BR85" s="76">
        <f t="shared" si="66"/>
        <v>430.78</v>
      </c>
      <c r="BS85" s="76">
        <f t="shared" si="66"/>
        <v>479.70000000000005</v>
      </c>
      <c r="BT85" s="76">
        <f t="shared" si="66"/>
        <v>569.5</v>
      </c>
      <c r="BU85" s="76">
        <f t="shared" si="58"/>
        <v>871.01499999999999</v>
      </c>
      <c r="BV85" s="76">
        <f t="shared" si="59"/>
        <v>870.58399999999995</v>
      </c>
      <c r="BW85" s="76">
        <f t="shared" si="60"/>
        <v>1083.9370000000001</v>
      </c>
      <c r="BX85" s="76">
        <f t="shared" si="61"/>
        <v>1470.8390000000002</v>
      </c>
    </row>
    <row r="86" spans="1:76" s="127" customFormat="1" outlineLevel="1" x14ac:dyDescent="0.35">
      <c r="A86" s="7"/>
      <c r="B86" s="266" t="str">
        <f>IF(Control!$D$5=1,"Legal Reserves","Reserva Legal")</f>
        <v>Legal Reserves</v>
      </c>
      <c r="C86" s="76">
        <v>8.0802499999999995</v>
      </c>
      <c r="D86" s="76">
        <v>5.1539999999999999</v>
      </c>
      <c r="E86" s="76" t="s">
        <v>2</v>
      </c>
      <c r="F86" s="76" t="s">
        <v>2</v>
      </c>
      <c r="G86" s="76">
        <v>6.5140000000000002</v>
      </c>
      <c r="H86" s="76">
        <v>7.8949999999999996</v>
      </c>
      <c r="I86" s="76">
        <v>2.6909999999999998</v>
      </c>
      <c r="J86" s="76">
        <v>3.1070000000000002</v>
      </c>
      <c r="K86" s="76">
        <v>3.681</v>
      </c>
      <c r="L86" s="76">
        <v>4.9139999999999997</v>
      </c>
      <c r="M86" s="76">
        <v>5.4770000000000003</v>
      </c>
      <c r="N86" s="76">
        <v>6.1859999999999999</v>
      </c>
      <c r="O86" s="76">
        <v>6.5049999999999999</v>
      </c>
      <c r="P86" s="76">
        <v>7.8390000000000004</v>
      </c>
      <c r="Q86" s="76">
        <v>8.298</v>
      </c>
      <c r="R86" s="76">
        <v>9.2110000000000003</v>
      </c>
      <c r="S86" s="76">
        <v>10.196999999999999</v>
      </c>
      <c r="T86" s="76">
        <v>11.65</v>
      </c>
      <c r="U86" s="76">
        <v>13.516999999999999</v>
      </c>
      <c r="V86" s="76">
        <v>15.226000000000001</v>
      </c>
      <c r="W86" s="76">
        <v>17.026</v>
      </c>
      <c r="X86" s="76">
        <v>19.271999999999998</v>
      </c>
      <c r="Y86" s="76">
        <v>20.623000000000001</v>
      </c>
      <c r="Z86" s="76">
        <v>21.989000000000001</v>
      </c>
      <c r="AA86" s="76">
        <v>23.236999999999998</v>
      </c>
      <c r="AB86" s="76">
        <v>25.245000000000001</v>
      </c>
      <c r="AC86" s="76">
        <v>26.913</v>
      </c>
      <c r="AD86" s="76">
        <v>27.989000000000001</v>
      </c>
      <c r="AE86" s="76">
        <v>28.484999999999999</v>
      </c>
      <c r="AF86" s="76">
        <v>30.166</v>
      </c>
      <c r="AG86" s="76">
        <v>31.783000000000001</v>
      </c>
      <c r="AH86" s="76">
        <v>33.164999999999999</v>
      </c>
      <c r="AI86" s="76">
        <v>34.024000000000001</v>
      </c>
      <c r="AJ86" s="76">
        <v>36.566000000000003</v>
      </c>
      <c r="AK86" s="269">
        <v>39.743000000000002</v>
      </c>
      <c r="AL86" s="76">
        <v>43.101999999999997</v>
      </c>
      <c r="AM86" s="76">
        <v>44.1</v>
      </c>
      <c r="AN86" s="76">
        <v>47.161000000000001</v>
      </c>
      <c r="AO86" s="76">
        <v>49.177</v>
      </c>
      <c r="AP86" s="76">
        <v>52.771999999999998</v>
      </c>
      <c r="AQ86" s="76">
        <v>56.6</v>
      </c>
      <c r="AR86" s="76">
        <v>56.6</v>
      </c>
      <c r="AS86" s="76">
        <v>56.6</v>
      </c>
      <c r="AT86" s="76">
        <v>56.6</v>
      </c>
      <c r="AU86" s="94">
        <v>56.6</v>
      </c>
      <c r="AV86" s="94">
        <v>69.400000000000006</v>
      </c>
      <c r="AW86" s="166">
        <v>69.382000000000005</v>
      </c>
      <c r="AX86" s="166">
        <v>69.382000000000005</v>
      </c>
      <c r="AY86" s="166">
        <v>74.754999999999995</v>
      </c>
      <c r="AZ86" s="166">
        <v>74.754999999999995</v>
      </c>
      <c r="BA86" s="166">
        <v>74.754999999999995</v>
      </c>
      <c r="BB86" s="166">
        <v>74.754999999999995</v>
      </c>
      <c r="BC86" s="166">
        <v>88.007999999999996</v>
      </c>
      <c r="BD86" s="166">
        <v>88.007999999999996</v>
      </c>
      <c r="BE86" s="166">
        <v>88.007999999999996</v>
      </c>
      <c r="BF86" s="166">
        <v>88.007999999999996</v>
      </c>
      <c r="BG86" s="166">
        <v>105.518</v>
      </c>
      <c r="BH86" s="166">
        <v>105.517</v>
      </c>
      <c r="BI86" s="190"/>
      <c r="BJ86" s="76">
        <v>8.0802499999999995</v>
      </c>
      <c r="BK86" s="76">
        <v>6.5140000000000002</v>
      </c>
      <c r="BL86" s="76">
        <v>3.681</v>
      </c>
      <c r="BM86" s="76">
        <v>6.5049999999999999</v>
      </c>
      <c r="BN86" s="76">
        <v>10.196999999999999</v>
      </c>
      <c r="BO86" s="76">
        <v>17.026</v>
      </c>
      <c r="BP86" s="76">
        <v>23.236999999999998</v>
      </c>
      <c r="BQ86" s="76">
        <v>28.484999999999999</v>
      </c>
      <c r="BR86" s="76">
        <v>34.024000000000001</v>
      </c>
      <c r="BS86" s="76">
        <v>44.1</v>
      </c>
      <c r="BT86" s="166">
        <f t="shared" ref="BT86:BT92" si="67">AQ86</f>
        <v>56.6</v>
      </c>
      <c r="BU86" s="166">
        <f t="shared" si="58"/>
        <v>56.6</v>
      </c>
      <c r="BV86" s="166">
        <f t="shared" si="59"/>
        <v>74.754999999999995</v>
      </c>
      <c r="BW86" s="166">
        <f t="shared" si="60"/>
        <v>88.007999999999996</v>
      </c>
      <c r="BX86" s="166">
        <f t="shared" si="61"/>
        <v>105.518</v>
      </c>
    </row>
    <row r="87" spans="1:76" s="127" customFormat="1" outlineLevel="1" x14ac:dyDescent="0.35">
      <c r="A87" s="7"/>
      <c r="B87" s="266" t="s">
        <v>9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269"/>
      <c r="AL87" s="76"/>
      <c r="AM87" s="76">
        <v>0</v>
      </c>
      <c r="AN87" s="76"/>
      <c r="AO87" s="76"/>
      <c r="AP87" s="76"/>
      <c r="AQ87" s="76">
        <v>78.900000000000006</v>
      </c>
      <c r="AR87" s="76">
        <v>88.5</v>
      </c>
      <c r="AS87" s="76">
        <v>102.8</v>
      </c>
      <c r="AT87" s="76">
        <v>363.2</v>
      </c>
      <c r="AU87" s="94">
        <v>588.25199999999995</v>
      </c>
      <c r="AV87" s="94">
        <v>616.6</v>
      </c>
      <c r="AW87" s="166">
        <v>645.17200000000003</v>
      </c>
      <c r="AX87" s="166">
        <v>679.00400000000002</v>
      </c>
      <c r="AY87" s="166">
        <v>720.42899999999997</v>
      </c>
      <c r="AZ87" s="166">
        <v>757.73900000000003</v>
      </c>
      <c r="BA87" s="166">
        <v>807.53599999999994</v>
      </c>
      <c r="BB87" s="166">
        <v>864.16800000000001</v>
      </c>
      <c r="BC87" s="166">
        <v>918.04399999999998</v>
      </c>
      <c r="BD87" s="166">
        <v>973.18700000000001</v>
      </c>
      <c r="BE87" s="166">
        <v>992.05100000000004</v>
      </c>
      <c r="BF87" s="166">
        <v>984.55899999999997</v>
      </c>
      <c r="BG87" s="166">
        <v>1045.6210000000001</v>
      </c>
      <c r="BH87" s="166">
        <v>1087.2</v>
      </c>
      <c r="BI87" s="190"/>
      <c r="BJ87" s="76"/>
      <c r="BK87" s="76"/>
      <c r="BL87" s="76"/>
      <c r="BM87" s="76"/>
      <c r="BN87" s="76"/>
      <c r="BO87" s="76"/>
      <c r="BP87" s="76"/>
      <c r="BQ87" s="76"/>
      <c r="BR87" s="76"/>
      <c r="BS87" s="76">
        <v>0</v>
      </c>
      <c r="BT87" s="166">
        <f t="shared" si="67"/>
        <v>78.900000000000006</v>
      </c>
      <c r="BU87" s="166">
        <f t="shared" si="58"/>
        <v>588.25199999999995</v>
      </c>
      <c r="BV87" s="166">
        <f t="shared" si="59"/>
        <v>720.42899999999997</v>
      </c>
      <c r="BW87" s="166">
        <f t="shared" si="60"/>
        <v>918.04399999999998</v>
      </c>
      <c r="BX87" s="166">
        <f t="shared" si="61"/>
        <v>1045.6210000000001</v>
      </c>
    </row>
    <row r="88" spans="1:76" s="127" customFormat="1" outlineLevel="1" x14ac:dyDescent="0.35">
      <c r="A88" s="7"/>
      <c r="B88" s="266" t="s">
        <v>14</v>
      </c>
      <c r="C88" s="76">
        <v>24.240749999999998</v>
      </c>
      <c r="D88" s="76">
        <v>57.656999999999996</v>
      </c>
      <c r="E88" s="76" t="s">
        <v>2</v>
      </c>
      <c r="F88" s="76" t="s">
        <v>2</v>
      </c>
      <c r="G88" s="76">
        <v>19.347000000000001</v>
      </c>
      <c r="H88" s="76">
        <v>41.823999999999998</v>
      </c>
      <c r="I88" s="76">
        <v>12.128</v>
      </c>
      <c r="J88" s="76">
        <f>J85-J86</f>
        <v>16.917999999999999</v>
      </c>
      <c r="K88" s="76">
        <v>24.605</v>
      </c>
      <c r="L88" s="76">
        <v>44.241</v>
      </c>
      <c r="M88" s="76">
        <v>52.048000000000002</v>
      </c>
      <c r="N88" s="76">
        <v>62.354999999999997</v>
      </c>
      <c r="O88" s="76">
        <v>71.950999999999993</v>
      </c>
      <c r="P88" s="76">
        <f>P85-P86</f>
        <v>71.951000000000008</v>
      </c>
      <c r="Q88" s="76">
        <v>102.51600000000001</v>
      </c>
      <c r="R88" s="76">
        <v>5.1180000000000003</v>
      </c>
      <c r="S88" s="76">
        <v>25.058</v>
      </c>
      <c r="T88" s="76">
        <v>53.89</v>
      </c>
      <c r="U88" s="76">
        <v>90.429000000000002</v>
      </c>
      <c r="V88" s="76">
        <v>125.42</v>
      </c>
      <c r="W88" s="76">
        <v>125.459</v>
      </c>
      <c r="X88" s="76">
        <v>169.839</v>
      </c>
      <c r="Y88" s="76">
        <v>196.02799999999999</v>
      </c>
      <c r="Z88" s="76">
        <v>223</v>
      </c>
      <c r="AA88" s="76">
        <v>213.72800000000001</v>
      </c>
      <c r="AB88" s="76">
        <v>252.91800000000001</v>
      </c>
      <c r="AC88" s="76">
        <v>285.62799999999999</v>
      </c>
      <c r="AD88" s="76">
        <v>307.09699999999998</v>
      </c>
      <c r="AE88" s="76">
        <v>291.57600000000002</v>
      </c>
      <c r="AF88" s="76">
        <v>324.43700000000001</v>
      </c>
      <c r="AG88" s="76">
        <v>352.14800000000002</v>
      </c>
      <c r="AH88" s="76">
        <v>379.411</v>
      </c>
      <c r="AI88" s="76">
        <v>396.75599999999997</v>
      </c>
      <c r="AJ88" s="76">
        <v>446.09800000000001</v>
      </c>
      <c r="AK88" s="76">
        <v>433.77100000000002</v>
      </c>
      <c r="AL88" s="76">
        <v>473.62</v>
      </c>
      <c r="AM88" s="76">
        <v>435.6</v>
      </c>
      <c r="AN88" s="76">
        <f>441.961-AN86</f>
        <v>394.8</v>
      </c>
      <c r="AO88" s="76">
        <v>434.13299999999998</v>
      </c>
      <c r="AP88" s="76">
        <v>503.46600000000007</v>
      </c>
      <c r="AQ88" s="76">
        <v>434</v>
      </c>
      <c r="AR88" s="76">
        <v>434</v>
      </c>
      <c r="AS88" s="76">
        <v>434</v>
      </c>
      <c r="AT88" s="76">
        <v>179.5</v>
      </c>
      <c r="AU88" s="94">
        <v>226.16300000000004</v>
      </c>
      <c r="AV88" s="94">
        <v>213.4</v>
      </c>
      <c r="AW88" s="166">
        <v>187.381</v>
      </c>
      <c r="AX88" s="166">
        <v>-74.564999999999998</v>
      </c>
      <c r="AY88" s="166">
        <v>75.400000000000006</v>
      </c>
      <c r="AZ88" s="166">
        <v>75.400000000000006</v>
      </c>
      <c r="BA88" s="166">
        <v>41.959000000000003</v>
      </c>
      <c r="BB88" s="166">
        <v>41.959000000000003</v>
      </c>
      <c r="BC88" s="166">
        <v>77.885000000000005</v>
      </c>
      <c r="BD88" s="166">
        <v>57.884999999999998</v>
      </c>
      <c r="BE88" s="166">
        <v>57.884999999999998</v>
      </c>
      <c r="BF88" s="166">
        <v>57.884999999999998</v>
      </c>
      <c r="BG88" s="166">
        <v>319.7</v>
      </c>
      <c r="BH88" s="166">
        <v>158.917</v>
      </c>
      <c r="BI88" s="190"/>
      <c r="BJ88" s="76">
        <v>24.240749999999998</v>
      </c>
      <c r="BK88" s="76">
        <v>19.347000000000001</v>
      </c>
      <c r="BL88" s="76">
        <v>24.605</v>
      </c>
      <c r="BM88" s="76">
        <v>71.950999999999993</v>
      </c>
      <c r="BN88" s="76">
        <v>25.058</v>
      </c>
      <c r="BO88" s="76">
        <v>125.459</v>
      </c>
      <c r="BP88" s="76">
        <v>213.72800000000001</v>
      </c>
      <c r="BQ88" s="76">
        <v>291.57600000000002</v>
      </c>
      <c r="BR88" s="76">
        <v>396.75599999999997</v>
      </c>
      <c r="BS88" s="76">
        <v>435.6</v>
      </c>
      <c r="BT88" s="166">
        <f t="shared" si="67"/>
        <v>434</v>
      </c>
      <c r="BU88" s="166">
        <f t="shared" si="58"/>
        <v>226.16300000000004</v>
      </c>
      <c r="BV88" s="166">
        <f t="shared" si="59"/>
        <v>75.400000000000006</v>
      </c>
      <c r="BW88" s="166">
        <f t="shared" si="60"/>
        <v>77.885000000000005</v>
      </c>
      <c r="BX88" s="166">
        <f t="shared" si="61"/>
        <v>319.7</v>
      </c>
    </row>
    <row r="89" spans="1:76" s="127" customFormat="1" x14ac:dyDescent="0.35">
      <c r="A89" s="7"/>
      <c r="B89" s="267" t="str">
        <f>IF(Control!$D$5=1,"Capital Reserve","Reserva de Capital")</f>
        <v>Capital Reserve</v>
      </c>
      <c r="C89" s="76">
        <v>1.631</v>
      </c>
      <c r="D89" s="76">
        <v>1.631</v>
      </c>
      <c r="E89" s="76" t="s">
        <v>2</v>
      </c>
      <c r="F89" s="76" t="s">
        <v>2</v>
      </c>
      <c r="G89" s="76">
        <v>1.964</v>
      </c>
      <c r="H89" s="76">
        <v>1.964</v>
      </c>
      <c r="I89" s="76">
        <v>0</v>
      </c>
      <c r="J89" s="76">
        <v>0</v>
      </c>
      <c r="K89" s="76">
        <v>0.33300000000000002</v>
      </c>
      <c r="L89" s="76">
        <v>0.33300000000000002</v>
      </c>
      <c r="M89" s="76">
        <v>0.33300000000000002</v>
      </c>
      <c r="N89" s="76">
        <v>0.33300000000000002</v>
      </c>
      <c r="O89" s="76">
        <v>0.33300000000000002</v>
      </c>
      <c r="P89" s="76">
        <v>0.33300000000000002</v>
      </c>
      <c r="Q89" s="76">
        <v>0.33300000000000002</v>
      </c>
      <c r="R89" s="76">
        <v>0.33300000000000002</v>
      </c>
      <c r="S89" s="76">
        <v>0.33300000000000002</v>
      </c>
      <c r="T89" s="76">
        <v>0.33300000000000002</v>
      </c>
      <c r="U89" s="76">
        <v>0.33300000000000002</v>
      </c>
      <c r="V89" s="76">
        <v>0.33300000000000002</v>
      </c>
      <c r="W89" s="76">
        <v>0.33300000000000002</v>
      </c>
      <c r="X89" s="76">
        <v>0.33300000000000002</v>
      </c>
      <c r="Y89" s="76">
        <v>0.33300000000000002</v>
      </c>
      <c r="Z89" s="76">
        <v>0.33300000000000002</v>
      </c>
      <c r="AA89" s="76">
        <v>0.33300000000000002</v>
      </c>
      <c r="AB89" s="76">
        <v>0.33300000000000002</v>
      </c>
      <c r="AC89" s="76">
        <v>0</v>
      </c>
      <c r="AD89" s="76">
        <v>0.33300000000000002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70.5</v>
      </c>
      <c r="AN89" s="76">
        <v>0</v>
      </c>
      <c r="AO89" s="76">
        <v>68.406000000000006</v>
      </c>
      <c r="AP89" s="76">
        <v>54.427</v>
      </c>
      <c r="AQ89" s="76">
        <v>50.900000000000006</v>
      </c>
      <c r="AR89" s="76">
        <v>27.7</v>
      </c>
      <c r="AS89" s="76">
        <v>26.999999999999996</v>
      </c>
      <c r="AT89" s="76">
        <v>27.499999999999996</v>
      </c>
      <c r="AU89" s="76">
        <f>70.51-45.234+2.787</f>
        <v>28.063000000000002</v>
      </c>
      <c r="AV89" s="76">
        <v>21.9</v>
      </c>
      <c r="AW89" s="166">
        <v>3.8689999999999989</v>
      </c>
      <c r="AX89" s="166">
        <v>74.878</v>
      </c>
      <c r="AY89" s="166">
        <v>5.0999999999999996</v>
      </c>
      <c r="AZ89" s="166">
        <v>6.2629999999999999</v>
      </c>
      <c r="BA89" s="166">
        <v>7.3849999999999998</v>
      </c>
      <c r="BB89" s="166">
        <v>8.4849999999999994</v>
      </c>
      <c r="BC89" s="166">
        <v>9.5009999999999994</v>
      </c>
      <c r="BD89" s="166">
        <v>9.8650000000000002</v>
      </c>
      <c r="BE89" s="166">
        <v>11.252000000000001</v>
      </c>
      <c r="BF89" s="166">
        <v>12.775</v>
      </c>
      <c r="BG89" s="166">
        <v>13.3</v>
      </c>
      <c r="BH89" s="166">
        <v>14.638999999999999</v>
      </c>
      <c r="BI89" s="190"/>
      <c r="BJ89" s="76">
        <v>1.631</v>
      </c>
      <c r="BK89" s="76">
        <v>1.964</v>
      </c>
      <c r="BL89" s="76">
        <v>0.33300000000000002</v>
      </c>
      <c r="BM89" s="76">
        <v>0.33300000000000002</v>
      </c>
      <c r="BN89" s="76">
        <v>0.33300000000000002</v>
      </c>
      <c r="BO89" s="76">
        <v>0.33300000000000002</v>
      </c>
      <c r="BP89" s="76">
        <v>0.33300000000000002</v>
      </c>
      <c r="BQ89" s="76">
        <v>0</v>
      </c>
      <c r="BR89" s="76">
        <v>0</v>
      </c>
      <c r="BS89" s="76">
        <v>70.5</v>
      </c>
      <c r="BT89" s="166">
        <f t="shared" si="67"/>
        <v>50.900000000000006</v>
      </c>
      <c r="BU89" s="166">
        <f t="shared" si="58"/>
        <v>28.063000000000002</v>
      </c>
      <c r="BV89" s="166">
        <f t="shared" si="59"/>
        <v>5.0999999999999996</v>
      </c>
      <c r="BW89" s="166">
        <f t="shared" si="60"/>
        <v>9.5009999999999994</v>
      </c>
      <c r="BX89" s="166">
        <f t="shared" si="61"/>
        <v>13.3</v>
      </c>
    </row>
    <row r="90" spans="1:76" s="25" customFormat="1" x14ac:dyDescent="0.35">
      <c r="A90" s="7"/>
      <c r="B90" s="34" t="str">
        <f>IF(Control!$D$5=1,"Equity adjustments","Ajuste de Avaliação Patrimonial")</f>
        <v>Equity adjustments</v>
      </c>
      <c r="C90" s="166">
        <v>-2.1040000000000001</v>
      </c>
      <c r="D90" s="166">
        <v>-4.9880000000000004</v>
      </c>
      <c r="E90" s="76" t="s">
        <v>2</v>
      </c>
      <c r="F90" s="76" t="s">
        <v>2</v>
      </c>
      <c r="G90" s="166">
        <v>38.484000000000002</v>
      </c>
      <c r="H90" s="166">
        <v>18.43</v>
      </c>
      <c r="I90" s="166">
        <v>15.151999999999999</v>
      </c>
      <c r="J90" s="166">
        <v>5.7619999999999996</v>
      </c>
      <c r="K90" s="166">
        <v>7.1319999999999997</v>
      </c>
      <c r="L90" s="166">
        <v>7.4429999999999996</v>
      </c>
      <c r="M90" s="166">
        <v>4.6210000000000004</v>
      </c>
      <c r="N90" s="166">
        <v>3.0939999999999999</v>
      </c>
      <c r="O90" s="166">
        <v>70.801000000000002</v>
      </c>
      <c r="P90" s="166">
        <v>62.683999999999997</v>
      </c>
      <c r="Q90" s="166">
        <v>62.131999999999998</v>
      </c>
      <c r="R90" s="166">
        <v>85.662999999999997</v>
      </c>
      <c r="S90" s="166">
        <v>80.372</v>
      </c>
      <c r="T90" s="166">
        <v>115.827</v>
      </c>
      <c r="U90" s="166">
        <v>123.658</v>
      </c>
      <c r="V90" s="166">
        <v>132.648</v>
      </c>
      <c r="W90" s="166">
        <v>179.054</v>
      </c>
      <c r="X90" s="166">
        <v>195.89500000000001</v>
      </c>
      <c r="Y90" s="166">
        <v>230.76900000000001</v>
      </c>
      <c r="Z90" s="166">
        <v>216.88800000000001</v>
      </c>
      <c r="AA90" s="166">
        <v>221.267</v>
      </c>
      <c r="AB90" s="166">
        <v>206.94800000000001</v>
      </c>
      <c r="AC90" s="166">
        <v>200.59200000000001</v>
      </c>
      <c r="AD90" s="166">
        <v>240.65100000000001</v>
      </c>
      <c r="AE90" s="166">
        <v>296.26499999999999</v>
      </c>
      <c r="AF90" s="166">
        <v>332.49700000000001</v>
      </c>
      <c r="AG90" s="166">
        <v>408.53500000000003</v>
      </c>
      <c r="AH90" s="166">
        <v>437.10599999999999</v>
      </c>
      <c r="AI90" s="166">
        <v>468.23</v>
      </c>
      <c r="AJ90" s="166">
        <v>401.61200000000002</v>
      </c>
      <c r="AK90" s="166">
        <v>321.18799999999999</v>
      </c>
      <c r="AL90" s="166">
        <v>336.65</v>
      </c>
      <c r="AM90" s="166">
        <v>0</v>
      </c>
      <c r="AN90" s="166">
        <v>318.15300000000002</v>
      </c>
      <c r="AO90" s="166">
        <v>0</v>
      </c>
      <c r="AP90" s="166">
        <v>0</v>
      </c>
      <c r="AQ90" s="166">
        <v>0</v>
      </c>
      <c r="AR90" s="166">
        <v>0</v>
      </c>
      <c r="AS90" s="166">
        <v>0</v>
      </c>
      <c r="AT90" s="166">
        <v>0</v>
      </c>
      <c r="AU90" s="166">
        <v>0</v>
      </c>
      <c r="AV90" s="166">
        <v>0</v>
      </c>
      <c r="AW90" s="166">
        <v>0</v>
      </c>
      <c r="AX90" s="166">
        <v>0</v>
      </c>
      <c r="AY90" s="166">
        <v>0</v>
      </c>
      <c r="AZ90" s="166">
        <v>0</v>
      </c>
      <c r="BA90" s="166">
        <v>0</v>
      </c>
      <c r="BB90" s="166">
        <v>0</v>
      </c>
      <c r="BC90" s="166">
        <v>0</v>
      </c>
      <c r="BD90" s="166">
        <v>0</v>
      </c>
      <c r="BE90" s="166">
        <v>0</v>
      </c>
      <c r="BF90" s="166">
        <v>0</v>
      </c>
      <c r="BG90" s="166">
        <v>0</v>
      </c>
      <c r="BH90" s="166"/>
      <c r="BI90" s="73"/>
      <c r="BJ90" s="166">
        <v>-2.1040000000000001</v>
      </c>
      <c r="BK90" s="166">
        <v>38.484000000000002</v>
      </c>
      <c r="BL90" s="166">
        <v>7.1319999999999997</v>
      </c>
      <c r="BM90" s="166">
        <v>70.801000000000002</v>
      </c>
      <c r="BN90" s="166">
        <v>80.372</v>
      </c>
      <c r="BO90" s="166">
        <v>179.054</v>
      </c>
      <c r="BP90" s="166">
        <v>221.267</v>
      </c>
      <c r="BQ90" s="166">
        <v>296.26499999999999</v>
      </c>
      <c r="BR90" s="166">
        <v>468.23</v>
      </c>
      <c r="BS90" s="166">
        <v>0</v>
      </c>
      <c r="BT90" s="166">
        <f t="shared" si="67"/>
        <v>0</v>
      </c>
      <c r="BU90" s="166">
        <f t="shared" si="58"/>
        <v>0</v>
      </c>
      <c r="BV90" s="166">
        <f t="shared" si="59"/>
        <v>0</v>
      </c>
      <c r="BW90" s="166">
        <f t="shared" si="60"/>
        <v>0</v>
      </c>
      <c r="BX90" s="166">
        <f t="shared" si="61"/>
        <v>0</v>
      </c>
    </row>
    <row r="91" spans="1:76" s="25" customFormat="1" x14ac:dyDescent="0.35">
      <c r="A91" s="7"/>
      <c r="B91" s="34" t="str">
        <f>IF(Control!$D$5=1,"Accumulated Net Income","Lucros acumulados do período")</f>
        <v>Accumulated Net Income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v>0</v>
      </c>
      <c r="V91" s="166">
        <v>0</v>
      </c>
      <c r="W91" s="166">
        <v>0</v>
      </c>
      <c r="X91" s="166">
        <v>0</v>
      </c>
      <c r="Y91" s="166">
        <v>0</v>
      </c>
      <c r="Z91" s="166">
        <v>0</v>
      </c>
      <c r="AA91" s="166">
        <v>0</v>
      </c>
      <c r="AB91" s="166">
        <v>0</v>
      </c>
      <c r="AC91" s="166">
        <v>0</v>
      </c>
      <c r="AD91" s="166">
        <v>0</v>
      </c>
      <c r="AE91" s="166">
        <v>0</v>
      </c>
      <c r="AF91" s="166">
        <v>0</v>
      </c>
      <c r="AG91" s="166">
        <v>0</v>
      </c>
      <c r="AH91" s="166">
        <v>0</v>
      </c>
      <c r="AI91" s="166">
        <v>0</v>
      </c>
      <c r="AJ91" s="166">
        <v>0</v>
      </c>
      <c r="AK91" s="166">
        <v>0</v>
      </c>
      <c r="AL91" s="166">
        <v>0</v>
      </c>
      <c r="AM91" s="166">
        <v>0</v>
      </c>
      <c r="AN91" s="166">
        <v>0</v>
      </c>
      <c r="AO91" s="166">
        <v>0</v>
      </c>
      <c r="AP91" s="166">
        <v>0</v>
      </c>
      <c r="AQ91" s="166">
        <v>0</v>
      </c>
      <c r="AR91" s="166">
        <v>0</v>
      </c>
      <c r="AS91" s="166">
        <v>69.900000000000006</v>
      </c>
      <c r="AT91" s="166">
        <v>170.3</v>
      </c>
      <c r="AU91" s="88">
        <v>0</v>
      </c>
      <c r="AV91" s="88">
        <v>22.6</v>
      </c>
      <c r="AW91" s="88">
        <v>20.085999999999999</v>
      </c>
      <c r="AX91" s="88">
        <v>53.378999999999998</v>
      </c>
      <c r="AY91" s="88">
        <v>0</v>
      </c>
      <c r="AZ91" s="88">
        <v>73.171999999999997</v>
      </c>
      <c r="BA91" s="88">
        <v>134.84399999999999</v>
      </c>
      <c r="BB91" s="88">
        <v>206.98699999999999</v>
      </c>
      <c r="BC91" s="88"/>
      <c r="BD91" s="88">
        <v>54.063000000000002</v>
      </c>
      <c r="BE91" s="88">
        <v>117.753</v>
      </c>
      <c r="BF91" s="88">
        <v>221.79</v>
      </c>
      <c r="BG91" s="88">
        <v>562.44799999999998</v>
      </c>
      <c r="BH91" s="88">
        <v>454.41399999999999</v>
      </c>
      <c r="BI91" s="73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>
        <f t="shared" si="67"/>
        <v>0</v>
      </c>
      <c r="BU91" s="166">
        <f t="shared" si="58"/>
        <v>0</v>
      </c>
      <c r="BV91" s="166">
        <f t="shared" si="59"/>
        <v>0</v>
      </c>
      <c r="BW91" s="166">
        <f t="shared" si="60"/>
        <v>0</v>
      </c>
      <c r="BX91" s="166">
        <f t="shared" si="61"/>
        <v>562.44799999999998</v>
      </c>
    </row>
    <row r="92" spans="1:76" s="25" customFormat="1" x14ac:dyDescent="0.35">
      <c r="A92" s="7"/>
      <c r="B92" s="34" t="str">
        <f>IF(Control!$D$5=1,"Outros Resultados Abrangentes","Outros Resultados Abrangentes")</f>
        <v>Outros Resultados Abrangentes</v>
      </c>
      <c r="C92" s="166">
        <v>0</v>
      </c>
      <c r="D92" s="166">
        <v>0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22.759</v>
      </c>
      <c r="Q92" s="166">
        <v>0</v>
      </c>
      <c r="R92" s="166">
        <v>0</v>
      </c>
      <c r="S92" s="166">
        <v>0</v>
      </c>
      <c r="T92" s="166">
        <v>0</v>
      </c>
      <c r="U92" s="166">
        <v>0</v>
      </c>
      <c r="V92" s="166">
        <v>0</v>
      </c>
      <c r="W92" s="166">
        <v>0</v>
      </c>
      <c r="X92" s="166">
        <v>0</v>
      </c>
      <c r="Y92" s="166">
        <v>0</v>
      </c>
      <c r="Z92" s="166">
        <v>0</v>
      </c>
      <c r="AA92" s="166">
        <v>0</v>
      </c>
      <c r="AB92" s="166">
        <v>0</v>
      </c>
      <c r="AC92" s="166">
        <v>0</v>
      </c>
      <c r="AD92" s="166">
        <v>0</v>
      </c>
      <c r="AE92" s="166">
        <v>0</v>
      </c>
      <c r="AF92" s="166">
        <v>0</v>
      </c>
      <c r="AG92" s="166">
        <v>0</v>
      </c>
      <c r="AH92" s="166">
        <v>0</v>
      </c>
      <c r="AI92" s="166">
        <v>0</v>
      </c>
      <c r="AJ92" s="166">
        <v>0</v>
      </c>
      <c r="AK92" s="166">
        <v>0</v>
      </c>
      <c r="AL92" s="166">
        <v>0</v>
      </c>
      <c r="AM92" s="166">
        <v>229.1</v>
      </c>
      <c r="AN92" s="166">
        <v>0</v>
      </c>
      <c r="AO92" s="166">
        <v>242.86099999999999</v>
      </c>
      <c r="AP92" s="166">
        <v>259.97000000000003</v>
      </c>
      <c r="AQ92" s="166">
        <v>262.39999999999998</v>
      </c>
      <c r="AR92" s="166">
        <v>375.4</v>
      </c>
      <c r="AS92" s="166">
        <v>414.29999999999995</v>
      </c>
      <c r="AT92" s="166">
        <v>356.1</v>
      </c>
      <c r="AU92" s="166">
        <v>332.04300000000001</v>
      </c>
      <c r="AV92" s="166">
        <v>357</v>
      </c>
      <c r="AW92" s="166">
        <v>394.58</v>
      </c>
      <c r="AX92" s="166">
        <v>383.13</v>
      </c>
      <c r="AY92" s="312">
        <v>435.67899999999997</v>
      </c>
      <c r="AZ92" s="312">
        <v>661.86599999999999</v>
      </c>
      <c r="BA92" s="312">
        <v>684.07799999999997</v>
      </c>
      <c r="BB92" s="312">
        <v>626.92100000000005</v>
      </c>
      <c r="BC92" s="312">
        <v>677.29000000000008</v>
      </c>
      <c r="BD92" s="312">
        <v>578.70000000000005</v>
      </c>
      <c r="BE92" s="312">
        <v>498.27499999999998</v>
      </c>
      <c r="BF92" s="312">
        <v>569.5</v>
      </c>
      <c r="BG92" s="312">
        <v>-105.599</v>
      </c>
      <c r="BH92" s="312">
        <f>-0.1+56.1-13.1</f>
        <v>42.9</v>
      </c>
      <c r="BI92" s="73"/>
      <c r="BJ92" s="166">
        <v>0</v>
      </c>
      <c r="BK92" s="166">
        <v>0</v>
      </c>
      <c r="BL92" s="166">
        <v>0</v>
      </c>
      <c r="BM92" s="166">
        <v>0</v>
      </c>
      <c r="BN92" s="166">
        <v>0</v>
      </c>
      <c r="BO92" s="166">
        <v>0</v>
      </c>
      <c r="BP92" s="166">
        <v>0</v>
      </c>
      <c r="BQ92" s="166">
        <v>0</v>
      </c>
      <c r="BR92" s="166">
        <v>0</v>
      </c>
      <c r="BS92" s="166">
        <v>229.1</v>
      </c>
      <c r="BT92" s="166">
        <f t="shared" si="67"/>
        <v>262.39999999999998</v>
      </c>
      <c r="BU92" s="166">
        <f t="shared" si="58"/>
        <v>332.04300000000001</v>
      </c>
      <c r="BV92" s="166">
        <f t="shared" si="59"/>
        <v>435.67899999999997</v>
      </c>
      <c r="BW92" s="166">
        <f t="shared" si="60"/>
        <v>677.29000000000008</v>
      </c>
      <c r="BX92" s="166">
        <f t="shared" si="61"/>
        <v>-105.599</v>
      </c>
    </row>
    <row r="93" spans="1:76" s="48" customFormat="1" x14ac:dyDescent="0.35">
      <c r="A93" s="7"/>
      <c r="B93" s="54" t="str">
        <f>IF(Control!$D$5=1,"Shareholders' Equity","Patrimônio Líquido")</f>
        <v>Shareholders' Equity</v>
      </c>
      <c r="C93" s="168">
        <f t="shared" ref="C93:AT93" si="68">+C83+C85+C90+C89+C92+C84+C91</f>
        <v>81.847999999999999</v>
      </c>
      <c r="D93" s="168">
        <f t="shared" si="68"/>
        <v>109.45399999999999</v>
      </c>
      <c r="E93" s="168" t="e">
        <f t="shared" si="68"/>
        <v>#VALUE!</v>
      </c>
      <c r="F93" s="168" t="e">
        <f t="shared" si="68"/>
        <v>#VALUE!</v>
      </c>
      <c r="G93" s="168">
        <f t="shared" si="68"/>
        <v>166.309</v>
      </c>
      <c r="H93" s="168">
        <f t="shared" si="68"/>
        <v>170.113</v>
      </c>
      <c r="I93" s="168">
        <f t="shared" si="68"/>
        <v>189.97099999999998</v>
      </c>
      <c r="J93" s="168">
        <f t="shared" si="68"/>
        <v>185.78700000000001</v>
      </c>
      <c r="K93" s="168">
        <f t="shared" si="68"/>
        <v>195.751</v>
      </c>
      <c r="L93" s="168">
        <f t="shared" si="68"/>
        <v>216.93100000000001</v>
      </c>
      <c r="M93" s="168">
        <f t="shared" si="68"/>
        <v>218.49900000000002</v>
      </c>
      <c r="N93" s="168">
        <f t="shared" si="68"/>
        <v>227.988</v>
      </c>
      <c r="O93" s="168">
        <f t="shared" si="68"/>
        <v>305.61</v>
      </c>
      <c r="P93" s="168">
        <f t="shared" si="68"/>
        <v>321.58600000000007</v>
      </c>
      <c r="Q93" s="168">
        <f t="shared" si="68"/>
        <v>329.29900000000004</v>
      </c>
      <c r="R93" s="168">
        <f t="shared" si="68"/>
        <v>627.75299999999993</v>
      </c>
      <c r="S93" s="168">
        <f t="shared" si="68"/>
        <v>643.38799999999992</v>
      </c>
      <c r="T93" s="168">
        <f t="shared" si="68"/>
        <v>709.12799999999993</v>
      </c>
      <c r="U93" s="168">
        <f t="shared" si="68"/>
        <v>755.36500000000001</v>
      </c>
      <c r="V93" s="168">
        <f t="shared" si="68"/>
        <v>801.05500000000006</v>
      </c>
      <c r="W93" s="168">
        <f t="shared" si="68"/>
        <v>849.3</v>
      </c>
      <c r="X93" s="168">
        <f t="shared" si="68"/>
        <v>912.76699999999994</v>
      </c>
      <c r="Y93" s="168">
        <f t="shared" si="68"/>
        <v>975.18099999999993</v>
      </c>
      <c r="Z93" s="168">
        <f t="shared" si="68"/>
        <v>989.63800000000003</v>
      </c>
      <c r="AA93" s="168">
        <f t="shared" si="68"/>
        <v>985.99300000000005</v>
      </c>
      <c r="AB93" s="168">
        <f t="shared" si="68"/>
        <v>1012.872</v>
      </c>
      <c r="AC93" s="168">
        <f t="shared" si="68"/>
        <v>1040.5610000000001</v>
      </c>
      <c r="AD93" s="168">
        <f t="shared" si="68"/>
        <v>1103.498</v>
      </c>
      <c r="AE93" s="168">
        <f t="shared" si="68"/>
        <v>1143.7539999999999</v>
      </c>
      <c r="AF93" s="168">
        <f t="shared" si="68"/>
        <v>1214.528</v>
      </c>
      <c r="AG93" s="168">
        <f t="shared" si="68"/>
        <v>1319.894</v>
      </c>
      <c r="AH93" s="168">
        <f t="shared" si="68"/>
        <v>1377.1100000000001</v>
      </c>
      <c r="AI93" s="168">
        <f t="shared" si="68"/>
        <v>1426.4380000000001</v>
      </c>
      <c r="AJ93" s="168">
        <f t="shared" si="68"/>
        <v>1411.704</v>
      </c>
      <c r="AK93" s="168">
        <f t="shared" si="68"/>
        <v>1376.0750000000003</v>
      </c>
      <c r="AL93" s="168">
        <f t="shared" si="68"/>
        <v>1434.7449999999999</v>
      </c>
      <c r="AM93" s="168">
        <f t="shared" si="68"/>
        <v>1360.6999999999998</v>
      </c>
      <c r="AN93" s="168">
        <f t="shared" si="68"/>
        <v>1341.4880000000001</v>
      </c>
      <c r="AO93" s="168">
        <f t="shared" si="68"/>
        <v>1375.951</v>
      </c>
      <c r="AP93" s="168">
        <f t="shared" si="68"/>
        <v>1821.009</v>
      </c>
      <c r="AQ93" s="168">
        <f t="shared" si="68"/>
        <v>1821.1000000000004</v>
      </c>
      <c r="AR93" s="168">
        <f t="shared" si="68"/>
        <v>1920.5</v>
      </c>
      <c r="AS93" s="168">
        <f t="shared" si="68"/>
        <v>2042.6</v>
      </c>
      <c r="AT93" s="168">
        <f t="shared" si="68"/>
        <v>2091.1999999999998</v>
      </c>
      <c r="AU93" s="168">
        <f>+AU83+AU85+AU90+AU89+AU92+AU84+AU91</f>
        <v>2169.1150000000002</v>
      </c>
      <c r="AV93" s="168">
        <f>+AV83+AV85+AV90+AV89+AV92+AV84+AV91</f>
        <v>2238.8999999999996</v>
      </c>
      <c r="AW93" s="168">
        <f>+AW83+AW85+AW90+AW89+AW92+AW84+AW91</f>
        <v>2258.4639999999999</v>
      </c>
      <c r="AX93" s="168">
        <f>+AX83+AX85+AX90+AX89+AX92+AX84+AX91</f>
        <v>2123.2019999999998</v>
      </c>
      <c r="AY93" s="168">
        <f t="shared" ref="AY93:BE93" si="69">+AY83+AY85+AY90+AY89+AY92+AY84+AY91</f>
        <v>2249.357</v>
      </c>
      <c r="AZ93" s="168">
        <f t="shared" si="69"/>
        <v>2587.1889999999999</v>
      </c>
      <c r="BA93" s="168">
        <f t="shared" si="69"/>
        <v>2688.5509999999999</v>
      </c>
      <c r="BB93" s="168">
        <f t="shared" si="69"/>
        <v>2761.2689999999998</v>
      </c>
      <c r="BC93" s="168">
        <f t="shared" si="69"/>
        <v>2708.7220000000002</v>
      </c>
      <c r="BD93" s="168">
        <f t="shared" si="69"/>
        <v>2699.7019999999993</v>
      </c>
      <c r="BE93" s="168">
        <f t="shared" si="69"/>
        <v>2703.2180000000003</v>
      </c>
      <c r="BF93" s="168">
        <f>+BF83+BF85+BF90+BF89+BF92+BF84+BF91</f>
        <v>2872.549</v>
      </c>
      <c r="BG93" s="168">
        <f>+BG83+BG85+BG90+BG89+BG92+BG84+BG91</f>
        <v>2878.982</v>
      </c>
      <c r="BH93" s="168">
        <f>+BH83+BH85+BH90+BH89+BH92+BH84+BH91</f>
        <v>2801.607</v>
      </c>
      <c r="BI93" s="73"/>
      <c r="BJ93" s="168">
        <f t="shared" ref="BJ93:BT93" si="70">+BJ83+BJ85+BJ90+BJ89+BJ92+BJ84</f>
        <v>81.847999999999999</v>
      </c>
      <c r="BK93" s="168">
        <f t="shared" si="70"/>
        <v>166.309</v>
      </c>
      <c r="BL93" s="168">
        <f t="shared" si="70"/>
        <v>195.751</v>
      </c>
      <c r="BM93" s="168">
        <f t="shared" si="70"/>
        <v>305.61</v>
      </c>
      <c r="BN93" s="168">
        <f t="shared" si="70"/>
        <v>643.38799999999992</v>
      </c>
      <c r="BO93" s="168">
        <f t="shared" si="70"/>
        <v>849.3</v>
      </c>
      <c r="BP93" s="168">
        <f t="shared" si="70"/>
        <v>985.99300000000005</v>
      </c>
      <c r="BQ93" s="168">
        <f t="shared" si="70"/>
        <v>1143.7539999999999</v>
      </c>
      <c r="BR93" s="168">
        <f t="shared" si="70"/>
        <v>1426.4380000000001</v>
      </c>
      <c r="BS93" s="168">
        <f t="shared" si="70"/>
        <v>1360.6999999999998</v>
      </c>
      <c r="BT93" s="168">
        <f t="shared" si="70"/>
        <v>1821.1000000000004</v>
      </c>
      <c r="BU93" s="168">
        <f>+BU83+BU85+BU90+BU89+BU92+BU84</f>
        <v>2169.1150000000002</v>
      </c>
      <c r="BV93" s="168">
        <f>+BV83+BV85+BV90+BV89+BV92+BV84</f>
        <v>2249.357</v>
      </c>
      <c r="BW93" s="168">
        <f t="shared" si="60"/>
        <v>2708.7220000000002</v>
      </c>
      <c r="BX93" s="168">
        <f t="shared" si="61"/>
        <v>2878.982</v>
      </c>
    </row>
    <row r="94" spans="1:76" ht="6.75" customHeight="1" x14ac:dyDescent="0.35">
      <c r="B94" s="1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73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</row>
    <row r="95" spans="1:76" s="23" customFormat="1" x14ac:dyDescent="0.35">
      <c r="A95" s="7"/>
      <c r="B95" s="54" t="str">
        <f>IF(Control!$D$5=1,"Total Liabilities &amp; Equity","Passivo Total &amp; Patrimônio Líquido")</f>
        <v>Total Liabilities &amp; Equity</v>
      </c>
      <c r="C95" s="168">
        <f>C81+C93</f>
        <v>449.45200000000006</v>
      </c>
      <c r="D95" s="168">
        <f>D81+D93</f>
        <v>800.92399999999998</v>
      </c>
      <c r="E95" s="168" t="s">
        <v>2</v>
      </c>
      <c r="F95" s="168" t="s">
        <v>2</v>
      </c>
      <c r="G95" s="168">
        <f t="shared" ref="G95:AT95" si="71">G81+G93</f>
        <v>747.62599999999998</v>
      </c>
      <c r="H95" s="168">
        <f t="shared" si="71"/>
        <v>912.13599999999997</v>
      </c>
      <c r="I95" s="168">
        <f t="shared" si="71"/>
        <v>763.9620000000001</v>
      </c>
      <c r="J95" s="168">
        <f t="shared" si="71"/>
        <v>709.14499999999998</v>
      </c>
      <c r="K95" s="168">
        <f t="shared" si="71"/>
        <v>958.81</v>
      </c>
      <c r="L95" s="168">
        <f t="shared" si="71"/>
        <v>1195.3290000000002</v>
      </c>
      <c r="M95" s="168">
        <f t="shared" si="71"/>
        <v>1121.271</v>
      </c>
      <c r="N95" s="168">
        <f t="shared" si="71"/>
        <v>1075.6610000000001</v>
      </c>
      <c r="O95" s="168">
        <f t="shared" si="71"/>
        <v>1115.1869999999999</v>
      </c>
      <c r="P95" s="168">
        <f t="shared" si="71"/>
        <v>1628.087</v>
      </c>
      <c r="Q95" s="168">
        <f t="shared" si="71"/>
        <v>1599.1669999999999</v>
      </c>
      <c r="R95" s="168">
        <f t="shared" si="71"/>
        <v>1877.6669999999999</v>
      </c>
      <c r="S95" s="168">
        <f t="shared" si="71"/>
        <v>2029.0559999999998</v>
      </c>
      <c r="T95" s="168">
        <f t="shared" si="71"/>
        <v>2440.7129999999997</v>
      </c>
      <c r="U95" s="168">
        <f t="shared" si="71"/>
        <v>2323.6819999999998</v>
      </c>
      <c r="V95" s="168">
        <f t="shared" si="71"/>
        <v>2773.0920000000001</v>
      </c>
      <c r="W95" s="168">
        <f t="shared" si="71"/>
        <v>2737.3820000000001</v>
      </c>
      <c r="X95" s="168">
        <f t="shared" si="71"/>
        <v>3170.8429999999998</v>
      </c>
      <c r="Y95" s="168">
        <f t="shared" si="71"/>
        <v>3227.6410000000001</v>
      </c>
      <c r="Z95" s="168">
        <f t="shared" si="71"/>
        <v>3083.268</v>
      </c>
      <c r="AA95" s="168">
        <f t="shared" si="71"/>
        <v>3001.799</v>
      </c>
      <c r="AB95" s="168">
        <f t="shared" si="71"/>
        <v>3401.2639999999997</v>
      </c>
      <c r="AC95" s="168">
        <f t="shared" si="71"/>
        <v>3339.511</v>
      </c>
      <c r="AD95" s="168">
        <f t="shared" si="71"/>
        <v>3450.5639999999999</v>
      </c>
      <c r="AE95" s="168">
        <f t="shared" si="71"/>
        <v>3265.7579999999998</v>
      </c>
      <c r="AF95" s="168">
        <f t="shared" si="71"/>
        <v>3819.3300000000008</v>
      </c>
      <c r="AG95" s="168">
        <f t="shared" si="71"/>
        <v>3878.0860000000002</v>
      </c>
      <c r="AH95" s="168">
        <f t="shared" si="71"/>
        <v>3794.9510000000005</v>
      </c>
      <c r="AI95" s="168">
        <f t="shared" si="71"/>
        <v>3741.8520000000008</v>
      </c>
      <c r="AJ95" s="168">
        <f t="shared" si="71"/>
        <v>3998.915</v>
      </c>
      <c r="AK95" s="168">
        <f t="shared" si="71"/>
        <v>3859.5909999999999</v>
      </c>
      <c r="AL95" s="168">
        <f t="shared" si="71"/>
        <v>3756.4909999999995</v>
      </c>
      <c r="AM95" s="168">
        <f t="shared" si="71"/>
        <v>3830.6</v>
      </c>
      <c r="AN95" s="168">
        <f t="shared" si="71"/>
        <v>3944.9310000000005</v>
      </c>
      <c r="AO95" s="168">
        <f t="shared" si="71"/>
        <v>3783.0450000000001</v>
      </c>
      <c r="AP95" s="168">
        <f t="shared" si="71"/>
        <v>3669.453</v>
      </c>
      <c r="AQ95" s="168">
        <f t="shared" si="71"/>
        <v>3781.2</v>
      </c>
      <c r="AR95" s="168">
        <f t="shared" si="71"/>
        <v>4427.3999999999996</v>
      </c>
      <c r="AS95" s="168">
        <f t="shared" si="71"/>
        <v>4394.2999999999993</v>
      </c>
      <c r="AT95" s="168">
        <f t="shared" si="71"/>
        <v>4317.2</v>
      </c>
      <c r="AU95" s="168">
        <f>AU81+AU93</f>
        <v>4436.6190000000006</v>
      </c>
      <c r="AV95" s="168">
        <f>AV81+AV93</f>
        <v>5651.5999999999995</v>
      </c>
      <c r="AW95" s="168">
        <f t="shared" ref="AW95:BD95" si="72">AW81+AW93</f>
        <v>5390.0239999999994</v>
      </c>
      <c r="AX95" s="168">
        <f t="shared" si="72"/>
        <v>5174.9429999999993</v>
      </c>
      <c r="AY95" s="168">
        <f t="shared" si="72"/>
        <v>4809.3739999999998</v>
      </c>
      <c r="AZ95" s="168">
        <f t="shared" si="72"/>
        <v>7320.1280000000006</v>
      </c>
      <c r="BA95" s="168">
        <f t="shared" si="72"/>
        <v>6566.4039999999995</v>
      </c>
      <c r="BB95" s="168">
        <f t="shared" si="72"/>
        <v>6604.18</v>
      </c>
      <c r="BC95" s="168">
        <f t="shared" si="72"/>
        <v>6166.8</v>
      </c>
      <c r="BD95" s="168">
        <f t="shared" si="72"/>
        <v>7426.4920000000002</v>
      </c>
      <c r="BE95" s="168">
        <f>BE81+BE93</f>
        <v>6690.9202407199991</v>
      </c>
      <c r="BF95" s="168">
        <f>BF81+BF93</f>
        <v>8117.9870000000001</v>
      </c>
      <c r="BG95" s="168">
        <f>BG81+BG93</f>
        <v>7930.9500000000007</v>
      </c>
      <c r="BH95" s="168">
        <f>BH81+BH93</f>
        <v>8624.875</v>
      </c>
      <c r="BI95" s="73"/>
      <c r="BJ95" s="168">
        <f t="shared" ref="BJ95:BT95" si="73">BJ81+BJ93</f>
        <v>449.45200000000006</v>
      </c>
      <c r="BK95" s="168">
        <f t="shared" si="73"/>
        <v>747.62599999999998</v>
      </c>
      <c r="BL95" s="168">
        <f t="shared" si="73"/>
        <v>958.81</v>
      </c>
      <c r="BM95" s="168">
        <f t="shared" si="73"/>
        <v>1115.1869999999999</v>
      </c>
      <c r="BN95" s="168">
        <f t="shared" si="73"/>
        <v>2029.0559999999998</v>
      </c>
      <c r="BO95" s="168">
        <f t="shared" si="73"/>
        <v>2737.3820000000001</v>
      </c>
      <c r="BP95" s="168">
        <f t="shared" si="73"/>
        <v>3001.799</v>
      </c>
      <c r="BQ95" s="168">
        <f t="shared" si="73"/>
        <v>3265.7579999999998</v>
      </c>
      <c r="BR95" s="168">
        <f t="shared" si="73"/>
        <v>3741.8520000000008</v>
      </c>
      <c r="BS95" s="168">
        <f t="shared" si="73"/>
        <v>3830.6</v>
      </c>
      <c r="BT95" s="168">
        <f t="shared" si="73"/>
        <v>3781.2</v>
      </c>
      <c r="BU95" s="168">
        <f>BU81+BU93</f>
        <v>4436.6190000000006</v>
      </c>
      <c r="BV95" s="168">
        <f>BV81+BV93</f>
        <v>4809.3739999999998</v>
      </c>
      <c r="BW95" s="168">
        <f>BC95</f>
        <v>6166.8</v>
      </c>
      <c r="BX95" s="168">
        <f>BG95</f>
        <v>7930.9500000000007</v>
      </c>
    </row>
    <row r="96" spans="1:76" s="61" customFormat="1" x14ac:dyDescent="0.35">
      <c r="A96" s="7"/>
      <c r="B96" s="60"/>
      <c r="C96" s="62" t="str">
        <f>IF(Control!$D$5=1,IF(ROUNDDOWN(C95,0)=ROUNDDOWN(C48,0),"","ERROR!"),IF(ROUNDDOWN(C95,0)=ROUNDDOWN(C48,0),"","ERRO!"))</f>
        <v/>
      </c>
      <c r="D96" s="62" t="str">
        <f>IF(Control!$D$5=1,IF(ROUNDDOWN(D95,0)=ROUNDDOWN(D48,0),"","ERROR!"),IF(ROUNDDOWN(D95,0)=ROUNDDOWN(D48,0),"","ERRO!"))</f>
        <v/>
      </c>
      <c r="E96" s="62"/>
      <c r="F96" s="62"/>
      <c r="G96" s="62" t="str">
        <f>IF(Control!$D$5=1,IF(ROUNDDOWN(G95,0)=ROUNDDOWN(G48,0),"","ERROR!"),IF(ROUNDDOWN(G95,0)=ROUNDDOWN(G48,0),"","ERRO!"))</f>
        <v/>
      </c>
      <c r="H96" s="62" t="str">
        <f>IF(Control!$D$5=1,IF(ROUNDDOWN(H95,0)=ROUNDDOWN(H48,0),"","ERROR!"),IF(ROUNDDOWN(H95,0)=ROUNDDOWN(H48,0),"","ERRO!"))</f>
        <v/>
      </c>
      <c r="I96" s="62" t="str">
        <f>IF(Control!$D$5=1,IF(ROUNDDOWN(I95,0)=ROUNDDOWN(I48,0),"","ERROR!"),IF(ROUNDDOWN(I95,0)=ROUNDDOWN(I48,0),"","ERRO!"))</f>
        <v/>
      </c>
      <c r="J96" s="62" t="str">
        <f>IF(Control!$D$5=1,IF(ROUNDDOWN(J95,0)=ROUNDDOWN(J48,0),"","ERROR!"),IF(ROUNDDOWN(J95,0)=ROUNDDOWN(J48,0),"","ERRO!"))</f>
        <v/>
      </c>
      <c r="K96" s="62" t="str">
        <f>IF(Control!$D$5=1,IF(ROUNDDOWN(K95,0)=ROUNDDOWN(K48,0),"","ERROR!"),IF(ROUNDDOWN(K95,0)=ROUNDDOWN(K48,0),"","ERRO!"))</f>
        <v/>
      </c>
      <c r="L96" s="62" t="str">
        <f>IF(Control!$D$5=1,IF(ROUNDDOWN(L95,0)=ROUNDDOWN(L48,0),"","ERROR!"),IF(ROUNDDOWN(L95,0)=ROUNDDOWN(L48,0),"","ERRO!"))</f>
        <v/>
      </c>
      <c r="M96" s="62" t="str">
        <f>IF(Control!$D$5=1,IF(ROUNDDOWN(M95,0)=ROUNDDOWN(M48,0),"","ERROR!"),IF(ROUNDDOWN(M95,0)=ROUNDDOWN(M48,0),"","ERRO!"))</f>
        <v/>
      </c>
      <c r="N96" s="62" t="str">
        <f>IF(Control!$D$5=1,IF(ROUNDDOWN(N95,0)=ROUNDDOWN(N48,0),"","ERROR!"),IF(ROUNDDOWN(N95,0)=ROUNDDOWN(N48,0),"","ERRO!"))</f>
        <v/>
      </c>
      <c r="O96" s="62" t="str">
        <f>IF(Control!$D$5=1,IF(ROUNDDOWN(O95,0)=ROUNDDOWN(O48,0),"","ERROR!"),IF(ROUNDDOWN(O95,0)=ROUNDDOWN(O48,0),"","ERRO!"))</f>
        <v/>
      </c>
      <c r="P96" s="62" t="str">
        <f>IF(Control!$D$5=1,IF(ROUNDDOWN(P95,0)=ROUNDDOWN(P48,0),"","ERROR!"),IF(ROUNDDOWN(P95,0)=ROUNDDOWN(P48,0),"","ERRO!"))</f>
        <v/>
      </c>
      <c r="Q96" s="62" t="str">
        <f>IF(Control!$D$5=1,IF(ROUNDDOWN(Q95,0)=ROUNDDOWN(Q48,0),"","ERROR!"),IF(ROUNDDOWN(Q95,0)=ROUNDDOWN(Q48,0),"","ERRO!"))</f>
        <v/>
      </c>
      <c r="R96" s="62" t="str">
        <f>IF(Control!$D$5=1,IF(ROUNDDOWN(R95,0)=ROUNDDOWN(R48,0),"","ERROR!"),IF(ROUNDDOWN(R95,0)=ROUNDDOWN(R48,0),"","ERRO!"))</f>
        <v/>
      </c>
      <c r="S96" s="62" t="str">
        <f>IF(Control!$D$5=1,IF(ROUNDDOWN(S95,0)=ROUNDDOWN(S48,0),"","ERROR!"),IF(ROUNDDOWN(S95,0)=ROUNDDOWN(S48,0),"","ERRO!"))</f>
        <v/>
      </c>
      <c r="T96" s="62" t="str">
        <f>IF(Control!$D$5=1,IF(ROUNDDOWN(T95,0)=ROUNDDOWN(T48,0),"","ERROR!"),IF(ROUNDDOWN(T95,0)=ROUNDDOWN(T48,0),"","ERRO!"))</f>
        <v/>
      </c>
      <c r="U96" s="62" t="str">
        <f>IF(Control!$D$5=1,IF(ROUNDDOWN(U95,0)=ROUNDDOWN(U48,0),"","ERROR!"),IF(ROUNDDOWN(U95,0)=ROUNDDOWN(U48,0),"","ERRO!"))</f>
        <v/>
      </c>
      <c r="V96" s="62" t="str">
        <f>IF(Control!$D$5=1,IF(ROUNDDOWN(V95,0)=ROUNDDOWN(V48,0),"","ERROR!"),IF(ROUNDDOWN(V95,0)=ROUNDDOWN(V48,0),"","ERRO!"))</f>
        <v/>
      </c>
      <c r="W96" s="62" t="str">
        <f>IF(Control!$D$5=1,IF(ROUNDDOWN(W95,0)=ROUNDDOWN(W48,0),"","ERROR!"),IF(ROUNDDOWN(W95,0)=ROUNDDOWN(W48,0),"","ERRO!"))</f>
        <v/>
      </c>
      <c r="X96" s="62" t="str">
        <f>IF(Control!$D$5=1,IF(ROUNDDOWN(X95,0)=ROUNDDOWN(X48,0),"","ERROR!"),IF(ROUNDDOWN(X95,0)=ROUNDDOWN(X48,0),"","ERRO!"))</f>
        <v/>
      </c>
      <c r="Y96" s="62" t="str">
        <f>IF(Control!$D$5=1,IF(ROUNDDOWN(Y95,0)=ROUNDDOWN(Y48,0),"","ERROR!"),IF(ROUNDDOWN(Y95,0)=ROUNDDOWN(Y48,0),"","ERRO!"))</f>
        <v/>
      </c>
      <c r="Z96" s="62" t="str">
        <f>IF(Control!$D$5=1,IF(ROUNDDOWN(Z95,0)=ROUNDDOWN(Z48,0),"","ERROR!"),IF(ROUNDDOWN(Z95,0)=ROUNDDOWN(Z48,0),"","ERRO!"))</f>
        <v/>
      </c>
      <c r="AA96" s="62" t="str">
        <f>IF(Control!$D$5=1,IF(ROUNDDOWN(AA95,0)=ROUNDDOWN(AA48,0),"","ERROR!"),IF(ROUNDDOWN(AA95,0)=ROUNDDOWN(AA48,0),"","ERRO!"))</f>
        <v/>
      </c>
      <c r="AB96" s="62" t="str">
        <f>IF(Control!$D$5=1,IF(ROUNDDOWN(AB95,0)=ROUNDDOWN(AB48,0),"","ERROR!"),IF(ROUNDDOWN(AB95,0)=ROUNDDOWN(AB48,0),"","ERRO!"))</f>
        <v/>
      </c>
      <c r="AC96" s="62" t="str">
        <f>IF(Control!$D$5=1,IF(ROUNDDOWN(AC95,0)=ROUNDDOWN(AC48,0),"","ERROR!"),IF(ROUNDDOWN(AC95,0)=ROUNDDOWN(AC48,0),"","ERRO!"))</f>
        <v/>
      </c>
      <c r="AD96" s="62" t="str">
        <f>IF(Control!$D$5=1,IF(ROUNDDOWN(AD95,0)=ROUNDDOWN(AD48,0),"","ERROR!"),IF(ROUNDDOWN(AD95,0)=ROUNDDOWN(AD48,0),"","ERRO!"))</f>
        <v/>
      </c>
      <c r="AE96" s="62" t="str">
        <f>IF(Control!$D$5=1,IF(ROUNDDOWN(AE95,0)=ROUNDDOWN(AE48,0),"","ERROR!"),IF(ROUNDDOWN(AE95,0)=ROUNDDOWN(AE48,0),"","ERRO!"))</f>
        <v/>
      </c>
      <c r="AF96" s="62" t="str">
        <f>IF(Control!$D$5=1,IF(ROUNDDOWN(AF95,0)=ROUNDDOWN(AF48,0),"","ERROR!"),IF(ROUNDDOWN(AF95,0)=ROUNDDOWN(AF48,0),"","ERRO!"))</f>
        <v/>
      </c>
      <c r="AG96" s="62" t="str">
        <f>IF(Control!$D$5=1,IF(ROUNDDOWN(AG95,0)=ROUNDDOWN(AG48,0),"","ERROR!"),IF(ROUNDDOWN(AG95,0)=ROUNDDOWN(AG48,0),"","ERRO!"))</f>
        <v/>
      </c>
      <c r="AH96" s="62" t="str">
        <f>IF(Control!$D$5=1,IF(ROUNDDOWN(AH95,0)=ROUNDDOWN(AH48,0),"","ERROR!"),IF(ROUNDDOWN(AH95,0)=ROUNDDOWN(AH48,0),"","ERRO!"))</f>
        <v/>
      </c>
      <c r="AI96" s="62" t="str">
        <f>IF(Control!$D$5=1,IF(ROUNDDOWN(AI95,0)=ROUNDDOWN(AI48,0),"","ERROR!"),IF(ROUNDDOWN(AI95,0)=ROUNDDOWN(AI48,0),"","ERRO!"))</f>
        <v/>
      </c>
      <c r="AJ96" s="62" t="str">
        <f>IF(Control!$D$5=1,IF(ROUNDDOWN(AJ95,0)=ROUNDDOWN(AJ48,0),"","ERROR!"),IF(ROUNDDOWN(AJ95,0)=ROUNDDOWN(AJ48,0),"","ERRO!"))</f>
        <v/>
      </c>
      <c r="AK96" s="62" t="str">
        <f>IF(Control!$D$5=1,IF(ROUNDDOWN(AK95,0)=ROUNDDOWN(AK48,0),"","ERROR!"),IF(ROUNDDOWN(AK95,0)=ROUNDDOWN(AK48,0),"","ERRO!"))</f>
        <v/>
      </c>
      <c r="AL96" s="62" t="str">
        <f>IF(Control!$D$5=1,IF(ROUNDDOWN(AL95,0)=ROUNDDOWN(AL48,0),"","ERROR!"),IF(ROUNDDOWN(AL95,0)=ROUNDDOWN(AL48,0),"","ERRO!"))</f>
        <v/>
      </c>
      <c r="AM96" s="62" t="str">
        <f>IF(Control!$D$5=1,IF(ROUNDDOWN(AM95,0)=ROUNDDOWN(AM48,0),"","ERROR!"),IF(ROUNDDOWN(AM95,0)=ROUNDDOWN(AM48,0),"","ERRO!"))</f>
        <v/>
      </c>
      <c r="AN96" s="62" t="str">
        <f>IF(Control!$D$5=1,IF(ROUNDDOWN(AN95,0)=ROUNDDOWN(AN48,0),"","ERROR!"),IF(ROUNDDOWN(AN95,0)=ROUNDDOWN(AN48,0),"","ERRO!"))</f>
        <v/>
      </c>
      <c r="AO96" s="62" t="str">
        <f>IF(Control!$D$5=1,IF(ROUNDDOWN(AO95,0)=ROUNDDOWN(AO48,0),"","ERROR!"),IF(ROUNDDOWN(AO95,0)=ROUNDDOWN(AO48,0),"","ERRO!"))</f>
        <v/>
      </c>
      <c r="AP96" s="62" t="str">
        <f>IF(Control!$D$5=1,IF(ROUNDDOWN(AP95,0)=ROUNDDOWN(AP48,0),"","ERROR!"),IF(ROUNDDOWN(AP95,0)=ROUNDDOWN(AP48,0),"","ERRO!"))</f>
        <v/>
      </c>
      <c r="AQ96" s="62" t="str">
        <f>IF(Control!$D$5=1,IF(ROUNDDOWN(AQ95,0)=ROUNDDOWN(AQ48,0),"","ERROR!"),IF(ROUNDDOWN(AQ95,0)=ROUNDDOWN(AQ48,0),"","ERRO!"))</f>
        <v/>
      </c>
      <c r="AR96" s="62" t="str">
        <f>IF(Control!$D$5=1,IF(ROUNDDOWN(AR95,0)=ROUNDDOWN(AR48,0),"","ERROR!"),IF(ROUNDDOWN(AR95,0)=ROUNDDOWN(AR48,0),"","ERRO!"))</f>
        <v/>
      </c>
      <c r="AS96" s="62" t="str">
        <f>IF(Control!$D$5=1,IF(ROUNDDOWN(AS95,0)=ROUNDDOWN(AS48,0),"","ERROR!"),IF(ROUNDDOWN(AS95,0)=ROUNDDOWN(AS48,0),"","ERRO!"))</f>
        <v/>
      </c>
      <c r="AT96" s="62" t="str">
        <f>IF(Control!$D$5=1,IF(ROUNDDOWN(AT95,0)=ROUNDDOWN(AT48,0),"","ERROR!"),IF(ROUNDDOWN(AT95,0)=ROUNDDOWN(AT48,0),"","ERRO!"))</f>
        <v/>
      </c>
      <c r="AU96" s="62" t="str">
        <f>IF(Control!$D$5=1,IF(ROUNDDOWN(AU95,0)=ROUNDDOWN(AU48,0),"","ERROR!"),IF(ROUNDDOWN(AU95,0)=ROUNDDOWN(AU48,0),"","ERRO!"))</f>
        <v/>
      </c>
      <c r="AV96" s="62" t="str">
        <f>IF(Control!$D$5=1,IF(ROUNDDOWN(AV95,0)=ROUNDDOWN(AV48,0),"","ERROR!"),IF(ROUNDDOWN(AV95,0)=ROUNDDOWN(AV48,0),"","ERRO!"))</f>
        <v/>
      </c>
      <c r="AW96" s="62" t="str">
        <f>IF(Control!$D$5=1,IF(ROUNDDOWN(AW95,0)=ROUNDDOWN(AW48,0),"","ERROR!"),IF(ROUNDDOWN(AW95,0)=ROUNDDOWN(AW48,0),"","ERRO!"))</f>
        <v/>
      </c>
      <c r="AX96" s="62" t="str">
        <f>IF(Control!$D$5=1,IF(ROUNDDOWN(AX95,0)=ROUNDDOWN(AX48,0),"","ERROR!"),IF(ROUNDDOWN(AX95,0)=ROUNDDOWN(AX48,0),"","ERRO!"))</f>
        <v/>
      </c>
      <c r="AY96" s="62" t="str">
        <f>IF(Control!$D$5=1,IF(ROUNDDOWN(AY95,0)=ROUNDDOWN(AY48,0),"","ERROR!"),IF(ROUNDDOWN(AY95,0)=ROUNDDOWN(AY48,0),"","ERRO!"))</f>
        <v/>
      </c>
      <c r="AZ96" s="62" t="str">
        <f>IF(Control!$D$5=1,IF(ROUNDDOWN(AZ95,0)=ROUNDDOWN(AZ48,0),"","ERROR!"),IF(ROUNDDOWN(AZ95,0)=ROUNDDOWN(AZ48,0),"","ERRO!"))</f>
        <v/>
      </c>
      <c r="BA96" s="62" t="str">
        <f>IF(Control!$D$5=1,IF(ROUNDDOWN(BA95,0)=ROUNDDOWN(BA48,0),"","ERROR!"),IF(ROUNDDOWN(BA95,0)=ROUNDDOWN(BA48,0),"","ERRO!"))</f>
        <v/>
      </c>
      <c r="BB96" s="62" t="str">
        <f>IF(Control!$D$5=1,IF(ROUNDDOWN(BB95,0)=ROUNDDOWN(BB48,0),"","ERROR!"),IF(ROUNDDOWN(BB95,0)=ROUNDDOWN(BB48,0),"","ERRO!"))</f>
        <v/>
      </c>
      <c r="BC96" s="62"/>
      <c r="BD96" s="62"/>
      <c r="BE96" s="62"/>
      <c r="BF96" s="62"/>
      <c r="BG96" s="62"/>
      <c r="BH96" s="62"/>
      <c r="BI96" s="62" t="str">
        <f>IF(Control!$D$5=1,IF(ROUNDDOWN(BI95,0)=ROUNDDOWN(BI48,0),"","ERROR!"),IF(ROUNDDOWN(BI95,0)=ROUNDDOWN(BI48,0),"","ERRO!"))</f>
        <v/>
      </c>
      <c r="BJ96" s="62" t="str">
        <f>IF(Control!$D$5=1,IF(ROUNDDOWN(BJ95,0)=ROUNDDOWN(BJ48,0),"","ERROR!"),IF(ROUNDDOWN(BJ95,0)=ROUNDDOWN(BJ48,0),"","ERRO!"))</f>
        <v/>
      </c>
      <c r="BK96" s="62" t="str">
        <f>IF(Control!$D$5=1,IF(ROUNDDOWN(BK95,0)=ROUNDDOWN(BK48,0),"","ERROR!"),IF(ROUNDDOWN(BK95,0)=ROUNDDOWN(BK48,0),"","ERRO!"))</f>
        <v/>
      </c>
      <c r="BL96" s="62" t="str">
        <f>IF(Control!$D$5=1,IF(ROUNDDOWN(BL95,0)=ROUNDDOWN(BL48,0),"","ERROR!"),IF(ROUNDDOWN(BL95,0)=ROUNDDOWN(BL48,0),"","ERRO!"))</f>
        <v/>
      </c>
      <c r="BM96" s="62" t="str">
        <f>IF(Control!$D$5=1,IF(ROUNDDOWN(BM95,0)=ROUNDDOWN(BM48,0),"","ERROR!"),IF(ROUNDDOWN(BM95,0)=ROUNDDOWN(BM48,0),"","ERRO!"))</f>
        <v/>
      </c>
      <c r="BN96" s="62" t="str">
        <f>IF(Control!$D$5=1,IF(ROUNDDOWN(BN95,0)=ROUNDDOWN(BN48,0),"","ERROR!"),IF(ROUNDDOWN(BN95,0)=ROUNDDOWN(BN48,0),"","ERRO!"))</f>
        <v/>
      </c>
      <c r="BO96" s="62" t="str">
        <f>IF(Control!$D$5=1,IF(ROUNDDOWN(BO95,0)=ROUNDDOWN(BO48,0),"","ERROR!"),IF(ROUNDDOWN(BO95,0)=ROUNDDOWN(BO48,0),"","ERRO!"))</f>
        <v/>
      </c>
      <c r="BP96" s="62" t="str">
        <f>IF(Control!$D$5=1,IF(ROUNDDOWN(BP95,0)=ROUNDDOWN(BP48,0),"","ERROR!"),IF(ROUNDDOWN(BP95,0)=ROUNDDOWN(BP48,0),"","ERRO!"))</f>
        <v/>
      </c>
      <c r="BQ96" s="62" t="str">
        <f>IF(Control!$D$5=1,IF(ROUNDDOWN(BQ95,0)=ROUNDDOWN(BQ48,0),"","ERROR!"),IF(ROUNDDOWN(BQ95,0)=ROUNDDOWN(BQ48,0),"","ERRO!"))</f>
        <v/>
      </c>
      <c r="BR96" s="62" t="str">
        <f>IF(Control!$D$5=1,IF(ROUNDDOWN(BR95,0)=ROUNDDOWN(BR48,0),"","ERROR!"),IF(ROUNDDOWN(BR95,0)=ROUNDDOWN(BR48,0),"","ERRO!"))</f>
        <v/>
      </c>
      <c r="BS96" s="62" t="str">
        <f>IF(Control!$D$5=1,IF(ROUNDDOWN(BS95,0)=ROUNDDOWN(BS48,0),"","ERROR!"),IF(ROUNDDOWN(BS95,0)=ROUNDDOWN(BS48,0),"","ERRO!"))</f>
        <v/>
      </c>
      <c r="BT96" s="62" t="str">
        <f>IF(Control!$D$5=1,IF(ROUNDDOWN(BT95,0)=ROUNDDOWN(BT48,0),"","ERROR!"),IF(ROUNDDOWN(BT95,0)=ROUNDDOWN(BT48,0),"","ERRO!"))</f>
        <v/>
      </c>
      <c r="BU96" s="62" t="str">
        <f>IF(Control!$D$5=1,IF(ROUNDDOWN(BU95,0)=ROUNDDOWN(BU48,0),"","ERROR!"),IF(ROUNDDOWN(BU95,0)=ROUNDDOWN(BU48,0),"","ERRO!"))</f>
        <v/>
      </c>
      <c r="BV96" s="62" t="str">
        <f>IF(Control!$D$5=1,IF(ROUNDDOWN(BV95,0)=ROUNDDOWN(BV48,0),"","ERROR!"),IF(ROUNDDOWN(BV95,0)=ROUNDDOWN(BV48,0),"","ERRO!"))</f>
        <v/>
      </c>
      <c r="BW96" s="62"/>
      <c r="BX96" s="62"/>
    </row>
    <row r="97" spans="1:85" x14ac:dyDescent="0.35">
      <c r="B97" s="34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49"/>
      <c r="Y97" s="49"/>
      <c r="Z97" s="49"/>
      <c r="AA97" s="50"/>
      <c r="AB97" s="49"/>
      <c r="AC97" s="49"/>
      <c r="AD97" s="49"/>
      <c r="AE97" s="50"/>
      <c r="AF97" s="49"/>
      <c r="AG97" s="49"/>
      <c r="AH97" s="49"/>
      <c r="AI97" s="50"/>
      <c r="AJ97" s="49"/>
      <c r="AK97" s="49"/>
      <c r="AL97" s="49"/>
      <c r="AM97" s="50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73"/>
      <c r="BJ97" s="49"/>
      <c r="BK97" s="49"/>
      <c r="BL97" s="49"/>
      <c r="BM97" s="49"/>
      <c r="BN97" s="49"/>
      <c r="BO97" s="50"/>
      <c r="BP97" s="50"/>
      <c r="BQ97" s="50"/>
      <c r="BR97" s="50"/>
      <c r="BS97" s="50"/>
      <c r="BT97" s="50"/>
      <c r="BU97" s="50"/>
      <c r="BV97" s="50"/>
      <c r="BW97" s="50"/>
      <c r="BX97" s="50"/>
    </row>
    <row r="98" spans="1:85" s="23" customFormat="1" x14ac:dyDescent="0.35">
      <c r="A98" s="7"/>
      <c r="B98" s="54" t="str">
        <f>IF(Control!$D$5=1,"Total Debt","Endividamento Total")</f>
        <v>Total Debt</v>
      </c>
      <c r="C98" s="168">
        <f>C52+C54+C70+C72</f>
        <v>249.94299999999998</v>
      </c>
      <c r="D98" s="168">
        <f>D52+D54+D70+D72</f>
        <v>320.12</v>
      </c>
      <c r="E98" s="168" t="s">
        <v>2</v>
      </c>
      <c r="F98" s="168" t="s">
        <v>2</v>
      </c>
      <c r="G98" s="168">
        <f t="shared" ref="G98:AW98" si="74">G52+G54+G70+G72</f>
        <v>330.12800000000004</v>
      </c>
      <c r="H98" s="168">
        <f t="shared" si="74"/>
        <v>292.58199999999999</v>
      </c>
      <c r="I98" s="168">
        <f t="shared" si="74"/>
        <v>296.43399999999997</v>
      </c>
      <c r="J98" s="168">
        <f t="shared" si="74"/>
        <v>299.851</v>
      </c>
      <c r="K98" s="168">
        <f t="shared" si="74"/>
        <v>526.73199999999997</v>
      </c>
      <c r="L98" s="168">
        <f t="shared" si="74"/>
        <v>525.21900000000005</v>
      </c>
      <c r="M98" s="168">
        <f t="shared" si="74"/>
        <v>618.91799999999989</v>
      </c>
      <c r="N98" s="168">
        <f t="shared" si="74"/>
        <v>588.41899999999998</v>
      </c>
      <c r="O98" s="168">
        <f t="shared" si="74"/>
        <v>540.34400000000005</v>
      </c>
      <c r="P98" s="168">
        <f t="shared" si="74"/>
        <v>661.71699999999998</v>
      </c>
      <c r="Q98" s="168">
        <f t="shared" si="74"/>
        <v>789.37</v>
      </c>
      <c r="R98" s="168">
        <f t="shared" si="74"/>
        <v>767.66700000000003</v>
      </c>
      <c r="S98" s="168">
        <f t="shared" si="74"/>
        <v>834.85500000000002</v>
      </c>
      <c r="T98" s="168">
        <f t="shared" si="74"/>
        <v>910.04</v>
      </c>
      <c r="U98" s="168">
        <f t="shared" si="74"/>
        <v>980.91200000000003</v>
      </c>
      <c r="V98" s="168">
        <f t="shared" si="74"/>
        <v>1097.162</v>
      </c>
      <c r="W98" s="168">
        <f t="shared" si="74"/>
        <v>1054.01</v>
      </c>
      <c r="X98" s="168">
        <f t="shared" si="74"/>
        <v>1128.723</v>
      </c>
      <c r="Y98" s="168">
        <f t="shared" si="74"/>
        <v>1296.7380000000001</v>
      </c>
      <c r="Z98" s="168">
        <f t="shared" si="74"/>
        <v>1211.3389999999999</v>
      </c>
      <c r="AA98" s="168">
        <f t="shared" si="74"/>
        <v>1229.337</v>
      </c>
      <c r="AB98" s="168">
        <f t="shared" si="74"/>
        <v>1277.7449999999999</v>
      </c>
      <c r="AC98" s="168">
        <f t="shared" si="74"/>
        <v>1447.9969999999998</v>
      </c>
      <c r="AD98" s="168">
        <f t="shared" si="74"/>
        <v>1511.89</v>
      </c>
      <c r="AE98" s="168">
        <f t="shared" si="74"/>
        <v>1294.3800000000001</v>
      </c>
      <c r="AF98" s="168">
        <f t="shared" si="74"/>
        <v>1355.2849999999999</v>
      </c>
      <c r="AG98" s="168">
        <f t="shared" si="74"/>
        <v>1605.2759999999998</v>
      </c>
      <c r="AH98" s="168">
        <f t="shared" si="74"/>
        <v>1575.2350000000001</v>
      </c>
      <c r="AI98" s="168">
        <f t="shared" si="74"/>
        <v>1490.193</v>
      </c>
      <c r="AJ98" s="168">
        <f t="shared" si="74"/>
        <v>1338.8109999999999</v>
      </c>
      <c r="AK98" s="168">
        <f t="shared" si="74"/>
        <v>1613.3609999999999</v>
      </c>
      <c r="AL98" s="168">
        <f t="shared" si="74"/>
        <v>1460.623</v>
      </c>
      <c r="AM98" s="168">
        <f t="shared" si="74"/>
        <v>1657.3000000000002</v>
      </c>
      <c r="AN98" s="168">
        <f t="shared" si="74"/>
        <v>1398.2179999999998</v>
      </c>
      <c r="AO98" s="168">
        <f t="shared" si="74"/>
        <v>1636.163</v>
      </c>
      <c r="AP98" s="168">
        <f t="shared" si="74"/>
        <v>1170.0050000000001</v>
      </c>
      <c r="AQ98" s="168">
        <f t="shared" si="74"/>
        <v>1285.7</v>
      </c>
      <c r="AR98" s="168">
        <f t="shared" si="74"/>
        <v>1362.4</v>
      </c>
      <c r="AS98" s="168">
        <f t="shared" si="74"/>
        <v>1494.9</v>
      </c>
      <c r="AT98" s="168">
        <f t="shared" si="74"/>
        <v>1386</v>
      </c>
      <c r="AU98" s="168">
        <f t="shared" si="74"/>
        <v>1428.8590000000002</v>
      </c>
      <c r="AV98" s="168">
        <f t="shared" si="74"/>
        <v>2022.6999999999998</v>
      </c>
      <c r="AW98" s="168">
        <f t="shared" si="74"/>
        <v>2141.8200000000002</v>
      </c>
      <c r="AX98" s="168">
        <f>AX52+AX54+AX70+AX72</f>
        <v>2052.0329999999999</v>
      </c>
      <c r="AY98" s="168">
        <f>AY52+AY54+AY70+AY72</f>
        <v>1602.894</v>
      </c>
      <c r="AZ98" s="168">
        <f>AZ52+AZ54+AZ70+AZ72</f>
        <v>3042.47</v>
      </c>
      <c r="BA98" s="168">
        <f>BA52+BA54+BA70+BA72</f>
        <v>2580.9870000000001</v>
      </c>
      <c r="BB98" s="168">
        <f t="shared" ref="BB98:BH98" si="75">BB52+BB54+BB70+BB72</f>
        <v>2500.7539999999999</v>
      </c>
      <c r="BC98" s="168">
        <f t="shared" si="75"/>
        <v>2195.3209999999999</v>
      </c>
      <c r="BD98" s="168">
        <f t="shared" si="75"/>
        <v>2607.6589999999997</v>
      </c>
      <c r="BE98" s="168">
        <f t="shared" si="75"/>
        <v>2561.585</v>
      </c>
      <c r="BF98" s="168">
        <f t="shared" si="75"/>
        <v>3590.8980000000001</v>
      </c>
      <c r="BG98" s="168">
        <f t="shared" si="75"/>
        <v>3263.7300000000005</v>
      </c>
      <c r="BH98" s="168">
        <f t="shared" si="75"/>
        <v>3440.2660000000001</v>
      </c>
      <c r="BI98" s="73"/>
      <c r="BJ98" s="168">
        <f t="shared" ref="BJ98:BU98" si="76">BJ52+BJ54+BJ70+BJ72</f>
        <v>249.94299999999998</v>
      </c>
      <c r="BK98" s="168">
        <f t="shared" si="76"/>
        <v>330.12800000000004</v>
      </c>
      <c r="BL98" s="168">
        <f t="shared" si="76"/>
        <v>526.73199999999997</v>
      </c>
      <c r="BM98" s="168">
        <f t="shared" si="76"/>
        <v>540.34400000000005</v>
      </c>
      <c r="BN98" s="168">
        <f t="shared" si="76"/>
        <v>834.85500000000002</v>
      </c>
      <c r="BO98" s="168">
        <f t="shared" si="76"/>
        <v>1054.01</v>
      </c>
      <c r="BP98" s="168">
        <f t="shared" si="76"/>
        <v>1229.337</v>
      </c>
      <c r="BQ98" s="168">
        <f t="shared" si="76"/>
        <v>1294.3800000000001</v>
      </c>
      <c r="BR98" s="168">
        <f t="shared" si="76"/>
        <v>1490.193</v>
      </c>
      <c r="BS98" s="168">
        <f t="shared" si="76"/>
        <v>1657.3000000000002</v>
      </c>
      <c r="BT98" s="168">
        <f t="shared" si="76"/>
        <v>1285.7</v>
      </c>
      <c r="BU98" s="168">
        <f t="shared" si="76"/>
        <v>1428.8590000000002</v>
      </c>
      <c r="BV98" s="168">
        <f>BV52+BV54+BV70+BV72</f>
        <v>1602.894</v>
      </c>
      <c r="BW98" s="168">
        <f>BW52+BW54+BW70+BW72</f>
        <v>2195.3209999999999</v>
      </c>
      <c r="BX98" s="168">
        <f>BG98</f>
        <v>3263.7300000000005</v>
      </c>
    </row>
    <row r="99" spans="1:85" s="7" customFormat="1" ht="6.75" customHeight="1" outlineLevel="1" x14ac:dyDescent="0.35">
      <c r="B99" s="264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190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249"/>
      <c r="CF99" s="249"/>
    </row>
    <row r="100" spans="1:85" s="127" customFormat="1" outlineLevel="1" x14ac:dyDescent="0.35">
      <c r="A100" s="7"/>
      <c r="B100" s="26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190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</row>
    <row r="101" spans="1:85" s="7" customFormat="1" x14ac:dyDescent="0.35">
      <c r="B101" s="267" t="str">
        <f>IF(Control!$D$5=1,"Net Debt","Endividamento Líquido")</f>
        <v>Net Debt</v>
      </c>
      <c r="C101" s="76">
        <f>+C98-C10-C13-C28</f>
        <v>215.154</v>
      </c>
      <c r="D101" s="76">
        <f>+D98-D10-D13-D28</f>
        <v>297.15300000000002</v>
      </c>
      <c r="E101" s="76" t="s">
        <v>2</v>
      </c>
      <c r="F101" s="76" t="s">
        <v>2</v>
      </c>
      <c r="G101" s="76">
        <f t="shared" ref="G101:AZ101" si="77">+G98-G10-G13-G28</f>
        <v>236.93700000000004</v>
      </c>
      <c r="H101" s="76">
        <f t="shared" si="77"/>
        <v>174.71799999999999</v>
      </c>
      <c r="I101" s="76">
        <f t="shared" si="77"/>
        <v>206.68799999999996</v>
      </c>
      <c r="J101" s="76">
        <f t="shared" si="77"/>
        <v>181.941</v>
      </c>
      <c r="K101" s="76">
        <f t="shared" si="77"/>
        <v>269.31700000000001</v>
      </c>
      <c r="L101" s="76">
        <f t="shared" si="77"/>
        <v>309.48700000000008</v>
      </c>
      <c r="M101" s="76">
        <f t="shared" si="77"/>
        <v>380.7179999999999</v>
      </c>
      <c r="N101" s="76">
        <f t="shared" si="77"/>
        <v>347.33699999999999</v>
      </c>
      <c r="O101" s="76">
        <f t="shared" si="77"/>
        <v>340.46200000000005</v>
      </c>
      <c r="P101" s="76">
        <f t="shared" si="77"/>
        <v>537.11599999999999</v>
      </c>
      <c r="Q101" s="76">
        <f t="shared" si="77"/>
        <v>575.577</v>
      </c>
      <c r="R101" s="76">
        <f t="shared" si="77"/>
        <v>432.92199999999997</v>
      </c>
      <c r="S101" s="76">
        <f t="shared" si="77"/>
        <v>401.52100000000007</v>
      </c>
      <c r="T101" s="76">
        <f t="shared" si="77"/>
        <v>467.72499999999997</v>
      </c>
      <c r="U101" s="76">
        <f t="shared" si="77"/>
        <v>615.92099999999994</v>
      </c>
      <c r="V101" s="76">
        <f t="shared" si="77"/>
        <v>793.09400000000005</v>
      </c>
      <c r="W101" s="76">
        <f t="shared" si="77"/>
        <v>625.48599999999988</v>
      </c>
      <c r="X101" s="76">
        <f t="shared" si="77"/>
        <v>764.26499999999987</v>
      </c>
      <c r="Y101" s="76">
        <f t="shared" si="77"/>
        <v>915.255</v>
      </c>
      <c r="Z101" s="76">
        <f t="shared" si="77"/>
        <v>912.57999999999981</v>
      </c>
      <c r="AA101" s="76">
        <f t="shared" si="77"/>
        <v>893.37599999999998</v>
      </c>
      <c r="AB101" s="76">
        <f t="shared" si="77"/>
        <v>922.87</v>
      </c>
      <c r="AC101" s="76">
        <f t="shared" si="77"/>
        <v>958.8069999999999</v>
      </c>
      <c r="AD101" s="76">
        <f t="shared" si="77"/>
        <v>1068.4380000000001</v>
      </c>
      <c r="AE101" s="76">
        <f t="shared" si="77"/>
        <v>898.63599999999997</v>
      </c>
      <c r="AF101" s="76">
        <f t="shared" si="77"/>
        <v>985.92099999999982</v>
      </c>
      <c r="AG101" s="76">
        <f t="shared" si="77"/>
        <v>1148.7939999999999</v>
      </c>
      <c r="AH101" s="76">
        <f t="shared" si="77"/>
        <v>1330.4059999999999</v>
      </c>
      <c r="AI101" s="76">
        <f t="shared" si="77"/>
        <v>998.07600000000014</v>
      </c>
      <c r="AJ101" s="76">
        <f t="shared" si="77"/>
        <v>1002.669</v>
      </c>
      <c r="AK101" s="76">
        <f t="shared" si="77"/>
        <v>1260.1099999999999</v>
      </c>
      <c r="AL101" s="76">
        <f t="shared" si="77"/>
        <v>1170.3390000000002</v>
      </c>
      <c r="AM101" s="76">
        <f t="shared" si="77"/>
        <v>1014.3000000000001</v>
      </c>
      <c r="AN101" s="76">
        <f t="shared" si="77"/>
        <v>1074.3389999999997</v>
      </c>
      <c r="AO101" s="76">
        <f t="shared" si="77"/>
        <v>1214.9560000000001</v>
      </c>
      <c r="AP101" s="76">
        <f t="shared" si="77"/>
        <v>743.50500000000011</v>
      </c>
      <c r="AQ101" s="76">
        <f t="shared" si="77"/>
        <v>571.00000000000011</v>
      </c>
      <c r="AR101" s="76">
        <f t="shared" si="77"/>
        <v>604.10000000000014</v>
      </c>
      <c r="AS101" s="76">
        <f t="shared" si="77"/>
        <v>828.80000000000018</v>
      </c>
      <c r="AT101" s="76">
        <f t="shared" si="77"/>
        <v>924.6</v>
      </c>
      <c r="AU101" s="76">
        <f t="shared" si="77"/>
        <v>1032.1000000000001</v>
      </c>
      <c r="AV101" s="76">
        <f t="shared" si="77"/>
        <v>1057</v>
      </c>
      <c r="AW101" s="76">
        <f t="shared" si="77"/>
        <v>1272.7670000000003</v>
      </c>
      <c r="AX101" s="76">
        <f t="shared" si="77"/>
        <v>1565.566</v>
      </c>
      <c r="AY101" s="76">
        <f t="shared" si="77"/>
        <v>1032.8380000000002</v>
      </c>
      <c r="AZ101" s="76">
        <f t="shared" si="77"/>
        <v>1196.1749999999997</v>
      </c>
      <c r="BA101" s="76">
        <f>+BA98-BA10-BA13-BA28</f>
        <v>1327.0520000000001</v>
      </c>
      <c r="BB101" s="76">
        <f>+BB98-BB10-BB13-BB28</f>
        <v>1302.7139999999999</v>
      </c>
      <c r="BC101" s="76">
        <f>+BC98-BC10-BC13-BC28</f>
        <v>1080.443</v>
      </c>
      <c r="BD101" s="76">
        <f t="shared" ref="BD101:BH101" si="78">+BD98-BD10-BD13-BD28</f>
        <v>1124.3119999999999</v>
      </c>
      <c r="BE101" s="76">
        <f t="shared" si="78"/>
        <v>1195.558</v>
      </c>
      <c r="BF101" s="76">
        <f t="shared" si="78"/>
        <v>1689.7240000000002</v>
      </c>
      <c r="BG101" s="76">
        <f t="shared" si="78"/>
        <v>1633.6680000000006</v>
      </c>
      <c r="BH101" s="76">
        <f t="shared" si="78"/>
        <v>2098.1219999999998</v>
      </c>
      <c r="BI101" s="190"/>
      <c r="BJ101" s="76">
        <f t="shared" ref="BJ101:BU101" si="79">+BJ98-BJ10-BJ13-BJ28</f>
        <v>215.154</v>
      </c>
      <c r="BK101" s="76">
        <f t="shared" si="79"/>
        <v>236.93700000000004</v>
      </c>
      <c r="BL101" s="76">
        <f t="shared" si="79"/>
        <v>269.31700000000001</v>
      </c>
      <c r="BM101" s="76">
        <f t="shared" si="79"/>
        <v>340.46200000000005</v>
      </c>
      <c r="BN101" s="76">
        <f t="shared" si="79"/>
        <v>401.52100000000007</v>
      </c>
      <c r="BO101" s="76">
        <f t="shared" si="79"/>
        <v>625.48599999999988</v>
      </c>
      <c r="BP101" s="76">
        <f t="shared" si="79"/>
        <v>893.37599999999998</v>
      </c>
      <c r="BQ101" s="76">
        <f t="shared" si="79"/>
        <v>898.63599999999997</v>
      </c>
      <c r="BR101" s="76">
        <f t="shared" si="79"/>
        <v>998.07600000000014</v>
      </c>
      <c r="BS101" s="76">
        <f t="shared" si="79"/>
        <v>1014.3000000000001</v>
      </c>
      <c r="BT101" s="76">
        <f t="shared" si="79"/>
        <v>571.00000000000011</v>
      </c>
      <c r="BU101" s="166">
        <f t="shared" si="79"/>
        <v>1032.1000000000001</v>
      </c>
      <c r="BV101" s="166">
        <f>AY101</f>
        <v>1032.8380000000002</v>
      </c>
      <c r="BW101" s="166">
        <f>BC101</f>
        <v>1080.443</v>
      </c>
      <c r="BX101" s="166">
        <f>BG101</f>
        <v>1633.6680000000006</v>
      </c>
      <c r="BY101" s="249"/>
      <c r="BZ101" s="249"/>
      <c r="CA101" s="249"/>
      <c r="CB101" s="249"/>
      <c r="CC101" s="249"/>
      <c r="CD101" s="249"/>
      <c r="CE101" s="249"/>
      <c r="CF101" s="249"/>
      <c r="CG101" s="268"/>
    </row>
    <row r="102" spans="1:85" ht="9.75" customHeight="1" x14ac:dyDescent="0.35">
      <c r="C102" s="166"/>
      <c r="D102" s="166"/>
      <c r="E102" s="76"/>
      <c r="F102" s="7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73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</row>
    <row r="103" spans="1:85" s="23" customFormat="1" x14ac:dyDescent="0.35">
      <c r="A103" s="7"/>
      <c r="B103" s="41" t="str">
        <f>IF(Control!$D$5=1,"EBITDA LTM","EBITDA UDM")</f>
        <v>EBITDA LTM</v>
      </c>
      <c r="C103" s="160">
        <f>BJ103</f>
        <v>106.78100000000001</v>
      </c>
      <c r="D103" s="160" t="s">
        <v>2</v>
      </c>
      <c r="E103" s="160" t="s">
        <v>2</v>
      </c>
      <c r="F103" s="160" t="s">
        <v>2</v>
      </c>
      <c r="G103" s="160">
        <f>SUM('P&amp;L'!F48,'P&amp;L'!E48,'P&amp;L'!D48,'P&amp;L'!C48)</f>
        <v>169.29700000000017</v>
      </c>
      <c r="H103" s="160">
        <f>SUM('P&amp;L'!G48,'P&amp;L'!F48,'P&amp;L'!E48,'P&amp;L'!D48)</f>
        <v>158.40730000000019</v>
      </c>
      <c r="I103" s="160">
        <f>SUM('P&amp;L'!H48,'P&amp;L'!G48,'P&amp;L'!F48,'P&amp;L'!E48)</f>
        <v>168.81700000000023</v>
      </c>
      <c r="J103" s="160">
        <f>SUM('P&amp;L'!I48,'P&amp;L'!H48,'P&amp;L'!G48,'P&amp;L'!F48)</f>
        <v>108.47599999999997</v>
      </c>
      <c r="K103" s="160">
        <f>SUM('P&amp;L'!J48,'P&amp;L'!I48,'P&amp;L'!H48,'P&amp;L'!G48)</f>
        <v>123.2730000000001</v>
      </c>
      <c r="L103" s="160">
        <f>SUM('P&amp;L'!K48,'P&amp;L'!J48,'P&amp;L'!I48,'P&amp;L'!H48)</f>
        <v>128.56870000000015</v>
      </c>
      <c r="M103" s="160">
        <f>SUM('P&amp;L'!L48,'P&amp;L'!K48,'P&amp;L'!J48,'P&amp;L'!I48)</f>
        <v>126.95000000000006</v>
      </c>
      <c r="N103" s="160">
        <f>SUM('P&amp;L'!M48,'P&amp;L'!L48,'P&amp;L'!K48,'P&amp;L'!J48)</f>
        <v>137.54300000000018</v>
      </c>
      <c r="O103" s="160">
        <f>SUM('P&amp;L'!N48,'P&amp;L'!M48,'P&amp;L'!L48,'P&amp;L'!K48)</f>
        <v>141.5630000000001</v>
      </c>
      <c r="P103" s="160">
        <f>SUM('P&amp;L'!O48,'P&amp;L'!N48,'P&amp;L'!M48,'P&amp;L'!L48)</f>
        <v>145.20800000000008</v>
      </c>
      <c r="Q103" s="160">
        <f>SUM('P&amp;L'!P48,'P&amp;L'!O48,'P&amp;L'!N48,'P&amp;L'!M48)</f>
        <v>169.2560000000002</v>
      </c>
      <c r="R103" s="160">
        <f>SUM('P&amp;L'!Q48,'P&amp;L'!P48,'P&amp;L'!O48,'P&amp;L'!N48)</f>
        <v>191.51400000000012</v>
      </c>
      <c r="S103" s="160">
        <f>SUM('P&amp;L'!R48,'P&amp;L'!Q48,'P&amp;L'!P48,'P&amp;L'!O48)</f>
        <v>209.0540000000002</v>
      </c>
      <c r="T103" s="160">
        <f>SUM('P&amp;L'!S48,'P&amp;L'!R48,'P&amp;L'!Q48,'P&amp;L'!P48)</f>
        <v>235.2230000000003</v>
      </c>
      <c r="U103" s="160">
        <f>SUM('P&amp;L'!T48,'P&amp;L'!S48,'P&amp;L'!R48,'P&amp;L'!Q48)</f>
        <v>253.20100000000019</v>
      </c>
      <c r="V103" s="160">
        <f>SUM('P&amp;L'!U48,'P&amp;L'!T48,'P&amp;L'!S48,'P&amp;L'!R48)</f>
        <v>289.58000000000015</v>
      </c>
      <c r="W103" s="160">
        <f>SUM('P&amp;L'!V48,'P&amp;L'!U48,'P&amp;L'!T48,'P&amp;L'!S48)</f>
        <v>314.95799999999997</v>
      </c>
      <c r="X103" s="160">
        <f>SUM('P&amp;L'!W48,'P&amp;L'!V48,'P&amp;L'!U48,'P&amp;L'!T48)</f>
        <v>348.42099999999982</v>
      </c>
      <c r="Y103" s="160">
        <f>SUM('P&amp;L'!X48,'P&amp;L'!W48,'P&amp;L'!V48,'P&amp;L'!U48)</f>
        <v>367.61599999999999</v>
      </c>
      <c r="Z103" s="160">
        <f>SUM('P&amp;L'!Y48,'P&amp;L'!X48,'P&amp;L'!W48,'P&amp;L'!V48)</f>
        <v>360.98800000000006</v>
      </c>
      <c r="AA103" s="160">
        <f>SUM('P&amp;L'!Z48,'P&amp;L'!Y48,'P&amp;L'!X48,'P&amp;L'!W48)</f>
        <v>375.3209999999998</v>
      </c>
      <c r="AB103" s="160">
        <f>SUM('P&amp;L'!AA48,'P&amp;L'!Z48,'P&amp;L'!Y48,'P&amp;L'!X48)</f>
        <v>372.4729999999999</v>
      </c>
      <c r="AC103" s="160">
        <f>SUM('P&amp;L'!AB48,'P&amp;L'!AA48,'P&amp;L'!Z48,'P&amp;L'!Y48)</f>
        <v>370.86599999999953</v>
      </c>
      <c r="AD103" s="160">
        <f>SUM('P&amp;L'!AC48,'P&amp;L'!AB48,'P&amp;L'!AA48,'P&amp;L'!Z48)</f>
        <v>377.32999999999936</v>
      </c>
      <c r="AE103" s="160">
        <f>SUM('P&amp;L'!AD48,'P&amp;L'!AC48,'P&amp;L'!AB48,'P&amp;L'!AA48)</f>
        <v>361.28700000000038</v>
      </c>
      <c r="AF103" s="160">
        <f>SUM('P&amp;L'!AE48,'P&amp;L'!AD48,'P&amp;L'!AC48,'P&amp;L'!AB48)</f>
        <v>360.25200000000035</v>
      </c>
      <c r="AG103" s="160">
        <f>SUM('P&amp;L'!AF48,'P&amp;L'!AE48,'P&amp;L'!AD48,'P&amp;L'!AC48)</f>
        <v>374.8050000000004</v>
      </c>
      <c r="AH103" s="160">
        <f>SUM('P&amp;L'!AG48,'P&amp;L'!AF48,'P&amp;L'!AE48,'P&amp;L'!AD48)</f>
        <v>394.26200000000085</v>
      </c>
      <c r="AI103" s="160">
        <f>SUM('P&amp;L'!AH48,'P&amp;L'!AG48,'P&amp;L'!AF48,'P&amp;L'!AE48)</f>
        <v>422.91099999999983</v>
      </c>
      <c r="AJ103" s="160">
        <f>SUM('P&amp;L'!AI48,'P&amp;L'!AH48,'P&amp;L'!AG48,'P&amp;L'!AF48)</f>
        <v>446.37599999999998</v>
      </c>
      <c r="AK103" s="160">
        <f>SUM('P&amp;L'!AJ48,'P&amp;L'!AI48,'P&amp;L'!AH48,'P&amp;L'!AG48)</f>
        <v>517.83999999999992</v>
      </c>
      <c r="AL103" s="160">
        <f>SUM('P&amp;L'!AK48,'P&amp;L'!AJ48,'P&amp;L'!AI48,'P&amp;L'!AH48)</f>
        <v>554.52099999999973</v>
      </c>
      <c r="AM103" s="160">
        <f>SUM('P&amp;L'!AL48,'P&amp;L'!AK48,'P&amp;L'!AJ48,'P&amp;L'!AI48)</f>
        <v>546.99099999999999</v>
      </c>
      <c r="AN103" s="160">
        <f>SUM('P&amp;L'!AM48,'P&amp;L'!AL48,'P&amp;L'!AK48,'P&amp;L'!AJ48)</f>
        <v>547.87999999999988</v>
      </c>
      <c r="AO103" s="160">
        <f>SUM('P&amp;L'!AN48,'P&amp;L'!AM48,'P&amp;L'!AL48,'P&amp;L'!AK48)</f>
        <v>485.1909999999998</v>
      </c>
      <c r="AP103" s="160">
        <f>SUM('P&amp;L'!AO48,'P&amp;L'!AN48,'P&amp;L'!AM48,'P&amp;L'!AL48)</f>
        <v>468.3399999999998</v>
      </c>
      <c r="AQ103" s="160">
        <f>SUM('P&amp;L'!AP48,'P&amp;L'!AO48,'P&amp;L'!AN48,'P&amp;L'!AM48)</f>
        <v>489.8000000000003</v>
      </c>
      <c r="AR103" s="160">
        <f>SUM('P&amp;L'!AQ48,'P&amp;L'!AP48,'P&amp;L'!AO48,'P&amp;L'!AN48)</f>
        <v>444.45600000000013</v>
      </c>
      <c r="AS103" s="160">
        <f>SUM('P&amp;L'!AR48,'P&amp;L'!AQ48,'P&amp;L'!AP48,'P&amp;L'!AO48)</f>
        <v>464.80100000000027</v>
      </c>
      <c r="AT103" s="160">
        <f>SUM('P&amp;L'!AS48,'P&amp;L'!AR48,'P&amp;L'!AQ48,'P&amp;L'!AP48)</f>
        <v>487.32500000000022</v>
      </c>
      <c r="AU103" s="160">
        <f>SUM('P&amp;L'!AT48,'P&amp;L'!AS48,'P&amp;L'!AR48,'P&amp;L'!AQ48)</f>
        <v>483.2</v>
      </c>
      <c r="AV103" s="160">
        <f>SUM('P&amp;L'!AU48,'P&amp;L'!AT48,'P&amp;L'!AS48,'P&amp;L'!AR48)</f>
        <v>484.20000000000005</v>
      </c>
      <c r="AW103" s="160">
        <f>SUM('P&amp;L'!AV48,'P&amp;L'!AU48,'P&amp;L'!AT48,'P&amp;L'!AS48)</f>
        <v>438.33200000000033</v>
      </c>
      <c r="AX103" s="160">
        <f>SUM('P&amp;L'!AW48,'P&amp;L'!AV48,'P&amp;L'!AU48,'P&amp;L'!AT48)</f>
        <v>419.91299999999984</v>
      </c>
      <c r="AY103" s="160">
        <f>SUM('P&amp;L'!AX48,'P&amp;L'!AW48,'P&amp;L'!AV48,'P&amp;L'!AU48)</f>
        <v>441.77499999999947</v>
      </c>
      <c r="AZ103" s="160">
        <f>SUM('P&amp;L'!AY48,'P&amp;L'!AX48,'P&amp;L'!AW48,'P&amp;L'!AV48)</f>
        <v>555.41599999999937</v>
      </c>
      <c r="BA103" s="160">
        <f>SUM('P&amp;L'!AZ48,'P&amp;L'!AY48,'P&amp;L'!AX48,'P&amp;L'!AW48)</f>
        <v>674.13899999999933</v>
      </c>
      <c r="BB103" s="160">
        <f>SUM('P&amp;L'!BA48,'P&amp;L'!AZ48,'P&amp;L'!AY48,'P&amp;L'!AX48)</f>
        <v>778.12892097999998</v>
      </c>
      <c r="BC103" s="160">
        <f>SUM('P&amp;L'!BB48,'P&amp;L'!BA48,'P&amp;L'!AZ48,'P&amp;L'!AY48)</f>
        <v>787.02892097999995</v>
      </c>
      <c r="BD103" s="160">
        <f>SUM('P&amp;L'!BC48,'P&amp;L'!BB48,'P&amp;L'!BA48,'P&amp;L'!AZ48)</f>
        <v>774.27892098000041</v>
      </c>
      <c r="BE103" s="160">
        <f>SUM('P&amp;L'!BD48,'P&amp;L'!BC48,'P&amp;L'!BB48,'P&amp;L'!BA48)</f>
        <v>757.89792098000009</v>
      </c>
      <c r="BF103" s="160">
        <f>SUM('P&amp;L'!BB48:BE48)</f>
        <v>721.60899999999981</v>
      </c>
      <c r="BG103" s="160">
        <f>SUM('P&amp;L'!BC48:BF48)</f>
        <v>809.78100000000029</v>
      </c>
      <c r="BH103" s="160">
        <f>SUM('P&amp;L'!BD48:BG48)</f>
        <v>870.49900000000071</v>
      </c>
      <c r="BI103" s="73"/>
      <c r="BJ103" s="160">
        <f>'P&amp;L'!BI48</f>
        <v>106.78100000000001</v>
      </c>
      <c r="BK103" s="160">
        <f>'P&amp;L'!BJ48</f>
        <v>168.59200000000001</v>
      </c>
      <c r="BL103" s="160">
        <f>'P&amp;L'!BK48</f>
        <v>123.2729999999999</v>
      </c>
      <c r="BM103" s="160">
        <f>'P&amp;L'!BL48</f>
        <v>141.5630000000001</v>
      </c>
      <c r="BN103" s="160">
        <f>'P&amp;L'!BM48</f>
        <v>209.05400000000012</v>
      </c>
      <c r="BO103" s="160">
        <f>'P&amp;L'!BN48</f>
        <v>314.95799999999986</v>
      </c>
      <c r="BP103" s="160">
        <f>'P&amp;L'!BO48</f>
        <v>375.32099999999986</v>
      </c>
      <c r="BQ103" s="160">
        <f>'P&amp;L'!BP48</f>
        <v>361.28700000000003</v>
      </c>
      <c r="BR103" s="160">
        <f>'P&amp;L'!BQ48</f>
        <v>422.91100000000029</v>
      </c>
      <c r="BS103" s="160">
        <f>'P&amp;L'!BR48</f>
        <v>547.05199999999923</v>
      </c>
      <c r="BT103" s="160">
        <f>'P&amp;L'!BS48</f>
        <v>489.80000000000092</v>
      </c>
      <c r="BU103" s="160">
        <f>'P&amp;L'!BT48</f>
        <v>483.19999999999948</v>
      </c>
      <c r="BV103" s="160">
        <f>'P&amp;L'!BU48</f>
        <v>441.77499999999964</v>
      </c>
      <c r="BW103" s="160">
        <f>BC103</f>
        <v>787.02892097999995</v>
      </c>
      <c r="BX103" s="160">
        <f>BG103</f>
        <v>809.78100000000029</v>
      </c>
    </row>
    <row r="104" spans="1:85" ht="9.75" customHeight="1" x14ac:dyDescent="0.35">
      <c r="E104" s="138"/>
      <c r="F104" s="138"/>
      <c r="I104" s="138"/>
      <c r="J104" s="138"/>
      <c r="M104" s="138"/>
      <c r="N104" s="138"/>
      <c r="Q104" s="138"/>
      <c r="R104" s="138"/>
      <c r="U104" s="138"/>
      <c r="V104" s="138"/>
      <c r="X104" s="78"/>
      <c r="Y104" s="138"/>
      <c r="Z104" s="138"/>
      <c r="AC104" s="138"/>
      <c r="AD104" s="138"/>
      <c r="AG104" s="138"/>
      <c r="AH104" s="138"/>
      <c r="AK104" s="138"/>
      <c r="AL104" s="138"/>
      <c r="AN104" s="138"/>
      <c r="AO104" s="138"/>
      <c r="BI104" s="73"/>
      <c r="BK104" s="240">
        <f>G103</f>
        <v>169.29700000000017</v>
      </c>
      <c r="BL104" s="240">
        <f>K103</f>
        <v>123.2730000000001</v>
      </c>
      <c r="BM104" s="240">
        <f>O103</f>
        <v>141.5630000000001</v>
      </c>
      <c r="BN104" s="240">
        <f>S103</f>
        <v>209.0540000000002</v>
      </c>
    </row>
    <row r="105" spans="1:85" x14ac:dyDescent="0.35">
      <c r="B105" s="43" t="str">
        <f>IF(Control!$D$5=1,"Total Debt/EBITDA","Endividamento Bruto/EBITDA")</f>
        <v>Total Debt/EBITDA</v>
      </c>
      <c r="C105" s="169">
        <f>+C98/C103</f>
        <v>2.3407066800273455</v>
      </c>
      <c r="D105" s="169" t="s">
        <v>2</v>
      </c>
      <c r="E105" s="169" t="s">
        <v>2</v>
      </c>
      <c r="F105" s="169" t="s">
        <v>2</v>
      </c>
      <c r="G105" s="169">
        <f>+G98/G103</f>
        <v>1.9499932072039063</v>
      </c>
      <c r="H105" s="169">
        <f t="shared" ref="H105:AN105" si="80">+H98/H103</f>
        <v>1.8470234641964078</v>
      </c>
      <c r="I105" s="169">
        <f t="shared" si="80"/>
        <v>1.7559487492373371</v>
      </c>
      <c r="J105" s="169">
        <f t="shared" si="80"/>
        <v>2.7642151259264729</v>
      </c>
      <c r="K105" s="169">
        <f t="shared" si="80"/>
        <v>4.2728902517177287</v>
      </c>
      <c r="L105" s="169">
        <f t="shared" si="80"/>
        <v>4.0851233620624576</v>
      </c>
      <c r="M105" s="169">
        <f t="shared" si="80"/>
        <v>4.8752894840488352</v>
      </c>
      <c r="N105" s="169">
        <f t="shared" si="80"/>
        <v>4.2780730389768964</v>
      </c>
      <c r="O105" s="169">
        <f t="shared" si="80"/>
        <v>3.8169860768703661</v>
      </c>
      <c r="P105" s="169">
        <f t="shared" si="80"/>
        <v>4.5570285383725384</v>
      </c>
      <c r="Q105" s="169">
        <f t="shared" si="80"/>
        <v>4.6637637661294082</v>
      </c>
      <c r="R105" s="169">
        <f t="shared" si="80"/>
        <v>4.0084119176665913</v>
      </c>
      <c r="S105" s="169">
        <f t="shared" si="80"/>
        <v>3.9934897203593294</v>
      </c>
      <c r="T105" s="169">
        <f t="shared" si="80"/>
        <v>3.8688393566955561</v>
      </c>
      <c r="U105" s="169">
        <f t="shared" si="80"/>
        <v>3.8740447312609323</v>
      </c>
      <c r="V105" s="169">
        <f t="shared" si="80"/>
        <v>3.7888044754471975</v>
      </c>
      <c r="W105" s="169">
        <f t="shared" si="80"/>
        <v>3.34650969335594</v>
      </c>
      <c r="X105" s="169">
        <f t="shared" si="80"/>
        <v>3.2395378005344124</v>
      </c>
      <c r="Y105" s="169">
        <f t="shared" si="80"/>
        <v>3.5274253568941507</v>
      </c>
      <c r="Z105" s="169">
        <f t="shared" si="80"/>
        <v>3.3556212394871845</v>
      </c>
      <c r="AA105" s="169">
        <f t="shared" si="80"/>
        <v>3.2754282334321836</v>
      </c>
      <c r="AB105" s="169">
        <f t="shared" si="80"/>
        <v>3.4304365685566478</v>
      </c>
      <c r="AC105" s="169">
        <f t="shared" si="80"/>
        <v>3.9043670759789295</v>
      </c>
      <c r="AD105" s="169">
        <f t="shared" si="80"/>
        <v>4.0068110142315811</v>
      </c>
      <c r="AE105" s="169">
        <f t="shared" si="80"/>
        <v>3.5826918765413613</v>
      </c>
      <c r="AF105" s="169">
        <f t="shared" si="80"/>
        <v>3.7620471225697525</v>
      </c>
      <c r="AG105" s="169">
        <f t="shared" si="80"/>
        <v>4.2829631408332283</v>
      </c>
      <c r="AH105" s="169">
        <f t="shared" si="80"/>
        <v>3.9954015350198517</v>
      </c>
      <c r="AI105" s="169">
        <f t="shared" si="80"/>
        <v>3.5236562775619471</v>
      </c>
      <c r="AJ105" s="169">
        <f t="shared" si="80"/>
        <v>2.9992898363711311</v>
      </c>
      <c r="AK105" s="169">
        <f t="shared" si="80"/>
        <v>3.1155588598794997</v>
      </c>
      <c r="AL105" s="169">
        <f t="shared" si="80"/>
        <v>2.6340264841187273</v>
      </c>
      <c r="AM105" s="169">
        <f t="shared" si="80"/>
        <v>3.029848754367074</v>
      </c>
      <c r="AN105" s="169">
        <f t="shared" si="80"/>
        <v>2.5520515441337523</v>
      </c>
      <c r="AO105" s="169">
        <f>+AO98/AO103</f>
        <v>3.372203936181835</v>
      </c>
      <c r="AP105" s="169">
        <f>+AP98/AP103</f>
        <v>2.4981957552205674</v>
      </c>
      <c r="AQ105" s="169">
        <f t="shared" ref="AQ105:AV105" si="81">+AQ98/AQ103</f>
        <v>2.6249489587586754</v>
      </c>
      <c r="AR105" s="169">
        <f t="shared" si="81"/>
        <v>3.065320301672156</v>
      </c>
      <c r="AS105" s="169">
        <f t="shared" si="81"/>
        <v>3.2162151114132698</v>
      </c>
      <c r="AT105" s="169">
        <f t="shared" si="81"/>
        <v>2.8440978812907183</v>
      </c>
      <c r="AU105" s="169">
        <f t="shared" si="81"/>
        <v>2.9570757450331131</v>
      </c>
      <c r="AV105" s="169">
        <f t="shared" si="81"/>
        <v>4.1774060305658809</v>
      </c>
      <c r="AW105" s="169">
        <f t="shared" ref="AW105:BE105" si="82">+AW98/AW103</f>
        <v>4.8862962320797898</v>
      </c>
      <c r="AX105" s="169">
        <f t="shared" si="82"/>
        <v>4.8868051239185277</v>
      </c>
      <c r="AY105" s="169">
        <f t="shared" si="82"/>
        <v>3.6283040009054428</v>
      </c>
      <c r="AZ105" s="169">
        <f t="shared" si="82"/>
        <v>5.4778220288936641</v>
      </c>
      <c r="BA105" s="169">
        <f t="shared" si="82"/>
        <v>3.8285679956210852</v>
      </c>
      <c r="BB105" s="169">
        <f t="shared" si="82"/>
        <v>3.2138042072134678</v>
      </c>
      <c r="BC105" s="169">
        <f t="shared" si="82"/>
        <v>2.7893777998226672</v>
      </c>
      <c r="BD105" s="169">
        <f t="shared" si="82"/>
        <v>3.3678548251055322</v>
      </c>
      <c r="BE105" s="169">
        <f t="shared" si="82"/>
        <v>3.3798548974613123</v>
      </c>
      <c r="BF105" s="169">
        <f t="shared" ref="BF105:BG105" si="83">+BF98/BF103</f>
        <v>4.97623782408479</v>
      </c>
      <c r="BG105" s="169">
        <f t="shared" si="83"/>
        <v>4.0303859932500261</v>
      </c>
      <c r="BH105" s="169">
        <f t="shared" ref="BH105" si="84">+BH98/BH103</f>
        <v>3.9520619782446587</v>
      </c>
      <c r="BI105" s="73"/>
      <c r="BJ105" s="169">
        <f t="shared" ref="BJ105:BV105" si="85">+BJ98/BJ103</f>
        <v>2.3407066800273455</v>
      </c>
      <c r="BK105" s="169">
        <f t="shared" si="85"/>
        <v>1.9581474803074881</v>
      </c>
      <c r="BL105" s="169">
        <f t="shared" si="85"/>
        <v>4.2728902517177358</v>
      </c>
      <c r="BM105" s="169">
        <f t="shared" si="85"/>
        <v>3.8169860768703661</v>
      </c>
      <c r="BN105" s="169">
        <f t="shared" si="85"/>
        <v>3.9934897203593307</v>
      </c>
      <c r="BO105" s="169">
        <f t="shared" si="85"/>
        <v>3.3465096933559408</v>
      </c>
      <c r="BP105" s="169">
        <f t="shared" si="85"/>
        <v>3.2754282334321831</v>
      </c>
      <c r="BQ105" s="169">
        <f t="shared" si="85"/>
        <v>3.5826918765413645</v>
      </c>
      <c r="BR105" s="169">
        <f t="shared" si="85"/>
        <v>3.5236562775619431</v>
      </c>
      <c r="BS105" s="169">
        <f t="shared" si="85"/>
        <v>3.029510905727431</v>
      </c>
      <c r="BT105" s="169">
        <f t="shared" si="85"/>
        <v>2.6249489587586723</v>
      </c>
      <c r="BU105" s="169">
        <f t="shared" si="85"/>
        <v>2.9570757450331162</v>
      </c>
      <c r="BV105" s="169">
        <f t="shared" si="85"/>
        <v>3.6283040009054415</v>
      </c>
      <c r="BW105" s="169">
        <f>BC105</f>
        <v>2.7893777998226672</v>
      </c>
      <c r="BX105" s="169">
        <f>BG105</f>
        <v>4.0303859932500261</v>
      </c>
    </row>
    <row r="106" spans="1:85" x14ac:dyDescent="0.35">
      <c r="B106" s="226" t="str">
        <f>IF(Control!$D$5=1,"Net Debt/EBITDA","Endividamento Liquido/EBITDA")</f>
        <v>Net Debt/EBITDA</v>
      </c>
      <c r="C106" s="227">
        <f>C101/C103</f>
        <v>2.0149090193948358</v>
      </c>
      <c r="D106" s="227" t="s">
        <v>2</v>
      </c>
      <c r="E106" s="227" t="s">
        <v>2</v>
      </c>
      <c r="F106" s="227" t="s">
        <v>2</v>
      </c>
      <c r="G106" s="227">
        <f t="shared" ref="G106:AN106" si="86">G101/G103</f>
        <v>1.3995345457982116</v>
      </c>
      <c r="H106" s="227">
        <f t="shared" si="86"/>
        <v>1.1029668455936044</v>
      </c>
      <c r="I106" s="227">
        <f t="shared" si="86"/>
        <v>1.2243316727580733</v>
      </c>
      <c r="J106" s="227">
        <f t="shared" si="86"/>
        <v>1.6772465798886393</v>
      </c>
      <c r="K106" s="227">
        <f t="shared" si="86"/>
        <v>2.1847200928021531</v>
      </c>
      <c r="L106" s="227">
        <f t="shared" si="86"/>
        <v>2.4071721966543933</v>
      </c>
      <c r="M106" s="227">
        <f t="shared" si="86"/>
        <v>2.9989602205592734</v>
      </c>
      <c r="N106" s="227">
        <f t="shared" si="86"/>
        <v>2.5252975433137239</v>
      </c>
      <c r="O106" s="227">
        <f t="shared" si="86"/>
        <v>2.4050210860182379</v>
      </c>
      <c r="P106" s="227">
        <f t="shared" si="86"/>
        <v>3.6989422070409321</v>
      </c>
      <c r="Q106" s="227">
        <f t="shared" si="86"/>
        <v>3.4006298151911856</v>
      </c>
      <c r="R106" s="227">
        <f t="shared" si="86"/>
        <v>2.26052403479641</v>
      </c>
      <c r="S106" s="227">
        <f t="shared" si="86"/>
        <v>1.9206568637768218</v>
      </c>
      <c r="T106" s="227">
        <f t="shared" si="86"/>
        <v>1.9884322536486627</v>
      </c>
      <c r="U106" s="227">
        <f t="shared" si="86"/>
        <v>2.4325377861856765</v>
      </c>
      <c r="V106" s="227">
        <f t="shared" si="86"/>
        <v>2.7387733959527578</v>
      </c>
      <c r="W106" s="227">
        <f t="shared" si="86"/>
        <v>1.9859346325541816</v>
      </c>
      <c r="X106" s="227">
        <f t="shared" si="86"/>
        <v>2.1935101500770626</v>
      </c>
      <c r="Y106" s="227">
        <f t="shared" si="86"/>
        <v>2.4897039301880222</v>
      </c>
      <c r="Z106" s="227">
        <f t="shared" si="86"/>
        <v>2.5280064711292334</v>
      </c>
      <c r="AA106" s="227">
        <f t="shared" si="86"/>
        <v>2.380298464514377</v>
      </c>
      <c r="AB106" s="227">
        <f t="shared" si="86"/>
        <v>2.4776829461464329</v>
      </c>
      <c r="AC106" s="227">
        <f t="shared" si="86"/>
        <v>2.5853192258120212</v>
      </c>
      <c r="AD106" s="227">
        <f t="shared" si="86"/>
        <v>2.8315744838735375</v>
      </c>
      <c r="AE106" s="227">
        <f t="shared" si="86"/>
        <v>2.487318945879589</v>
      </c>
      <c r="AF106" s="227">
        <f t="shared" si="86"/>
        <v>2.7367537168426512</v>
      </c>
      <c r="AG106" s="227">
        <f t="shared" si="86"/>
        <v>3.0650444898013598</v>
      </c>
      <c r="AH106" s="227">
        <f t="shared" si="86"/>
        <v>3.3744210702527688</v>
      </c>
      <c r="AI106" s="227">
        <f t="shared" si="86"/>
        <v>2.3600142819647645</v>
      </c>
      <c r="AJ106" s="227">
        <f t="shared" si="86"/>
        <v>2.2462430775848166</v>
      </c>
      <c r="AK106" s="227">
        <f t="shared" si="86"/>
        <v>2.4333964158813535</v>
      </c>
      <c r="AL106" s="227">
        <f t="shared" si="86"/>
        <v>2.1105404484230545</v>
      </c>
      <c r="AM106" s="227">
        <f t="shared" si="86"/>
        <v>1.8543266708227377</v>
      </c>
      <c r="AN106" s="227">
        <f t="shared" si="86"/>
        <v>1.9609020223406584</v>
      </c>
      <c r="AO106" s="227">
        <f>AO101/AO103</f>
        <v>2.5040777755564316</v>
      </c>
      <c r="AP106" s="227">
        <f>AP101/AP103</f>
        <v>1.5875325618140677</v>
      </c>
      <c r="AQ106" s="227">
        <f t="shared" ref="AQ106:AV106" si="87">AQ101/AQ103</f>
        <v>1.1657819518170678</v>
      </c>
      <c r="AR106" s="227">
        <f t="shared" si="87"/>
        <v>1.3591896610688121</v>
      </c>
      <c r="AS106" s="227">
        <f t="shared" si="87"/>
        <v>1.7831286937850817</v>
      </c>
      <c r="AT106" s="227">
        <f t="shared" si="87"/>
        <v>1.8972964653978344</v>
      </c>
      <c r="AU106" s="227">
        <f t="shared" si="87"/>
        <v>2.1359685430463577</v>
      </c>
      <c r="AV106" s="227">
        <f t="shared" si="87"/>
        <v>2.1829822387443203</v>
      </c>
      <c r="AW106" s="227">
        <f t="shared" ref="AW106:BE106" si="88">AW101/AW103</f>
        <v>2.9036597829955362</v>
      </c>
      <c r="AX106" s="227">
        <f t="shared" si="88"/>
        <v>3.7283103881042039</v>
      </c>
      <c r="AY106" s="227">
        <f t="shared" si="88"/>
        <v>2.3379276781166918</v>
      </c>
      <c r="AZ106" s="227">
        <f t="shared" si="88"/>
        <v>2.1536559983867969</v>
      </c>
      <c r="BA106" s="227">
        <f t="shared" si="88"/>
        <v>1.9685139118193746</v>
      </c>
      <c r="BB106" s="227">
        <f t="shared" si="88"/>
        <v>1.6741621662890014</v>
      </c>
      <c r="BC106" s="227">
        <f t="shared" si="88"/>
        <v>1.3728123213752348</v>
      </c>
      <c r="BD106" s="227">
        <f t="shared" si="88"/>
        <v>1.4520762086315933</v>
      </c>
      <c r="BE106" s="227">
        <f t="shared" si="88"/>
        <v>1.5774657337152784</v>
      </c>
      <c r="BF106" s="227">
        <f t="shared" ref="BF106:BG106" si="89">BF101/BF103</f>
        <v>2.3416060498136813</v>
      </c>
      <c r="BG106" s="227">
        <f t="shared" si="89"/>
        <v>2.0174195245381159</v>
      </c>
      <c r="BH106" s="227">
        <f t="shared" ref="BH106" si="90">BH101/BH103</f>
        <v>2.4102520508352083</v>
      </c>
      <c r="BI106" s="73"/>
      <c r="BJ106" s="227">
        <f t="shared" ref="BJ106:BV106" si="91">BJ101/BJ103</f>
        <v>2.0149090193948358</v>
      </c>
      <c r="BK106" s="227">
        <f t="shared" si="91"/>
        <v>1.4053869697257284</v>
      </c>
      <c r="BL106" s="227">
        <f t="shared" si="91"/>
        <v>2.1847200928021566</v>
      </c>
      <c r="BM106" s="227">
        <f t="shared" si="91"/>
        <v>2.4050210860182379</v>
      </c>
      <c r="BN106" s="227">
        <f t="shared" si="91"/>
        <v>1.9206568637768224</v>
      </c>
      <c r="BO106" s="227">
        <f t="shared" si="91"/>
        <v>1.9859346325541822</v>
      </c>
      <c r="BP106" s="227">
        <f t="shared" si="91"/>
        <v>2.3802984645143765</v>
      </c>
      <c r="BQ106" s="227">
        <f t="shared" si="91"/>
        <v>2.4873189458795912</v>
      </c>
      <c r="BR106" s="227">
        <f t="shared" si="91"/>
        <v>2.3600142819647618</v>
      </c>
      <c r="BS106" s="227">
        <f t="shared" si="91"/>
        <v>1.854119900850379</v>
      </c>
      <c r="BT106" s="227">
        <f t="shared" si="91"/>
        <v>1.1657819518170662</v>
      </c>
      <c r="BU106" s="227">
        <f t="shared" si="91"/>
        <v>2.1359685430463604</v>
      </c>
      <c r="BV106" s="227">
        <f t="shared" si="91"/>
        <v>2.3379276781166909</v>
      </c>
      <c r="BW106" s="227">
        <f>BC106</f>
        <v>1.3728123213752348</v>
      </c>
      <c r="BX106" s="227">
        <f>BG106</f>
        <v>2.0174195245381159</v>
      </c>
    </row>
    <row r="107" spans="1:85" x14ac:dyDescent="0.35">
      <c r="E107" s="139"/>
      <c r="F107" s="139"/>
      <c r="X107" s="78"/>
      <c r="BI107" s="73"/>
    </row>
    <row r="108" spans="1:85" s="23" customFormat="1" x14ac:dyDescent="0.35">
      <c r="A108" s="7"/>
      <c r="B108" s="54" t="str">
        <f>IF(Control!$D$5=1,"Working Capital","Capital de Giro")</f>
        <v>Working Capital</v>
      </c>
      <c r="C108" s="212">
        <f>+C114+C116+C112+C120-C118-C121</f>
        <v>172.67700000000002</v>
      </c>
      <c r="D108" s="242" t="s">
        <v>2</v>
      </c>
      <c r="E108" s="242" t="s">
        <v>2</v>
      </c>
      <c r="F108" s="242" t="s">
        <v>2</v>
      </c>
      <c r="G108" s="212">
        <f t="shared" ref="G108:AP108" si="92">+G114+G116+G112+G120-G118-G121</f>
        <v>226.24299999999999</v>
      </c>
      <c r="H108" s="212">
        <f t="shared" si="92"/>
        <v>178.49100000000004</v>
      </c>
      <c r="I108" s="212">
        <f t="shared" si="92"/>
        <v>226.09299999999996</v>
      </c>
      <c r="J108" s="212">
        <f t="shared" si="92"/>
        <v>183.40399999999997</v>
      </c>
      <c r="K108" s="212">
        <f t="shared" si="92"/>
        <v>224.34599999999998</v>
      </c>
      <c r="L108" s="212">
        <f t="shared" si="92"/>
        <v>268.714</v>
      </c>
      <c r="M108" s="212">
        <f t="shared" si="92"/>
        <v>330.52000000000004</v>
      </c>
      <c r="N108" s="212">
        <f t="shared" si="92"/>
        <v>300.18</v>
      </c>
      <c r="O108" s="212">
        <f t="shared" si="92"/>
        <v>250.6160000000001</v>
      </c>
      <c r="P108" s="212">
        <f t="shared" si="92"/>
        <v>393.55000000000018</v>
      </c>
      <c r="Q108" s="212">
        <f t="shared" si="92"/>
        <v>465.38599999999997</v>
      </c>
      <c r="R108" s="212">
        <f t="shared" si="92"/>
        <v>471.22699999999998</v>
      </c>
      <c r="S108" s="212">
        <f t="shared" si="92"/>
        <v>447.90300000000002</v>
      </c>
      <c r="T108" s="212">
        <f t="shared" si="92"/>
        <v>530.58400000000006</v>
      </c>
      <c r="U108" s="212">
        <f t="shared" si="92"/>
        <v>713.15299999999979</v>
      </c>
      <c r="V108" s="212">
        <f t="shared" si="92"/>
        <v>699.976</v>
      </c>
      <c r="W108" s="212">
        <f t="shared" si="92"/>
        <v>524.6160000000001</v>
      </c>
      <c r="X108" s="212">
        <f t="shared" si="92"/>
        <v>680.08199999999988</v>
      </c>
      <c r="Y108" s="212">
        <f t="shared" si="92"/>
        <v>860.01199999999994</v>
      </c>
      <c r="Z108" s="212">
        <f t="shared" si="92"/>
        <v>803.4369999999999</v>
      </c>
      <c r="AA108" s="212">
        <f t="shared" si="92"/>
        <v>739.88400000000001</v>
      </c>
      <c r="AB108" s="212">
        <f t="shared" si="92"/>
        <v>813.10900000000004</v>
      </c>
      <c r="AC108" s="212">
        <f t="shared" si="92"/>
        <v>916.29300000000012</v>
      </c>
      <c r="AD108" s="212">
        <f t="shared" si="92"/>
        <v>933.98800000000006</v>
      </c>
      <c r="AE108" s="212">
        <f t="shared" si="92"/>
        <v>764.077</v>
      </c>
      <c r="AF108" s="212">
        <f t="shared" si="92"/>
        <v>898.89799999999991</v>
      </c>
      <c r="AG108" s="212">
        <f t="shared" si="92"/>
        <v>1077.123</v>
      </c>
      <c r="AH108" s="212">
        <f t="shared" si="92"/>
        <v>1315.0249999999999</v>
      </c>
      <c r="AI108" s="212">
        <f t="shared" si="92"/>
        <v>1049.01</v>
      </c>
      <c r="AJ108" s="212">
        <f t="shared" si="92"/>
        <v>1079.8220000000001</v>
      </c>
      <c r="AK108" s="212">
        <f t="shared" si="92"/>
        <v>1376.6309999999999</v>
      </c>
      <c r="AL108" s="212">
        <f t="shared" si="92"/>
        <v>1341.5530000000001</v>
      </c>
      <c r="AM108" s="212">
        <f t="shared" si="92"/>
        <v>1149.0000000000002</v>
      </c>
      <c r="AN108" s="212">
        <f t="shared" si="92"/>
        <v>1191.7999999999997</v>
      </c>
      <c r="AO108" s="212">
        <f t="shared" si="92"/>
        <v>1390.2869999999998</v>
      </c>
      <c r="AP108" s="212">
        <f t="shared" si="92"/>
        <v>1339.5179999999998</v>
      </c>
      <c r="AQ108" s="212">
        <f t="shared" ref="AQ108:AV108" si="93">+AQ114+AQ116+AQ112+AQ120-AQ118-AQ121</f>
        <v>1127.8</v>
      </c>
      <c r="AR108" s="212">
        <f t="shared" si="93"/>
        <v>1188.3999999999996</v>
      </c>
      <c r="AS108" s="212">
        <f t="shared" si="93"/>
        <v>1469.3000000000004</v>
      </c>
      <c r="AT108" s="212">
        <f t="shared" si="93"/>
        <v>1686.7</v>
      </c>
      <c r="AU108" s="212">
        <f t="shared" si="93"/>
        <v>1518.0240000000003</v>
      </c>
      <c r="AV108" s="212">
        <f t="shared" si="93"/>
        <v>1546.0410000000002</v>
      </c>
      <c r="AW108" s="212">
        <f>+AW114+AW116+AW112+AW120-AW118-AW121</f>
        <v>1738.866</v>
      </c>
      <c r="AX108" s="212">
        <f t="shared" ref="AX108:BE108" si="94">+AX114+AX116+AX112+AX120-AX118-AX121</f>
        <v>1932.8129999999996</v>
      </c>
      <c r="AY108" s="212">
        <f t="shared" si="94"/>
        <v>1502.606</v>
      </c>
      <c r="AZ108" s="212">
        <f t="shared" si="94"/>
        <v>1921.7120000000004</v>
      </c>
      <c r="BA108" s="212">
        <f t="shared" si="94"/>
        <v>2141.2640000000001</v>
      </c>
      <c r="BB108" s="212">
        <f t="shared" si="94"/>
        <v>2170.3900000000003</v>
      </c>
      <c r="BC108" s="212">
        <f t="shared" si="94"/>
        <v>1825.4109999999996</v>
      </c>
      <c r="BD108" s="212">
        <f t="shared" si="94"/>
        <v>1875.4549999999992</v>
      </c>
      <c r="BE108" s="212">
        <f t="shared" si="94"/>
        <v>1987.2109999999996</v>
      </c>
      <c r="BF108" s="212">
        <f t="shared" ref="BF108" si="95">+BF114+BF116+BF112+BF120-BF118-BF121</f>
        <v>2019.3260000000005</v>
      </c>
      <c r="BG108" s="212">
        <f>+BG114+BG116+BG112+BG120-BG118-BG121</f>
        <v>1878.7339999999997</v>
      </c>
      <c r="BH108" s="212">
        <f>+BH114+BH116+BH112+BH120-BH118-BH121</f>
        <v>2232.4160000000002</v>
      </c>
      <c r="BI108" s="73"/>
      <c r="BJ108" s="212">
        <f t="shared" ref="BJ108:BR108" si="96">+BJ114+BJ116+BJ112+BJ120-BJ118-BJ121</f>
        <v>172.67700000000002</v>
      </c>
      <c r="BK108" s="212">
        <f t="shared" si="96"/>
        <v>226.24299999999999</v>
      </c>
      <c r="BL108" s="212">
        <f t="shared" si="96"/>
        <v>224.34599999999998</v>
      </c>
      <c r="BM108" s="212">
        <f t="shared" si="96"/>
        <v>250.6160000000001</v>
      </c>
      <c r="BN108" s="212">
        <f t="shared" si="96"/>
        <v>447.90300000000002</v>
      </c>
      <c r="BO108" s="212">
        <f t="shared" si="96"/>
        <v>524.6160000000001</v>
      </c>
      <c r="BP108" s="212">
        <f t="shared" si="96"/>
        <v>739.88400000000001</v>
      </c>
      <c r="BQ108" s="212">
        <f t="shared" si="96"/>
        <v>764.077</v>
      </c>
      <c r="BR108" s="212">
        <f t="shared" si="96"/>
        <v>1049.01</v>
      </c>
      <c r="BS108" s="212">
        <f>+BS114+BS116+BS112+BS120-BS118-BS121</f>
        <v>1149.0000000000002</v>
      </c>
      <c r="BT108" s="212">
        <f>+BT114+BT116+BT112+BT120-BT118-BT121</f>
        <v>1127.8</v>
      </c>
      <c r="BU108" s="212">
        <f>+BU114+BU116+BU112+BU120-BU118-BU121</f>
        <v>1518.0240000000003</v>
      </c>
      <c r="BV108" s="212">
        <f>+BV114+BV116+BV112+BV120-BV118-BV121</f>
        <v>1502.606</v>
      </c>
      <c r="BW108" s="212">
        <f t="shared" ref="BW108:BW122" si="97">BC108</f>
        <v>1825.4109999999996</v>
      </c>
      <c r="BX108" s="212">
        <f t="shared" ref="BX108:BX122" si="98">BG108</f>
        <v>1878.7339999999997</v>
      </c>
    </row>
    <row r="109" spans="1:85" s="23" customFormat="1" x14ac:dyDescent="0.35">
      <c r="A109" s="252">
        <v>365</v>
      </c>
      <c r="B109" s="41" t="str">
        <f>IF(Control!$D$5=1,"Days","Dias")</f>
        <v>Days</v>
      </c>
      <c r="C109" s="213">
        <f>+C108/C110*$A$109</f>
        <v>72.922042836581412</v>
      </c>
      <c r="D109" s="243" t="s">
        <v>2</v>
      </c>
      <c r="E109" s="243" t="s">
        <v>2</v>
      </c>
      <c r="F109" s="243" t="s">
        <v>2</v>
      </c>
      <c r="G109" s="213">
        <f t="shared" ref="G109:AN109" si="99">+G108/G110*$A$109</f>
        <v>54.571470393286901</v>
      </c>
      <c r="H109" s="213">
        <f t="shared" si="99"/>
        <v>41.393595891977625</v>
      </c>
      <c r="I109" s="213">
        <f t="shared" si="99"/>
        <v>55.514483394213357</v>
      </c>
      <c r="J109" s="213">
        <f t="shared" si="99"/>
        <v>49.673623488660958</v>
      </c>
      <c r="K109" s="213">
        <f t="shared" si="99"/>
        <v>62.35862440800792</v>
      </c>
      <c r="L109" s="213">
        <f t="shared" si="99"/>
        <v>74.992973275508774</v>
      </c>
      <c r="M109" s="213">
        <f t="shared" si="99"/>
        <v>89.651559244143371</v>
      </c>
      <c r="N109" s="213">
        <f t="shared" si="99"/>
        <v>77.876172239825664</v>
      </c>
      <c r="O109" s="213">
        <f t="shared" si="99"/>
        <v>65.027318985948838</v>
      </c>
      <c r="P109" s="213">
        <f t="shared" si="99"/>
        <v>101.06090709156894</v>
      </c>
      <c r="Q109" s="213">
        <f t="shared" si="99"/>
        <v>114.42872165063736</v>
      </c>
      <c r="R109" s="213">
        <f t="shared" si="99"/>
        <v>106.43003530179789</v>
      </c>
      <c r="S109" s="213">
        <f t="shared" si="99"/>
        <v>91.652807194778603</v>
      </c>
      <c r="T109" s="213">
        <f t="shared" si="99"/>
        <v>96.917545863180635</v>
      </c>
      <c r="U109" s="213">
        <f t="shared" si="99"/>
        <v>119.63520572776387</v>
      </c>
      <c r="V109" s="213">
        <f t="shared" si="99"/>
        <v>102.24086853694504</v>
      </c>
      <c r="W109" s="213">
        <f t="shared" si="99"/>
        <v>68.973297116183659</v>
      </c>
      <c r="X109" s="213">
        <f t="shared" si="99"/>
        <v>81.546184824711617</v>
      </c>
      <c r="Y109" s="213">
        <f t="shared" si="99"/>
        <v>94.167481383507692</v>
      </c>
      <c r="Z109" s="213">
        <f t="shared" si="99"/>
        <v>85.451150374813736</v>
      </c>
      <c r="AA109" s="213">
        <f t="shared" si="99"/>
        <v>75.402180556366034</v>
      </c>
      <c r="AB109" s="213">
        <f t="shared" si="99"/>
        <v>81.230070516132997</v>
      </c>
      <c r="AC109" s="213">
        <f t="shared" si="99"/>
        <v>91.475320720409272</v>
      </c>
      <c r="AD109" s="213">
        <f t="shared" si="99"/>
        <v>92.829589304595586</v>
      </c>
      <c r="AE109" s="213">
        <f t="shared" si="99"/>
        <v>75.871775039977905</v>
      </c>
      <c r="AF109" s="213">
        <f t="shared" si="99"/>
        <v>88.379622284314948</v>
      </c>
      <c r="AG109" s="213">
        <f t="shared" si="99"/>
        <v>102.34278085571241</v>
      </c>
      <c r="AH109" s="213">
        <f t="shared" si="99"/>
        <v>118.37955838031672</v>
      </c>
      <c r="AI109" s="213">
        <f t="shared" si="99"/>
        <v>90.539907196799959</v>
      </c>
      <c r="AJ109" s="213">
        <f t="shared" si="99"/>
        <v>89.506490858023199</v>
      </c>
      <c r="AK109" s="213">
        <f t="shared" si="99"/>
        <v>108.01121125876497</v>
      </c>
      <c r="AL109" s="213">
        <f t="shared" si="99"/>
        <v>102.34770750276007</v>
      </c>
      <c r="AM109" s="213">
        <f t="shared" si="99"/>
        <v>84.763113589464282</v>
      </c>
      <c r="AN109" s="213">
        <f t="shared" si="99"/>
        <v>86.361084376002552</v>
      </c>
      <c r="AO109" s="213">
        <f t="shared" ref="AO109:AT109" si="100">+AO108/AO110*$A$109</f>
        <v>103.0179657020077</v>
      </c>
      <c r="AP109" s="213">
        <f t="shared" si="100"/>
        <v>101.67030747255566</v>
      </c>
      <c r="AQ109" s="213">
        <f t="shared" si="100"/>
        <v>88.279433840874972</v>
      </c>
      <c r="AR109" s="213">
        <f t="shared" si="100"/>
        <v>97.654553596132757</v>
      </c>
      <c r="AS109" s="213">
        <f t="shared" si="100"/>
        <v>121.18127078269943</v>
      </c>
      <c r="AT109" s="213">
        <f t="shared" si="100"/>
        <v>135.80835847933233</v>
      </c>
      <c r="AU109" s="213">
        <f>+AU108/AU110*$A$109</f>
        <v>116.67763645552563</v>
      </c>
      <c r="AV109" s="213">
        <f>+AV108/AV110*$A$109</f>
        <v>113.28012947907258</v>
      </c>
      <c r="AW109" s="213">
        <f>+AW108/AW110*$A$109</f>
        <v>125.44554502411822</v>
      </c>
      <c r="AX109" s="213">
        <f t="shared" ref="AX109:BE109" si="101">+AX108/AX110*$A$109</f>
        <v>134.73159836093745</v>
      </c>
      <c r="AY109" s="213">
        <f t="shared" si="101"/>
        <v>101.63872325954837</v>
      </c>
      <c r="AZ109" s="213">
        <f t="shared" si="101"/>
        <v>119.12849405287295</v>
      </c>
      <c r="BA109" s="213">
        <f t="shared" si="101"/>
        <v>118.83210364812527</v>
      </c>
      <c r="BB109" s="213">
        <f t="shared" si="101"/>
        <v>111.14849815252836</v>
      </c>
      <c r="BC109" s="213">
        <f t="shared" si="101"/>
        <v>89.241480862973461</v>
      </c>
      <c r="BD109" s="213">
        <f t="shared" si="101"/>
        <v>85.63017736160252</v>
      </c>
      <c r="BE109" s="213">
        <f t="shared" si="101"/>
        <v>87.388621102106868</v>
      </c>
      <c r="BF109" s="213">
        <f t="shared" ref="BF109:BG109" si="102">+BF108/BF110*$A$109</f>
        <v>85.91162870338546</v>
      </c>
      <c r="BG109" s="213">
        <f t="shared" si="102"/>
        <v>76.059160928715627</v>
      </c>
      <c r="BH109" s="213">
        <f t="shared" ref="BH109" si="103">+BH108/BH110*$A$109</f>
        <v>89.000990900146292</v>
      </c>
      <c r="BI109" s="73"/>
      <c r="BJ109" s="213">
        <f t="shared" ref="BJ109:BV109" si="104">+BJ108/BJ110*$A$109</f>
        <v>72.922042836581412</v>
      </c>
      <c r="BK109" s="213">
        <f t="shared" si="104"/>
        <v>54.571470393286901</v>
      </c>
      <c r="BL109" s="213">
        <f t="shared" si="104"/>
        <v>62.35862440800792</v>
      </c>
      <c r="BM109" s="213">
        <f t="shared" si="104"/>
        <v>65.027318985948824</v>
      </c>
      <c r="BN109" s="213">
        <f t="shared" si="104"/>
        <v>91.652807194778603</v>
      </c>
      <c r="BO109" s="213">
        <f t="shared" si="104"/>
        <v>68.973297116183659</v>
      </c>
      <c r="BP109" s="213">
        <f t="shared" si="104"/>
        <v>75.402180556366034</v>
      </c>
      <c r="BQ109" s="213">
        <f t="shared" si="104"/>
        <v>75.871775039977905</v>
      </c>
      <c r="BR109" s="213">
        <f t="shared" si="104"/>
        <v>90.539907196799959</v>
      </c>
      <c r="BS109" s="213">
        <f t="shared" si="104"/>
        <v>84.762068567568875</v>
      </c>
      <c r="BT109" s="213">
        <f t="shared" si="104"/>
        <v>88.279433840874958</v>
      </c>
      <c r="BU109" s="213">
        <f t="shared" si="104"/>
        <v>116.67763645552564</v>
      </c>
      <c r="BV109" s="213">
        <f t="shared" si="104"/>
        <v>101.63872325954837</v>
      </c>
      <c r="BW109" s="213">
        <f t="shared" si="97"/>
        <v>89.241480862973461</v>
      </c>
      <c r="BX109" s="213">
        <f t="shared" si="98"/>
        <v>76.059160928715627</v>
      </c>
    </row>
    <row r="110" spans="1:85" x14ac:dyDescent="0.35">
      <c r="B110" s="51" t="str">
        <f>IF(Control!$D$5=1,"Net Revenues LTM","Receita Líquida UDM")</f>
        <v>Net Revenues LTM</v>
      </c>
      <c r="C110" s="214">
        <f>BJ110</f>
        <v>864.30799999999999</v>
      </c>
      <c r="D110" s="244" t="s">
        <v>2</v>
      </c>
      <c r="E110" s="244" t="s">
        <v>2</v>
      </c>
      <c r="F110" s="244" t="s">
        <v>2</v>
      </c>
      <c r="G110" s="214">
        <f>SUM('P&amp;L'!C15,'P&amp;L'!D15,'P&amp;L'!E15,'P&amp;L'!F15)</f>
        <v>1513.221</v>
      </c>
      <c r="H110" s="214">
        <f>SUM('P&amp;L'!D15,'P&amp;L'!E15,'P&amp;L'!F15,'P&amp;L'!G15)</f>
        <v>1573.896</v>
      </c>
      <c r="I110" s="214">
        <f>SUM('P&amp;L'!E15,'P&amp;L'!F15,'P&amp;L'!G15,'P&amp;L'!H15)</f>
        <v>1486.53</v>
      </c>
      <c r="J110" s="214">
        <f>SUM('P&amp;L'!F15,'P&amp;L'!G15,'P&amp;L'!H15,'P&amp;L'!I15)</f>
        <v>1347.646</v>
      </c>
      <c r="K110" s="214">
        <f>SUM('P&amp;L'!G15,'P&amp;L'!H15,'P&amp;L'!I15,'P&amp;L'!J15)</f>
        <v>1313.1509999999998</v>
      </c>
      <c r="L110" s="214">
        <f>SUM('P&amp;L'!H15,'P&amp;L'!I15,'P&amp;L'!J15,'P&amp;L'!K15)</f>
        <v>1307.864</v>
      </c>
      <c r="M110" s="214">
        <f>SUM('P&amp;L'!I15,'P&amp;L'!J15,'P&amp;L'!K15,'P&amp;L'!L15)</f>
        <v>1345.652</v>
      </c>
      <c r="N110" s="214">
        <f>SUM('P&amp;L'!J15,'P&amp;L'!K15,'P&amp;L'!L15,'P&amp;L'!M15)</f>
        <v>1406.922</v>
      </c>
      <c r="O110" s="214">
        <f>SUM('P&amp;L'!K15,'P&amp;L'!L15,'P&amp;L'!M15,'P&amp;L'!N15)</f>
        <v>1406.7139999999999</v>
      </c>
      <c r="P110" s="214">
        <f>SUM('P&amp;L'!L15,'P&amp;L'!M15,'P&amp;L'!N15,'P&amp;L'!O15)</f>
        <v>1421.3780000000002</v>
      </c>
      <c r="Q110" s="214">
        <f>SUM('P&amp;L'!M15,'P&amp;L'!N15,'P&amp;L'!O15,'P&amp;L'!P15)</f>
        <v>1484.4690000000001</v>
      </c>
      <c r="R110" s="214">
        <f>SUM('P&amp;L'!N15,'P&amp;L'!O15,'P&amp;L'!P15,'P&amp;L'!Q15)</f>
        <v>1616.0649999999998</v>
      </c>
      <c r="S110" s="214">
        <f>SUM('P&amp;L'!O15,'P&amp;L'!P15,'P&amp;L'!Q15,'P&amp;L'!R15)</f>
        <v>1783.7380000000001</v>
      </c>
      <c r="T110" s="214">
        <f>SUM('P&amp;L'!P15,'P&amp;L'!Q15,'P&amp;L'!R15,'P&amp;L'!S15)</f>
        <v>1998.2260000000001</v>
      </c>
      <c r="U110" s="214">
        <f>SUM('P&amp;L'!Q15,'P&amp;L'!R15,'P&amp;L'!S15,'P&amp;L'!T15)</f>
        <v>2175.788</v>
      </c>
      <c r="V110" s="214">
        <f>SUM('P&amp;L'!R15,'P&amp;L'!S15,'P&amp;L'!T15,'P&amp;L'!U15)</f>
        <v>2498.915</v>
      </c>
      <c r="W110" s="214">
        <f>SUM('P&amp;L'!S15,'P&amp;L'!T15,'P&amp;L'!U15,'P&amp;L'!V15)</f>
        <v>2776.2169999999996</v>
      </c>
      <c r="X110" s="214">
        <f>SUM('P&amp;L'!T15,'P&amp;L'!U15,'P&amp;L'!V15,'P&amp;L'!W15)</f>
        <v>3044.0409999999997</v>
      </c>
      <c r="Y110" s="214">
        <f>SUM('P&amp;L'!U15,'P&amp;L'!V15,'P&amp;L'!W15,'P&amp;L'!X15)</f>
        <v>3333.4689999999996</v>
      </c>
      <c r="Z110" s="214">
        <f>SUM('P&amp;L'!V15,'P&amp;L'!W15,'P&amp;L'!X15,'P&amp;L'!Y15)</f>
        <v>3431.8379999999997</v>
      </c>
      <c r="AA110" s="214">
        <f>SUM('P&amp;L'!W15,'P&amp;L'!X15,'P&amp;L'!Y15,'P&amp;L'!Z15)</f>
        <v>3581.5629999999996</v>
      </c>
      <c r="AB110" s="214">
        <f>SUM('P&amp;L'!X15,'P&amp;L'!Y15,'P&amp;L'!Z15,'P&amp;L'!AA15)</f>
        <v>3653.6319999999996</v>
      </c>
      <c r="AC110" s="214">
        <f>SUM('P&amp;L'!Y15,'P&amp;L'!Z15,'P&amp;L'!AA15,'P&amp;L'!AB15)</f>
        <v>3656.1439999999998</v>
      </c>
      <c r="AD110" s="214">
        <f>SUM('P&amp;L'!Z15,'P&amp;L'!AA15,'P&amp;L'!AB15,'P&amp;L'!AC15)</f>
        <v>3672.3809999999999</v>
      </c>
      <c r="AE110" s="214">
        <f>SUM('P&amp;L'!AA15,'P&amp;L'!AB15,'P&amp;L'!AC15,'P&amp;L'!AD15)</f>
        <v>3675.7819999999997</v>
      </c>
      <c r="AF110" s="214">
        <f>SUM('P&amp;L'!AB15,'P&amp;L'!AC15,'P&amp;L'!AD15,'P&amp;L'!AE15)</f>
        <v>3712.3689999999997</v>
      </c>
      <c r="AG110" s="214">
        <f>SUM('P&amp;L'!AC15,'P&amp;L'!AD15,'P&amp;L'!AE15,'P&amp;L'!AF15)</f>
        <v>3841.5009999999997</v>
      </c>
      <c r="AH110" s="214">
        <f>SUM('P&amp;L'!AD15,'P&amp;L'!AE15,'P&amp;L'!AF15,'P&amp;L'!AG15)</f>
        <v>4054.6200000000008</v>
      </c>
      <c r="AI110" s="214">
        <f>SUM('P&amp;L'!AE15,'P&amp;L'!AF15,'P&amp;L'!AG15,'P&amp;L'!AH15)</f>
        <v>4228.9490000000005</v>
      </c>
      <c r="AJ110" s="214">
        <f>SUM('P&amp;L'!AF15,'P&amp;L'!AG15,'P&amp;L'!AH15,'P&amp;L'!AI15)</f>
        <v>4403.4240000000009</v>
      </c>
      <c r="AK110" s="214">
        <f>SUM('P&amp;L'!AG15,'P&amp;L'!AH15,'P&amp;L'!AI15,'P&amp;L'!AJ15)</f>
        <v>4652.0200000000004</v>
      </c>
      <c r="AL110" s="214">
        <f>SUM('P&amp;L'!AH15,'P&amp;L'!AI15,'P&amp;L'!AJ15,'P&amp;L'!AK15)</f>
        <v>4784.3459999999995</v>
      </c>
      <c r="AM110" s="214">
        <f>SUM('P&amp;L'!AI15,'P&amp;L'!AJ15,'P&amp;L'!AK15,'P&amp;L'!AL15)</f>
        <v>4947.7299999999996</v>
      </c>
      <c r="AN110" s="214">
        <f>SUM('P&amp;L'!AJ15,'P&amp;L'!AK15,'P&amp;L'!AL15,'P&amp;L'!AM15)</f>
        <v>5037.0719999999992</v>
      </c>
      <c r="AO110" s="214">
        <f>SUM('P&amp;L'!AK15,'P&amp;L'!AL15,'P&amp;L'!AM15,'P&amp;L'!AN15)</f>
        <v>4925.8860000000004</v>
      </c>
      <c r="AP110" s="214">
        <f>SUM('P&amp;L'!AL15,'P&amp;L'!AM15,'P&amp;L'!AN15,'P&amp;L'!AO15)</f>
        <v>4808.9169999999995</v>
      </c>
      <c r="AQ110" s="214">
        <f>SUM('P&amp;L'!AM15,'P&amp;L'!AN15,'P&amp;L'!AO15,'P&amp;L'!AP15)</f>
        <v>4663</v>
      </c>
      <c r="AR110" s="214">
        <f>SUM('P&amp;L'!AN15,'P&amp;L'!AO15,'P&amp;L'!AP15,'P&amp;L'!AQ15)</f>
        <v>4441.8409999999994</v>
      </c>
      <c r="AS110" s="214">
        <f>SUM('P&amp;L'!AO15,'P&amp;L'!AP15,'P&amp;L'!AQ15,'P&amp;L'!AR15)</f>
        <v>4425.5560000000005</v>
      </c>
      <c r="AT110" s="214">
        <f>SUM('P&amp;L'!AP15,'P&amp;L'!AQ15,'P&amp;L'!AR15,'P&amp;L'!AS15)</f>
        <v>4533.1930000000002</v>
      </c>
      <c r="AU110" s="214">
        <f>SUM('P&amp;L'!AQ15,'P&amp;L'!AR15,'P&amp;L'!AS15,'P&amp;L'!AT15)</f>
        <v>4748.8</v>
      </c>
      <c r="AV110" s="214">
        <f>SUM('P&amp;L'!AR15,'P&amp;L'!AS15,'P&amp;L'!AT15,'P&amp;L'!AU15)</f>
        <v>4981.5</v>
      </c>
      <c r="AW110" s="214">
        <f>SUM('P&amp;L'!AS15,'P&amp;L'!AT15,'P&amp;L'!AU15,'P&amp;L'!AV15)</f>
        <v>5059.4549999999999</v>
      </c>
      <c r="AX110" s="214">
        <f>SUM('P&amp;L'!AT15,'P&amp;L'!AU15,'P&amp;L'!AV15,'P&amp;L'!AW15)</f>
        <v>5236.1640000000007</v>
      </c>
      <c r="AY110" s="214">
        <f>SUM('P&amp;L'!AU15,'P&amp;L'!AV15,'P&amp;L'!AW15,'P&amp;L'!AX15)</f>
        <v>5396.0849999999991</v>
      </c>
      <c r="AZ110" s="214">
        <f>SUM('P&amp;L'!AV15,'P&amp;L'!AW15,'P&amp;L'!AX15,'P&amp;L'!AY15)</f>
        <v>5887.9689999999991</v>
      </c>
      <c r="BA110" s="214">
        <f>SUM('P&amp;L'!AW15,'P&amp;L'!AX15,'P&amp;L'!AY15,'P&amp;L'!AZ15)</f>
        <v>6577.021999999999</v>
      </c>
      <c r="BB110" s="214">
        <f>SUM('P&amp;L'!AX15,'P&amp;L'!AY15,'P&amp;L'!AZ15,'P&amp;L'!BA15)</f>
        <v>7127.3329209800004</v>
      </c>
      <c r="BC110" s="214">
        <f>SUM('P&amp;L'!AY15,'P&amp;L'!AZ15,'P&amp;L'!BA15,'P&amp;L'!BB15)</f>
        <v>7465.9789209800001</v>
      </c>
      <c r="BD110" s="214">
        <f>SUM('P&amp;L'!AZ15,'P&amp;L'!BA15,'P&amp;L'!BB15,'P&amp;L'!BC15)</f>
        <v>7994.15692098</v>
      </c>
      <c r="BE110" s="214">
        <f>SUM('P&amp;L'!BA15,'P&amp;L'!BB15,'P&amp;L'!BC15,'P&amp;L'!BD15)</f>
        <v>8300.0739209800013</v>
      </c>
      <c r="BF110" s="214">
        <f>SUM('P&amp;L'!BB15,'P&amp;L'!BC15,'P&amp;L'!BD15,'P&amp;L'!BE15)</f>
        <v>8579.2109999999993</v>
      </c>
      <c r="BG110" s="214">
        <f>SUM('P&amp;L'!BC15,'P&amp;L'!BD15,'P&amp;L'!BE15,'P&amp;L'!BF15)</f>
        <v>9015.8490000000002</v>
      </c>
      <c r="BH110" s="214">
        <f>SUM('P&amp;L'!BD15,'P&amp;L'!BE15,'P&amp;L'!BF15,'P&amp;L'!BG15)</f>
        <v>9155.3119999999999</v>
      </c>
      <c r="BI110" s="73"/>
      <c r="BJ110" s="214">
        <f>'P&amp;L'!BI15</f>
        <v>864.30799999999999</v>
      </c>
      <c r="BK110" s="214">
        <f>'P&amp;L'!BJ15</f>
        <v>1513.221</v>
      </c>
      <c r="BL110" s="214">
        <f>'P&amp;L'!BK15</f>
        <v>1313.1509999999998</v>
      </c>
      <c r="BM110" s="214">
        <f>'P&amp;L'!BL15</f>
        <v>1406.7140000000002</v>
      </c>
      <c r="BN110" s="214">
        <f>'P&amp;L'!BM15</f>
        <v>1783.7380000000001</v>
      </c>
      <c r="BO110" s="214">
        <f>'P&amp;L'!BN15</f>
        <v>2776.2169999999996</v>
      </c>
      <c r="BP110" s="214">
        <f>'P&amp;L'!BO15</f>
        <v>3581.5630000000001</v>
      </c>
      <c r="BQ110" s="214">
        <f>'P&amp;L'!BP15</f>
        <v>3675.7819999999997</v>
      </c>
      <c r="BR110" s="214">
        <f>'P&amp;L'!BQ15</f>
        <v>4228.9490000000005</v>
      </c>
      <c r="BS110" s="214">
        <f>'P&amp;L'!BR15</f>
        <v>4947.7909999999993</v>
      </c>
      <c r="BT110" s="214">
        <f>'P&amp;L'!BS15</f>
        <v>4663.0000000000009</v>
      </c>
      <c r="BU110" s="166">
        <f>'P&amp;L'!BT15</f>
        <v>4748.7999999999993</v>
      </c>
      <c r="BV110" s="166">
        <f>AY110</f>
        <v>5396.0849999999991</v>
      </c>
      <c r="BW110" s="166">
        <f t="shared" si="97"/>
        <v>7465.9789209800001</v>
      </c>
      <c r="BX110" s="166">
        <f t="shared" si="98"/>
        <v>9015.8490000000002</v>
      </c>
      <c r="CG110" s="63"/>
    </row>
    <row r="111" spans="1:85" x14ac:dyDescent="0.35">
      <c r="B111" s="256" t="str">
        <f>IF(Control!$D$5=1,"Cost of Sales and Services LTM","Custo das Vendas e Serviços UDM")</f>
        <v>Cost of Sales and Services LTM</v>
      </c>
      <c r="C111" s="257">
        <f>BJ111</f>
        <v>-633.28499999999997</v>
      </c>
      <c r="D111" s="258" t="s">
        <v>2</v>
      </c>
      <c r="E111" s="258" t="s">
        <v>2</v>
      </c>
      <c r="F111" s="258" t="s">
        <v>2</v>
      </c>
      <c r="G111" s="257">
        <f>SUM('P&amp;L'!C16,'P&amp;L'!D16,'P&amp;L'!E16,'P&amp;L'!F16)</f>
        <v>-1166.135</v>
      </c>
      <c r="H111" s="257">
        <f>SUM('P&amp;L'!D16,'P&amp;L'!E16,'P&amp;L'!F16,'P&amp;L'!G16)</f>
        <v>-1229.5729999999999</v>
      </c>
      <c r="I111" s="257">
        <f>SUM('P&amp;L'!E16,'P&amp;L'!F16,'P&amp;L'!G16,'P&amp;L'!H16)</f>
        <v>-1168.895</v>
      </c>
      <c r="J111" s="257">
        <f>SUM('P&amp;L'!F16,'P&amp;L'!G16,'P&amp;L'!H16,'P&amp;L'!I16)</f>
        <v>-1049.6759999999999</v>
      </c>
      <c r="K111" s="257">
        <f>SUM('P&amp;L'!G16,'P&amp;L'!H16,'P&amp;L'!I16,'P&amp;L'!J16)</f>
        <v>-1013.9349999999999</v>
      </c>
      <c r="L111" s="257">
        <f>SUM('P&amp;L'!H16,'P&amp;L'!I16,'P&amp;L'!J16,'P&amp;L'!K16)</f>
        <v>-1006.434</v>
      </c>
      <c r="M111" s="257">
        <f>SUM('P&amp;L'!I16,'P&amp;L'!J16,'P&amp;L'!K16,'P&amp;L'!L16)</f>
        <v>-1031.546</v>
      </c>
      <c r="N111" s="257">
        <f>SUM('P&amp;L'!J16,'P&amp;L'!K16,'P&amp;L'!L16,'P&amp;L'!M16)</f>
        <v>-1073.328</v>
      </c>
      <c r="O111" s="257">
        <f>SUM('P&amp;L'!K16,'P&amp;L'!L16,'P&amp;L'!M16,'P&amp;L'!N16)</f>
        <v>-1065.7</v>
      </c>
      <c r="P111" s="257">
        <f>SUM('P&amp;L'!L16,'P&amp;L'!M16,'P&amp;L'!N16,'P&amp;L'!O16)</f>
        <v>-1063.3519999999999</v>
      </c>
      <c r="Q111" s="257">
        <f>SUM('P&amp;L'!M16,'P&amp;L'!N16,'P&amp;L'!O16,'P&amp;L'!P16)</f>
        <v>-1087.8029999999999</v>
      </c>
      <c r="R111" s="257">
        <f>SUM('P&amp;L'!N16,'P&amp;L'!O16,'P&amp;L'!P16,'P&amp;L'!Q16)</f>
        <v>-1181.0439999999999</v>
      </c>
      <c r="S111" s="257">
        <f>SUM('P&amp;L'!O16,'P&amp;L'!P16,'P&amp;L'!Q16,'P&amp;L'!R16)</f>
        <v>-1299.4839999999999</v>
      </c>
      <c r="T111" s="257">
        <f>SUM('P&amp;L'!P16,'P&amp;L'!Q16,'P&amp;L'!R16,'P&amp;L'!S16)</f>
        <v>-1477.807</v>
      </c>
      <c r="U111" s="257">
        <f>SUM('P&amp;L'!Q16,'P&amp;L'!R16,'P&amp;L'!S16,'P&amp;L'!T16)</f>
        <v>-1633.9159999999999</v>
      </c>
      <c r="V111" s="257">
        <f>SUM('P&amp;L'!R16,'P&amp;L'!S16,'P&amp;L'!T16,'P&amp;L'!U16)</f>
        <v>-1890.8239999999998</v>
      </c>
      <c r="W111" s="257">
        <f>SUM('P&amp;L'!S16,'P&amp;L'!T16,'P&amp;L'!U16,'P&amp;L'!V16)</f>
        <v>-2107.8359999999993</v>
      </c>
      <c r="X111" s="257">
        <f>SUM('P&amp;L'!T16,'P&amp;L'!U16,'P&amp;L'!V16,'P&amp;L'!W16)</f>
        <v>-2278.2809999999999</v>
      </c>
      <c r="Y111" s="257">
        <f>SUM('P&amp;L'!U16,'P&amp;L'!V16,'P&amp;L'!W16,'P&amp;L'!X16)</f>
        <v>-2490.9109999999996</v>
      </c>
      <c r="Z111" s="257">
        <f>SUM('P&amp;L'!V16,'P&amp;L'!W16,'P&amp;L'!X16,'P&amp;L'!Y16)</f>
        <v>-2581.58</v>
      </c>
      <c r="AA111" s="257">
        <f>SUM('P&amp;L'!W16,'P&amp;L'!X16,'P&amp;L'!Y16,'P&amp;L'!Z16)</f>
        <v>-2702.4540000000002</v>
      </c>
      <c r="AB111" s="257">
        <f>SUM('P&amp;L'!X16,'P&amp;L'!Y16,'P&amp;L'!Z16,'P&amp;L'!AA16)</f>
        <v>-2779.7330000000002</v>
      </c>
      <c r="AC111" s="257">
        <f>SUM('P&amp;L'!Y16,'P&amp;L'!Z16,'P&amp;L'!AA16,'P&amp;L'!AB16)</f>
        <v>-2789.5140000000001</v>
      </c>
      <c r="AD111" s="257">
        <f>SUM('P&amp;L'!Z16,'P&amp;L'!AA16,'P&amp;L'!AB16,'P&amp;L'!AC16)</f>
        <v>-2796.9150000000009</v>
      </c>
      <c r="AE111" s="257">
        <f>SUM('P&amp;L'!AA16,'P&amp;L'!AB16,'P&amp;L'!AC16,'P&amp;L'!AD16)</f>
        <v>-2824.3649999999998</v>
      </c>
      <c r="AF111" s="257">
        <f>SUM('P&amp;L'!AB16,'P&amp;L'!AC16,'P&amp;L'!AD16,'P&amp;L'!AE16)</f>
        <v>-2863.7069999999999</v>
      </c>
      <c r="AG111" s="257">
        <f>SUM('P&amp;L'!AC16,'P&amp;L'!AD16,'P&amp;L'!AE16,'P&amp;L'!AF16)</f>
        <v>-2962.3079999999995</v>
      </c>
      <c r="AH111" s="257">
        <f>SUM('P&amp;L'!AD16,'P&amp;L'!AE16,'P&amp;L'!AF16,'P&amp;L'!AG16)</f>
        <v>-3103.8489999999993</v>
      </c>
      <c r="AI111" s="257">
        <f>SUM('P&amp;L'!AE16,'P&amp;L'!AF16,'P&amp;L'!AG16,'P&amp;L'!AH16)</f>
        <v>-3194.8</v>
      </c>
      <c r="AJ111" s="257">
        <f>SUM('P&amp;L'!AF16,'P&amp;L'!AG16,'P&amp;L'!AH16,'P&amp;L'!AI16)</f>
        <v>-3309.1340000000005</v>
      </c>
      <c r="AK111" s="257">
        <f>SUM('P&amp;L'!AG16,'P&amp;L'!AH16,'P&amp;L'!AI16,'P&amp;L'!AJ16)</f>
        <v>-3452.4220000000005</v>
      </c>
      <c r="AL111" s="257">
        <f>SUM('P&amp;L'!AH16,'P&amp;L'!AI16,'P&amp;L'!AJ16,'P&amp;L'!AK16)</f>
        <v>-3569.4090000000001</v>
      </c>
      <c r="AM111" s="257">
        <f>SUM('P&amp;L'!AI16,'P&amp;L'!AJ16,'P&amp;L'!AK16,'P&amp;L'!AL16)</f>
        <v>-3726.5920000000001</v>
      </c>
      <c r="AN111" s="257">
        <f>SUM('P&amp;L'!AJ16,'P&amp;L'!AK16,'P&amp;L'!AL16,'P&amp;L'!AM16)</f>
        <v>-3812.3919999999998</v>
      </c>
      <c r="AO111" s="257">
        <f>SUM('P&amp;L'!AK16,'P&amp;L'!AL16,'P&amp;L'!AM16,'P&amp;L'!AN16)</f>
        <v>-3771.877</v>
      </c>
      <c r="AP111" s="257">
        <f>SUM('P&amp;L'!AL16,'P&amp;L'!AM16,'P&amp;L'!AN16,'P&amp;L'!AO16)</f>
        <v>-3662.9119999999998</v>
      </c>
      <c r="AQ111" s="257">
        <f>SUM('P&amp;L'!AM16,'P&amp;L'!AN16,'P&amp;L'!AO16,'P&amp;L'!AP16)</f>
        <v>-3512.5</v>
      </c>
      <c r="AR111" s="257">
        <f>SUM('P&amp;L'!AN16,'P&amp;L'!AO16,'P&amp;L'!AP16,'P&amp;L'!AQ16)</f>
        <v>-3325.4409999999998</v>
      </c>
      <c r="AS111" s="257">
        <f>SUM('P&amp;L'!AO16,'P&amp;L'!AP16,'P&amp;L'!AQ16,'P&amp;L'!AR16)</f>
        <v>-3275.3109999999997</v>
      </c>
      <c r="AT111" s="257">
        <f>SUM('P&amp;L'!AP16,'P&amp;L'!AQ16,'P&amp;L'!AR16,'P&amp;L'!AS16)</f>
        <v>-3348.99</v>
      </c>
      <c r="AU111" s="257">
        <f>SUM('P&amp;L'!AQ16,'P&amp;L'!AR16,'P&amp;L'!AS16,'P&amp;L'!AT16)</f>
        <v>-3527.1</v>
      </c>
      <c r="AV111" s="257">
        <f>SUM('P&amp;L'!AR16,'P&amp;L'!AS16,'P&amp;L'!AT16,'P&amp;L'!AU16)</f>
        <v>-3736.3</v>
      </c>
      <c r="AW111" s="257">
        <f>SUM('P&amp;L'!AS16,'P&amp;L'!AT16,'P&amp;L'!AU16,'P&amp;L'!AV16)</f>
        <v>-3846.6950000000002</v>
      </c>
      <c r="AX111" s="257">
        <f>SUM('P&amp;L'!AT16,'P&amp;L'!AU16,'P&amp;L'!AV16,'P&amp;L'!AW16)</f>
        <v>-4000.6040000000003</v>
      </c>
      <c r="AY111" s="257">
        <f>SUM('P&amp;L'!AU16,'P&amp;L'!AV16,'P&amp;L'!AW16,'P&amp;L'!AX16)</f>
        <v>-4145.2559999999994</v>
      </c>
      <c r="AZ111" s="257">
        <f>SUM('P&amp;L'!AV16,'P&amp;L'!AW16,'P&amp;L'!AX16,'P&amp;L'!AY16)</f>
        <v>-4510.3469999999998</v>
      </c>
      <c r="BA111" s="257">
        <f>SUM('P&amp;L'!AW16,'P&amp;L'!AX16,'P&amp;L'!AY16,'P&amp;L'!AZ16)</f>
        <v>-5048.59</v>
      </c>
      <c r="BB111" s="257">
        <f>SUM('P&amp;L'!AX16,'P&amp;L'!AY16,'P&amp;L'!AZ16,'P&amp;L'!BA16)</f>
        <v>-5472.4989999999998</v>
      </c>
      <c r="BC111" s="257">
        <f>SUM('P&amp;L'!AY16,'P&amp;L'!AZ16,'P&amp;L'!BA16,'P&amp;L'!BB16)</f>
        <v>-5804.9940000000006</v>
      </c>
      <c r="BD111" s="257">
        <f>SUM('P&amp;L'!AZ16,'P&amp;L'!BA16,'P&amp;L'!BB16,'P&amp;L'!BC16)</f>
        <v>-6299.13</v>
      </c>
      <c r="BE111" s="257">
        <f>SUM('P&amp;L'!BA16,'P&amp;L'!BB16,'P&amp;L'!BC16,'P&amp;L'!BD16)</f>
        <v>-6606.5690000000004</v>
      </c>
      <c r="BF111" s="257">
        <f>SUM('P&amp;L'!BB16,'P&amp;L'!BC16,'P&amp;L'!BD16,'P&amp;L'!BE16)</f>
        <v>-6883.1010000000006</v>
      </c>
      <c r="BG111" s="257">
        <f>SUM('P&amp;L'!BC16,'P&amp;L'!BD16,'P&amp;L'!BE16,'P&amp;L'!BF16)</f>
        <v>-7237.7020000000002</v>
      </c>
      <c r="BH111" s="257">
        <f>SUM('P&amp;L'!BD16,'P&amp;L'!BE16,'P&amp;L'!BF16,'P&amp;L'!BG16)</f>
        <v>-7277.41</v>
      </c>
      <c r="BI111" s="73"/>
      <c r="BJ111" s="257">
        <f>'P&amp;L'!BI16</f>
        <v>-633.28499999999997</v>
      </c>
      <c r="BK111" s="257">
        <f>'P&amp;L'!BJ16</f>
        <v>-1166.135</v>
      </c>
      <c r="BL111" s="257">
        <f>'P&amp;L'!BK16</f>
        <v>-1013.9349999999999</v>
      </c>
      <c r="BM111" s="257">
        <f>'P&amp;L'!BL16</f>
        <v>-1065.7</v>
      </c>
      <c r="BN111" s="257">
        <f>'P&amp;L'!BM16</f>
        <v>-1299.4839999999999</v>
      </c>
      <c r="BO111" s="257">
        <f>'P&amp;L'!BN16</f>
        <v>-2107.8359999999998</v>
      </c>
      <c r="BP111" s="257">
        <f>'P&amp;L'!BO16</f>
        <v>-2702.4540000000002</v>
      </c>
      <c r="BQ111" s="257">
        <f>'P&amp;L'!BP16</f>
        <v>-2824.3649999999998</v>
      </c>
      <c r="BR111" s="257">
        <f>'P&amp;L'!BQ16</f>
        <v>-3194.8</v>
      </c>
      <c r="BS111" s="257">
        <f>'P&amp;L'!BR16</f>
        <v>-3726.5920000000001</v>
      </c>
      <c r="BT111" s="257">
        <f>'P&amp;L'!BS16</f>
        <v>-3512.5</v>
      </c>
      <c r="BU111" s="166">
        <f>'P&amp;L'!BT16</f>
        <v>-3527.1</v>
      </c>
      <c r="BV111" s="166">
        <f>AY111</f>
        <v>-4145.2559999999994</v>
      </c>
      <c r="BW111" s="166">
        <f t="shared" si="97"/>
        <v>-5804.9940000000006</v>
      </c>
      <c r="BX111" s="166">
        <f t="shared" si="98"/>
        <v>-7237.7020000000002</v>
      </c>
      <c r="CG111" s="63"/>
    </row>
    <row r="112" spans="1:85" x14ac:dyDescent="0.35">
      <c r="B112" s="259" t="str">
        <f>B14</f>
        <v>Accounts Receivable</v>
      </c>
      <c r="C112" s="260">
        <f>C14</f>
        <v>112.723</v>
      </c>
      <c r="D112" s="261" t="s">
        <v>2</v>
      </c>
      <c r="E112" s="261" t="s">
        <v>2</v>
      </c>
      <c r="F112" s="261" t="s">
        <v>2</v>
      </c>
      <c r="G112" s="260">
        <f t="shared" ref="G112:AZ112" si="105">G14</f>
        <v>171.84899999999999</v>
      </c>
      <c r="H112" s="260">
        <f t="shared" si="105"/>
        <v>167.245</v>
      </c>
      <c r="I112" s="260">
        <f t="shared" si="105"/>
        <v>137.10400000000001</v>
      </c>
      <c r="J112" s="260">
        <f t="shared" si="105"/>
        <v>127.252</v>
      </c>
      <c r="K112" s="260">
        <f t="shared" si="105"/>
        <v>174.07499999999999</v>
      </c>
      <c r="L112" s="260">
        <f t="shared" si="105"/>
        <v>213.68799999999999</v>
      </c>
      <c r="M112" s="260">
        <f t="shared" si="105"/>
        <v>179.3</v>
      </c>
      <c r="N112" s="260">
        <f t="shared" si="105"/>
        <v>183.12899999999999</v>
      </c>
      <c r="O112" s="260">
        <f t="shared" si="105"/>
        <v>179.20500000000001</v>
      </c>
      <c r="P112" s="260">
        <f t="shared" si="105"/>
        <v>234.24799999999999</v>
      </c>
      <c r="Q112" s="260">
        <f t="shared" si="105"/>
        <v>206.55799999999999</v>
      </c>
      <c r="R112" s="260">
        <f t="shared" si="105"/>
        <v>272.65300000000002</v>
      </c>
      <c r="S112" s="260">
        <f t="shared" si="105"/>
        <v>308.935</v>
      </c>
      <c r="T112" s="260">
        <f t="shared" si="105"/>
        <v>300.98399999999998</v>
      </c>
      <c r="U112" s="260">
        <f t="shared" si="105"/>
        <v>352.15800000000002</v>
      </c>
      <c r="V112" s="260">
        <f t="shared" si="105"/>
        <v>459.78</v>
      </c>
      <c r="W112" s="260">
        <f t="shared" si="105"/>
        <v>439.63499999999999</v>
      </c>
      <c r="X112" s="260">
        <f t="shared" si="105"/>
        <v>440.86099999999999</v>
      </c>
      <c r="Y112" s="260">
        <f t="shared" si="105"/>
        <v>490.5</v>
      </c>
      <c r="Z112" s="260">
        <f t="shared" si="105"/>
        <v>476.37</v>
      </c>
      <c r="AA112" s="260">
        <f t="shared" si="105"/>
        <v>526.65</v>
      </c>
      <c r="AB112" s="260">
        <f t="shared" si="105"/>
        <v>498.77699999999999</v>
      </c>
      <c r="AC112" s="260">
        <f t="shared" si="105"/>
        <v>492.125</v>
      </c>
      <c r="AD112" s="260">
        <f t="shared" si="105"/>
        <v>584.255</v>
      </c>
      <c r="AE112" s="260">
        <f t="shared" si="105"/>
        <v>575.32600000000002</v>
      </c>
      <c r="AF112" s="260">
        <f t="shared" si="105"/>
        <v>559.46400000000006</v>
      </c>
      <c r="AG112" s="260">
        <f t="shared" si="105"/>
        <v>585.77800000000002</v>
      </c>
      <c r="AH112" s="260">
        <f t="shared" si="105"/>
        <v>687.29100000000005</v>
      </c>
      <c r="AI112" s="260">
        <f t="shared" si="105"/>
        <v>615.03800000000001</v>
      </c>
      <c r="AJ112" s="260">
        <f t="shared" si="105"/>
        <v>588.03499999999997</v>
      </c>
      <c r="AK112" s="260">
        <f t="shared" si="105"/>
        <v>585.81299999999999</v>
      </c>
      <c r="AL112" s="260">
        <f t="shared" si="105"/>
        <v>625.04200000000003</v>
      </c>
      <c r="AM112" s="260">
        <f t="shared" si="105"/>
        <v>676.7</v>
      </c>
      <c r="AN112" s="260">
        <f t="shared" si="105"/>
        <v>602.90700000000004</v>
      </c>
      <c r="AO112" s="260">
        <f t="shared" si="105"/>
        <v>579.69000000000005</v>
      </c>
      <c r="AP112" s="260">
        <f t="shared" si="105"/>
        <v>601.83199999999999</v>
      </c>
      <c r="AQ112" s="260">
        <f t="shared" si="105"/>
        <v>609.5</v>
      </c>
      <c r="AR112" s="260">
        <f t="shared" si="105"/>
        <v>560.29999999999995</v>
      </c>
      <c r="AS112" s="260">
        <f t="shared" si="105"/>
        <v>590.30000000000007</v>
      </c>
      <c r="AT112" s="260">
        <f t="shared" si="105"/>
        <v>678.5</v>
      </c>
      <c r="AU112" s="260">
        <f t="shared" si="105"/>
        <v>690.53599999999994</v>
      </c>
      <c r="AV112" s="260">
        <f t="shared" si="105"/>
        <v>665.4</v>
      </c>
      <c r="AW112" s="260">
        <f t="shared" si="105"/>
        <v>634.72799999999995</v>
      </c>
      <c r="AX112" s="260">
        <f t="shared" si="105"/>
        <v>909.00300000000004</v>
      </c>
      <c r="AY112" s="260">
        <f t="shared" si="105"/>
        <v>725.26199999999994</v>
      </c>
      <c r="AZ112" s="260">
        <f t="shared" si="105"/>
        <v>863.67899999999997</v>
      </c>
      <c r="BA112" s="260">
        <f t="shared" ref="BA112:BF112" si="106">BA14</f>
        <v>978.226</v>
      </c>
      <c r="BB112" s="260">
        <f t="shared" si="106"/>
        <v>962.42700000000002</v>
      </c>
      <c r="BC112" s="260">
        <f t="shared" si="106"/>
        <v>945.12</v>
      </c>
      <c r="BD112" s="260">
        <f t="shared" si="106"/>
        <v>1191.3</v>
      </c>
      <c r="BE112" s="260">
        <f t="shared" si="106"/>
        <v>1040.2260000000001</v>
      </c>
      <c r="BF112" s="260">
        <f t="shared" si="106"/>
        <v>1212.8869999999999</v>
      </c>
      <c r="BG112" s="260">
        <f t="shared" ref="BG112:BH112" si="107">BG14</f>
        <v>1212.386</v>
      </c>
      <c r="BH112" s="260">
        <f t="shared" si="107"/>
        <v>1415.4749999999999</v>
      </c>
      <c r="BI112" s="255"/>
      <c r="BJ112" s="260">
        <f t="shared" ref="BJ112:BU112" si="108">BJ14</f>
        <v>112.723</v>
      </c>
      <c r="BK112" s="260">
        <f t="shared" si="108"/>
        <v>171.84899999999999</v>
      </c>
      <c r="BL112" s="260">
        <f t="shared" si="108"/>
        <v>174.07499999999999</v>
      </c>
      <c r="BM112" s="260">
        <f t="shared" si="108"/>
        <v>179.20500000000001</v>
      </c>
      <c r="BN112" s="260">
        <f t="shared" si="108"/>
        <v>308.935</v>
      </c>
      <c r="BO112" s="260">
        <f t="shared" si="108"/>
        <v>439.63499999999999</v>
      </c>
      <c r="BP112" s="260">
        <f t="shared" si="108"/>
        <v>526.65</v>
      </c>
      <c r="BQ112" s="260">
        <f t="shared" si="108"/>
        <v>575.32600000000002</v>
      </c>
      <c r="BR112" s="260">
        <f t="shared" si="108"/>
        <v>615.03800000000001</v>
      </c>
      <c r="BS112" s="260">
        <f t="shared" si="108"/>
        <v>676.7</v>
      </c>
      <c r="BT112" s="260">
        <f t="shared" si="108"/>
        <v>609.5</v>
      </c>
      <c r="BU112" s="260">
        <f t="shared" si="108"/>
        <v>690.53599999999994</v>
      </c>
      <c r="BV112" s="260">
        <f>AY112</f>
        <v>725.26199999999994</v>
      </c>
      <c r="BW112" s="260">
        <f t="shared" si="97"/>
        <v>945.12</v>
      </c>
      <c r="BX112" s="260">
        <f t="shared" si="98"/>
        <v>1212.386</v>
      </c>
      <c r="CG112" s="63"/>
    </row>
    <row r="113" spans="1:85" s="207" customFormat="1" x14ac:dyDescent="0.35">
      <c r="A113" s="7"/>
      <c r="B113" s="262" t="str">
        <f>IF(Control!$D$5=1,"Days","Dias")</f>
        <v>Days</v>
      </c>
      <c r="C113" s="263">
        <f>+C112/C110*$A$109</f>
        <v>47.603279155116006</v>
      </c>
      <c r="D113" s="263" t="s">
        <v>2</v>
      </c>
      <c r="E113" s="263" t="s">
        <v>2</v>
      </c>
      <c r="F113" s="263" t="s">
        <v>2</v>
      </c>
      <c r="G113" s="263">
        <f t="shared" ref="G113:AP113" si="109">+G112/G110*$A$109</f>
        <v>41.451238781380901</v>
      </c>
      <c r="H113" s="263">
        <f t="shared" si="109"/>
        <v>38.785551904318964</v>
      </c>
      <c r="I113" s="263">
        <f t="shared" si="109"/>
        <v>33.664278554755036</v>
      </c>
      <c r="J113" s="263">
        <f t="shared" si="109"/>
        <v>34.465267585107661</v>
      </c>
      <c r="K113" s="263">
        <f t="shared" si="109"/>
        <v>48.385429398446945</v>
      </c>
      <c r="L113" s="263">
        <f t="shared" si="109"/>
        <v>59.636261874323324</v>
      </c>
      <c r="M113" s="263">
        <f t="shared" si="109"/>
        <v>48.634045057711802</v>
      </c>
      <c r="N113" s="263">
        <f t="shared" si="109"/>
        <v>47.50944615266517</v>
      </c>
      <c r="O113" s="263">
        <f t="shared" si="109"/>
        <v>46.498310957309023</v>
      </c>
      <c r="P113" s="263">
        <f t="shared" si="109"/>
        <v>60.153259724014298</v>
      </c>
      <c r="Q113" s="263">
        <f t="shared" si="109"/>
        <v>50.788308816149069</v>
      </c>
      <c r="R113" s="263">
        <f t="shared" si="109"/>
        <v>61.580657337421464</v>
      </c>
      <c r="S113" s="263">
        <f t="shared" si="109"/>
        <v>63.216276717769091</v>
      </c>
      <c r="T113" s="263">
        <f t="shared" si="109"/>
        <v>54.97834579271813</v>
      </c>
      <c r="U113" s="263">
        <f t="shared" si="109"/>
        <v>59.076376007221299</v>
      </c>
      <c r="V113" s="263">
        <f t="shared" si="109"/>
        <v>67.157026149348809</v>
      </c>
      <c r="W113" s="263">
        <f t="shared" si="109"/>
        <v>57.800515953904188</v>
      </c>
      <c r="X113" s="263">
        <f t="shared" si="109"/>
        <v>52.862055734466132</v>
      </c>
      <c r="Y113" s="263">
        <f t="shared" si="109"/>
        <v>53.707564102141049</v>
      </c>
      <c r="Z113" s="263">
        <f t="shared" si="109"/>
        <v>50.665284899811709</v>
      </c>
      <c r="AA113" s="263">
        <f t="shared" si="109"/>
        <v>53.671330086892233</v>
      </c>
      <c r="AB113" s="263">
        <f t="shared" si="109"/>
        <v>49.828117610093194</v>
      </c>
      <c r="AC113" s="263">
        <f t="shared" si="109"/>
        <v>49.129800412675209</v>
      </c>
      <c r="AD113" s="263">
        <f t="shared" si="109"/>
        <v>58.069430976796795</v>
      </c>
      <c r="AE113" s="263">
        <f t="shared" si="109"/>
        <v>57.129065325419198</v>
      </c>
      <c r="AF113" s="263">
        <f t="shared" si="109"/>
        <v>55.006482383620821</v>
      </c>
      <c r="AG113" s="263">
        <f t="shared" si="109"/>
        <v>55.657663501844731</v>
      </c>
      <c r="AH113" s="263">
        <f t="shared" si="109"/>
        <v>61.870462583423354</v>
      </c>
      <c r="AI113" s="263">
        <f t="shared" si="109"/>
        <v>53.08384423647577</v>
      </c>
      <c r="AJ113" s="263">
        <f t="shared" si="109"/>
        <v>48.742245806899348</v>
      </c>
      <c r="AK113" s="263">
        <f t="shared" si="109"/>
        <v>45.963204156473957</v>
      </c>
      <c r="AL113" s="263">
        <f t="shared" si="109"/>
        <v>47.684747298794861</v>
      </c>
      <c r="AM113" s="263">
        <f t="shared" si="109"/>
        <v>49.92097386074019</v>
      </c>
      <c r="AN113" s="263">
        <f t="shared" si="109"/>
        <v>43.688288553350048</v>
      </c>
      <c r="AO113" s="263">
        <f t="shared" si="109"/>
        <v>42.954069582609101</v>
      </c>
      <c r="AP113" s="263">
        <f t="shared" si="109"/>
        <v>45.679449239818446</v>
      </c>
      <c r="AQ113" s="263">
        <f t="shared" ref="AQ113:AV113" si="110">+AQ112/AQ110*$A$109</f>
        <v>47.709092858674673</v>
      </c>
      <c r="AR113" s="263">
        <f t="shared" si="110"/>
        <v>46.041607522646579</v>
      </c>
      <c r="AS113" s="263">
        <f t="shared" si="110"/>
        <v>48.685295135797631</v>
      </c>
      <c r="AT113" s="263">
        <f t="shared" si="110"/>
        <v>54.630919089480628</v>
      </c>
      <c r="AU113" s="263">
        <f t="shared" si="110"/>
        <v>53.075648584905657</v>
      </c>
      <c r="AV113" s="263">
        <f t="shared" si="110"/>
        <v>48.754591990364347</v>
      </c>
      <c r="AW113" s="263">
        <f t="shared" ref="AW113:BF113" si="111">+AW112/AW110*$A$109</f>
        <v>45.790647411628328</v>
      </c>
      <c r="AX113" s="263">
        <f t="shared" si="111"/>
        <v>63.36434363018423</v>
      </c>
      <c r="AY113" s="263">
        <f t="shared" si="111"/>
        <v>49.057905870645108</v>
      </c>
      <c r="AZ113" s="263">
        <f t="shared" si="111"/>
        <v>53.540165547746604</v>
      </c>
      <c r="BA113" s="263">
        <f t="shared" si="111"/>
        <v>54.287866149755928</v>
      </c>
      <c r="BB113" s="263">
        <f t="shared" si="111"/>
        <v>49.287139929433607</v>
      </c>
      <c r="BC113" s="263">
        <f t="shared" si="111"/>
        <v>46.205434498429938</v>
      </c>
      <c r="BD113" s="263">
        <f t="shared" si="111"/>
        <v>54.392790171386217</v>
      </c>
      <c r="BE113" s="263">
        <f t="shared" si="111"/>
        <v>45.744470906491692</v>
      </c>
      <c r="BF113" s="263">
        <f t="shared" si="111"/>
        <v>51.601919453898503</v>
      </c>
      <c r="BG113" s="263">
        <f t="shared" ref="BG113:BH113" si="112">+BG112/BG110*$A$109</f>
        <v>49.082553401238194</v>
      </c>
      <c r="BH113" s="263">
        <f t="shared" si="112"/>
        <v>56.431542147334795</v>
      </c>
      <c r="BI113" s="73"/>
      <c r="BJ113" s="263">
        <f t="shared" ref="BJ113:BT113" si="113">+BJ112/BJ110*$A$109</f>
        <v>47.603279155116006</v>
      </c>
      <c r="BK113" s="263">
        <f t="shared" si="113"/>
        <v>41.451238781380901</v>
      </c>
      <c r="BL113" s="263">
        <f t="shared" si="113"/>
        <v>48.385429398446945</v>
      </c>
      <c r="BM113" s="263">
        <f t="shared" si="113"/>
        <v>46.498310957309023</v>
      </c>
      <c r="BN113" s="263">
        <f t="shared" si="113"/>
        <v>63.216276717769091</v>
      </c>
      <c r="BO113" s="263">
        <f t="shared" si="113"/>
        <v>57.800515953904188</v>
      </c>
      <c r="BP113" s="263">
        <f t="shared" si="113"/>
        <v>53.671330086892226</v>
      </c>
      <c r="BQ113" s="263">
        <f t="shared" si="113"/>
        <v>57.129065325419198</v>
      </c>
      <c r="BR113" s="263">
        <f t="shared" si="113"/>
        <v>53.08384423647577</v>
      </c>
      <c r="BS113" s="263">
        <f t="shared" si="113"/>
        <v>49.920358398323621</v>
      </c>
      <c r="BT113" s="263">
        <f t="shared" si="113"/>
        <v>47.709092858674666</v>
      </c>
      <c r="BU113" s="263">
        <f>+BU112/BU110*$A$109</f>
        <v>53.075648584905665</v>
      </c>
      <c r="BV113" s="263">
        <f>+BV112/BV110*$A$109</f>
        <v>49.057905870645108</v>
      </c>
      <c r="BW113" s="263">
        <f t="shared" si="97"/>
        <v>46.205434498429938</v>
      </c>
      <c r="BX113" s="263">
        <f t="shared" si="98"/>
        <v>49.082553401238194</v>
      </c>
      <c r="BY113" s="208"/>
      <c r="BZ113" s="208"/>
      <c r="CA113" s="208"/>
      <c r="CB113" s="208"/>
      <c r="CC113" s="208"/>
      <c r="CD113" s="208"/>
      <c r="CE113" s="208"/>
      <c r="CF113" s="208"/>
      <c r="CG113" s="210"/>
    </row>
    <row r="114" spans="1:85" x14ac:dyDescent="0.35">
      <c r="B114" s="259" t="str">
        <f>B16</f>
        <v>Inventories</v>
      </c>
      <c r="C114" s="260">
        <f>C16+C30</f>
        <v>67.320999999999998</v>
      </c>
      <c r="D114" s="261" t="s">
        <v>2</v>
      </c>
      <c r="E114" s="261" t="s">
        <v>2</v>
      </c>
      <c r="F114" s="261" t="s">
        <v>2</v>
      </c>
      <c r="G114" s="260">
        <f t="shared" ref="G114:AZ114" si="114">G16+G30</f>
        <v>136.24700000000001</v>
      </c>
      <c r="H114" s="260">
        <f t="shared" si="114"/>
        <v>340.62099999999998</v>
      </c>
      <c r="I114" s="260">
        <f t="shared" si="114"/>
        <v>249.49799999999999</v>
      </c>
      <c r="J114" s="260">
        <f t="shared" si="114"/>
        <v>154.71899999999999</v>
      </c>
      <c r="K114" s="260">
        <f t="shared" si="114"/>
        <v>117.34099999999999</v>
      </c>
      <c r="L114" s="260">
        <f t="shared" si="114"/>
        <v>342.34199999999998</v>
      </c>
      <c r="M114" s="260">
        <f t="shared" si="114"/>
        <v>279.34100000000001</v>
      </c>
      <c r="N114" s="260">
        <f t="shared" si="114"/>
        <v>75.147999999999996</v>
      </c>
      <c r="O114" s="260">
        <f t="shared" si="114"/>
        <v>107.623</v>
      </c>
      <c r="P114" s="260">
        <f t="shared" si="114"/>
        <v>458.31400000000002</v>
      </c>
      <c r="Q114" s="260">
        <f t="shared" si="114"/>
        <v>394.96</v>
      </c>
      <c r="R114" s="260">
        <f t="shared" si="114"/>
        <v>291.20800000000003</v>
      </c>
      <c r="S114" s="260">
        <f t="shared" si="114"/>
        <v>239.80099999999999</v>
      </c>
      <c r="T114" s="260">
        <f t="shared" si="114"/>
        <v>596.25099999999998</v>
      </c>
      <c r="U114" s="260">
        <f t="shared" si="114"/>
        <v>534.03399999999999</v>
      </c>
      <c r="V114" s="260">
        <f t="shared" si="114"/>
        <v>459.36099999999999</v>
      </c>
      <c r="W114" s="260">
        <f t="shared" si="114"/>
        <v>326.02199999999999</v>
      </c>
      <c r="X114" s="260">
        <f t="shared" si="114"/>
        <v>767.005</v>
      </c>
      <c r="Y114" s="260">
        <f t="shared" si="114"/>
        <v>773.63599999999997</v>
      </c>
      <c r="Z114" s="260">
        <f t="shared" si="114"/>
        <v>603.69000000000005</v>
      </c>
      <c r="AA114" s="260">
        <f t="shared" si="114"/>
        <v>436.51400000000001</v>
      </c>
      <c r="AB114" s="260">
        <f t="shared" si="114"/>
        <v>850.56299999999999</v>
      </c>
      <c r="AC114" s="260">
        <f t="shared" si="114"/>
        <v>709.60299999999995</v>
      </c>
      <c r="AD114" s="260">
        <f t="shared" si="114"/>
        <v>581.92499999999995</v>
      </c>
      <c r="AE114" s="260">
        <f t="shared" si="114"/>
        <v>414.28699999999998</v>
      </c>
      <c r="AF114" s="260">
        <f t="shared" si="114"/>
        <v>988.20500000000004</v>
      </c>
      <c r="AG114" s="260">
        <f t="shared" si="114"/>
        <v>920.28200000000004</v>
      </c>
      <c r="AH114" s="260">
        <f t="shared" si="114"/>
        <v>792.17899999999997</v>
      </c>
      <c r="AI114" s="260">
        <f t="shared" si="114"/>
        <v>574.89499999999998</v>
      </c>
      <c r="AJ114" s="260">
        <f t="shared" si="114"/>
        <v>1090.4180000000001</v>
      </c>
      <c r="AK114" s="260">
        <f t="shared" si="114"/>
        <v>1049.442</v>
      </c>
      <c r="AL114" s="260">
        <f t="shared" si="114"/>
        <v>937.38200000000006</v>
      </c>
      <c r="AM114" s="260">
        <f t="shared" si="114"/>
        <v>633.5</v>
      </c>
      <c r="AN114" s="260">
        <f t="shared" si="114"/>
        <v>1139.585</v>
      </c>
      <c r="AO114" s="260">
        <f t="shared" si="114"/>
        <v>1029.5749999999998</v>
      </c>
      <c r="AP114" s="260">
        <f t="shared" si="114"/>
        <v>817.07300000000009</v>
      </c>
      <c r="AQ114" s="260">
        <f t="shared" si="114"/>
        <v>558</v>
      </c>
      <c r="AR114" s="260">
        <f t="shared" si="114"/>
        <v>1103.1999999999998</v>
      </c>
      <c r="AS114" s="260">
        <f t="shared" si="114"/>
        <v>1142.8</v>
      </c>
      <c r="AT114" s="260">
        <f t="shared" si="114"/>
        <v>1003.9000000000001</v>
      </c>
      <c r="AU114" s="260">
        <f t="shared" si="114"/>
        <v>721.94500000000005</v>
      </c>
      <c r="AV114" s="260">
        <f t="shared" si="114"/>
        <v>1325.7329999999999</v>
      </c>
      <c r="AW114" s="260">
        <f t="shared" si="114"/>
        <v>1221.74</v>
      </c>
      <c r="AX114" s="260">
        <f t="shared" si="114"/>
        <v>1010.021</v>
      </c>
      <c r="AY114" s="260">
        <f t="shared" si="114"/>
        <v>714.33500000000004</v>
      </c>
      <c r="AZ114" s="260">
        <f t="shared" si="114"/>
        <v>1574.3320000000001</v>
      </c>
      <c r="BA114" s="260">
        <f t="shared" ref="BA114:BF114" si="115">BA16+BA30</f>
        <v>1423.5920000000001</v>
      </c>
      <c r="BB114" s="260">
        <f t="shared" si="115"/>
        <v>1391.9269999999999</v>
      </c>
      <c r="BC114" s="260">
        <f t="shared" si="115"/>
        <v>986.99200000000008</v>
      </c>
      <c r="BD114" s="260">
        <f t="shared" si="115"/>
        <v>1721.2529999999999</v>
      </c>
      <c r="BE114" s="260">
        <f t="shared" si="115"/>
        <v>1427.2239999999999</v>
      </c>
      <c r="BF114" s="260">
        <f t="shared" si="115"/>
        <v>1350.4610000000002</v>
      </c>
      <c r="BG114" s="260">
        <f t="shared" ref="BG114:BH114" si="116">BG16+BG30</f>
        <v>1137.9369999999999</v>
      </c>
      <c r="BH114" s="260">
        <f t="shared" si="116"/>
        <v>1846.771</v>
      </c>
      <c r="BI114" s="255"/>
      <c r="BJ114" s="260">
        <f t="shared" ref="BJ114:BU114" si="117">BJ16+BJ30</f>
        <v>67.320999999999998</v>
      </c>
      <c r="BK114" s="260">
        <f t="shared" si="117"/>
        <v>136.24700000000001</v>
      </c>
      <c r="BL114" s="260">
        <f t="shared" si="117"/>
        <v>117.34099999999999</v>
      </c>
      <c r="BM114" s="260">
        <f t="shared" si="117"/>
        <v>107.623</v>
      </c>
      <c r="BN114" s="260">
        <f t="shared" si="117"/>
        <v>239.80099999999999</v>
      </c>
      <c r="BO114" s="260">
        <f t="shared" si="117"/>
        <v>326.02199999999999</v>
      </c>
      <c r="BP114" s="260">
        <f t="shared" si="117"/>
        <v>436.51400000000001</v>
      </c>
      <c r="BQ114" s="260">
        <f t="shared" si="117"/>
        <v>414.28699999999998</v>
      </c>
      <c r="BR114" s="260">
        <f t="shared" si="117"/>
        <v>574.89499999999998</v>
      </c>
      <c r="BS114" s="260">
        <f t="shared" si="117"/>
        <v>633.5</v>
      </c>
      <c r="BT114" s="260">
        <f t="shared" si="117"/>
        <v>558</v>
      </c>
      <c r="BU114" s="260">
        <f t="shared" si="117"/>
        <v>721.94500000000005</v>
      </c>
      <c r="BV114" s="260">
        <f>AY114</f>
        <v>714.33500000000004</v>
      </c>
      <c r="BW114" s="260">
        <f t="shared" si="97"/>
        <v>986.99200000000008</v>
      </c>
      <c r="BX114" s="260">
        <f t="shared" si="98"/>
        <v>1137.9369999999999</v>
      </c>
      <c r="CG114" s="63"/>
    </row>
    <row r="115" spans="1:85" s="207" customFormat="1" x14ac:dyDescent="0.35">
      <c r="A115" s="7"/>
      <c r="B115" s="262" t="str">
        <f>IF(Control!$D$5=1,"Days","Dias")</f>
        <v>Days</v>
      </c>
      <c r="C115" s="263">
        <f>+C114/-C111*$A$109</f>
        <v>38.801116400988498</v>
      </c>
      <c r="D115" s="263" t="s">
        <v>2</v>
      </c>
      <c r="E115" s="263" t="s">
        <v>2</v>
      </c>
      <c r="F115" s="263" t="s">
        <v>2</v>
      </c>
      <c r="G115" s="263">
        <f t="shared" ref="G115:AP115" si="118">+G114/-G111*$A$109</f>
        <v>42.64528120672135</v>
      </c>
      <c r="H115" s="263">
        <f t="shared" si="118"/>
        <v>101.11369150103329</v>
      </c>
      <c r="I115" s="263">
        <f t="shared" si="118"/>
        <v>77.90842633427296</v>
      </c>
      <c r="J115" s="263">
        <f t="shared" si="118"/>
        <v>53.799872532095613</v>
      </c>
      <c r="K115" s="263">
        <f t="shared" si="118"/>
        <v>42.240838909792046</v>
      </c>
      <c r="L115" s="263">
        <f t="shared" si="118"/>
        <v>124.15601023017902</v>
      </c>
      <c r="M115" s="263">
        <f t="shared" si="118"/>
        <v>98.841413761480339</v>
      </c>
      <c r="N115" s="263">
        <f t="shared" si="118"/>
        <v>25.555114559575451</v>
      </c>
      <c r="O115" s="263">
        <f t="shared" si="118"/>
        <v>36.860650276813367</v>
      </c>
      <c r="P115" s="263">
        <f t="shared" si="118"/>
        <v>157.31818814465956</v>
      </c>
      <c r="Q115" s="263">
        <f t="shared" si="118"/>
        <v>132.5243633268156</v>
      </c>
      <c r="R115" s="263">
        <f t="shared" si="118"/>
        <v>89.997426006143726</v>
      </c>
      <c r="S115" s="263">
        <f t="shared" si="118"/>
        <v>67.355477250970381</v>
      </c>
      <c r="T115" s="263">
        <f t="shared" si="118"/>
        <v>147.26660179576899</v>
      </c>
      <c r="U115" s="263">
        <f t="shared" si="118"/>
        <v>119.29769339427486</v>
      </c>
      <c r="V115" s="263">
        <f t="shared" si="118"/>
        <v>88.673914124212516</v>
      </c>
      <c r="W115" s="263">
        <f t="shared" si="118"/>
        <v>56.455070508331787</v>
      </c>
      <c r="X115" s="263">
        <f t="shared" si="118"/>
        <v>122.88072674090685</v>
      </c>
      <c r="Y115" s="263">
        <f t="shared" si="118"/>
        <v>113.36299851740991</v>
      </c>
      <c r="Z115" s="263">
        <f t="shared" si="118"/>
        <v>85.353485075031585</v>
      </c>
      <c r="AA115" s="263">
        <f t="shared" si="118"/>
        <v>58.956640890094704</v>
      </c>
      <c r="AB115" s="263">
        <f t="shared" si="118"/>
        <v>111.68536510520974</v>
      </c>
      <c r="AC115" s="263">
        <f t="shared" si="118"/>
        <v>92.849541174555853</v>
      </c>
      <c r="AD115" s="263">
        <f t="shared" si="118"/>
        <v>75.941751894498012</v>
      </c>
      <c r="AE115" s="263">
        <f t="shared" si="118"/>
        <v>53.539381418478136</v>
      </c>
      <c r="AF115" s="263">
        <f t="shared" si="118"/>
        <v>125.95381615507452</v>
      </c>
      <c r="AG115" s="263">
        <f t="shared" si="118"/>
        <v>113.39230424385312</v>
      </c>
      <c r="AH115" s="263">
        <f t="shared" si="118"/>
        <v>93.157023746967099</v>
      </c>
      <c r="AI115" s="263">
        <f t="shared" si="118"/>
        <v>65.680692062100903</v>
      </c>
      <c r="AJ115" s="263">
        <f t="shared" si="118"/>
        <v>120.27393571852939</v>
      </c>
      <c r="AK115" s="263">
        <f t="shared" si="118"/>
        <v>110.95003160100357</v>
      </c>
      <c r="AL115" s="263">
        <f t="shared" si="118"/>
        <v>95.854644284249858</v>
      </c>
      <c r="AM115" s="263">
        <f t="shared" si="118"/>
        <v>62.04797842103455</v>
      </c>
      <c r="AN115" s="263">
        <f t="shared" si="118"/>
        <v>109.10434315254047</v>
      </c>
      <c r="AO115" s="263">
        <f t="shared" si="118"/>
        <v>99.630734247166572</v>
      </c>
      <c r="AP115" s="263">
        <f t="shared" si="118"/>
        <v>81.419276520975671</v>
      </c>
      <c r="AQ115" s="263">
        <f t="shared" ref="AQ115:BF115" si="119">+AQ114/-AQ111*$A$109</f>
        <v>57.984341637010672</v>
      </c>
      <c r="AR115" s="263">
        <f t="shared" si="119"/>
        <v>121.0870979217493</v>
      </c>
      <c r="AS115" s="263">
        <f t="shared" si="119"/>
        <v>127.35340247078827</v>
      </c>
      <c r="AT115" s="263">
        <f t="shared" si="119"/>
        <v>109.41313649786953</v>
      </c>
      <c r="AU115" s="263">
        <f t="shared" si="119"/>
        <v>74.710080519406887</v>
      </c>
      <c r="AV115" s="263">
        <f t="shared" si="119"/>
        <v>129.51115943580547</v>
      </c>
      <c r="AW115" s="263">
        <f t="shared" si="119"/>
        <v>115.92681509711583</v>
      </c>
      <c r="AX115" s="263">
        <f t="shared" si="119"/>
        <v>92.150501524269828</v>
      </c>
      <c r="AY115" s="263">
        <f t="shared" si="119"/>
        <v>62.89895605964989</v>
      </c>
      <c r="AZ115" s="263">
        <f t="shared" si="119"/>
        <v>127.40287609800311</v>
      </c>
      <c r="BA115" s="263">
        <f t="shared" si="119"/>
        <v>102.92201981147213</v>
      </c>
      <c r="BB115" s="263">
        <f t="shared" si="119"/>
        <v>92.837541861588264</v>
      </c>
      <c r="BC115" s="263">
        <f t="shared" si="119"/>
        <v>62.058992653566911</v>
      </c>
      <c r="BD115" s="263">
        <f t="shared" si="119"/>
        <v>99.737161322277842</v>
      </c>
      <c r="BE115" s="263">
        <f t="shared" si="119"/>
        <v>78.851331152372722</v>
      </c>
      <c r="BF115" s="263">
        <f t="shared" si="119"/>
        <v>71.612818844297067</v>
      </c>
      <c r="BG115" s="263">
        <f t="shared" ref="BG115:BH115" si="120">+BG114/-BG111*$A$109</f>
        <v>57.386585548838561</v>
      </c>
      <c r="BH115" s="263">
        <f t="shared" si="120"/>
        <v>92.625180524389862</v>
      </c>
      <c r="BI115" s="73"/>
      <c r="BJ115" s="263">
        <f t="shared" ref="BJ115:BT115" si="121">+BJ114/-BJ111*$A$109</f>
        <v>38.801116400988498</v>
      </c>
      <c r="BK115" s="263">
        <f t="shared" si="121"/>
        <v>42.64528120672135</v>
      </c>
      <c r="BL115" s="263">
        <f t="shared" si="121"/>
        <v>42.240838909792046</v>
      </c>
      <c r="BM115" s="263">
        <f t="shared" si="121"/>
        <v>36.860650276813367</v>
      </c>
      <c r="BN115" s="263">
        <f t="shared" si="121"/>
        <v>67.355477250970381</v>
      </c>
      <c r="BO115" s="263">
        <f t="shared" si="121"/>
        <v>56.455070508331765</v>
      </c>
      <c r="BP115" s="263">
        <f t="shared" si="121"/>
        <v>58.956640890094704</v>
      </c>
      <c r="BQ115" s="263">
        <f t="shared" si="121"/>
        <v>53.539381418478136</v>
      </c>
      <c r="BR115" s="263">
        <f t="shared" si="121"/>
        <v>65.680692062100903</v>
      </c>
      <c r="BS115" s="263">
        <f t="shared" si="121"/>
        <v>62.04797842103455</v>
      </c>
      <c r="BT115" s="263">
        <f t="shared" si="121"/>
        <v>57.984341637010672</v>
      </c>
      <c r="BU115" s="263">
        <f>+BU114/-BU111*$A$109</f>
        <v>74.710080519406887</v>
      </c>
      <c r="BV115" s="263">
        <f>+BV114/-BV111*$A$109</f>
        <v>62.89895605964989</v>
      </c>
      <c r="BW115" s="263">
        <f t="shared" si="97"/>
        <v>62.058992653566911</v>
      </c>
      <c r="BX115" s="263">
        <f t="shared" si="98"/>
        <v>57.386585548838561</v>
      </c>
      <c r="BY115" s="208"/>
      <c r="BZ115" s="208"/>
      <c r="CA115" s="208"/>
      <c r="CB115" s="208"/>
      <c r="CC115" s="208"/>
      <c r="CD115" s="208"/>
      <c r="CE115" s="208"/>
      <c r="CF115" s="208"/>
      <c r="CG115" s="210"/>
    </row>
    <row r="116" spans="1:85" x14ac:dyDescent="0.35">
      <c r="B116" s="259" t="str">
        <f>B17</f>
        <v>Payments in Advance</v>
      </c>
      <c r="C116" s="260">
        <f>C17+C18+C31+C32</f>
        <v>52.995000000000005</v>
      </c>
      <c r="D116" s="260">
        <f>D17+D18+D31+D32</f>
        <v>80.76400000000001</v>
      </c>
      <c r="E116" s="261" t="s">
        <v>2</v>
      </c>
      <c r="F116" s="261" t="s">
        <v>2</v>
      </c>
      <c r="G116" s="260">
        <f t="shared" ref="G116:AZ116" si="122">G17+G18+G31+G32</f>
        <v>78.738</v>
      </c>
      <c r="H116" s="260">
        <f t="shared" si="122"/>
        <v>38.356000000000002</v>
      </c>
      <c r="I116" s="260">
        <f t="shared" si="122"/>
        <v>43.591999999999999</v>
      </c>
      <c r="J116" s="260">
        <f t="shared" si="122"/>
        <v>59.664999999999999</v>
      </c>
      <c r="K116" s="260">
        <f t="shared" si="122"/>
        <v>86.123000000000005</v>
      </c>
      <c r="L116" s="260">
        <f t="shared" si="122"/>
        <v>80.977999999999994</v>
      </c>
      <c r="M116" s="260">
        <f t="shared" si="122"/>
        <v>70.262</v>
      </c>
      <c r="N116" s="260">
        <f t="shared" si="122"/>
        <v>38.113</v>
      </c>
      <c r="O116" s="260">
        <f t="shared" si="122"/>
        <v>96.665000000000006</v>
      </c>
      <c r="P116" s="260">
        <f t="shared" si="122"/>
        <v>75.076999999999998</v>
      </c>
      <c r="Q116" s="260">
        <f t="shared" si="122"/>
        <v>40.814</v>
      </c>
      <c r="R116" s="260">
        <f t="shared" si="122"/>
        <v>74.945999999999998</v>
      </c>
      <c r="S116" s="260">
        <f t="shared" si="122"/>
        <v>123.878</v>
      </c>
      <c r="T116" s="260">
        <f t="shared" si="122"/>
        <v>119.535</v>
      </c>
      <c r="U116" s="260">
        <f t="shared" si="122"/>
        <v>79.938999999999993</v>
      </c>
      <c r="V116" s="260">
        <f t="shared" si="122"/>
        <v>109.60899999999999</v>
      </c>
      <c r="W116" s="260">
        <f t="shared" si="122"/>
        <v>134.113</v>
      </c>
      <c r="X116" s="260">
        <f t="shared" si="122"/>
        <v>127.37</v>
      </c>
      <c r="Y116" s="260">
        <f t="shared" si="122"/>
        <v>98.766999999999996</v>
      </c>
      <c r="Z116" s="260">
        <f t="shared" si="122"/>
        <v>189.518</v>
      </c>
      <c r="AA116" s="260">
        <f t="shared" si="122"/>
        <v>191.4</v>
      </c>
      <c r="AB116" s="260">
        <f t="shared" si="122"/>
        <v>176.89099999999999</v>
      </c>
      <c r="AC116" s="260">
        <f t="shared" si="122"/>
        <v>129.89500000000001</v>
      </c>
      <c r="AD116" s="260">
        <f t="shared" si="122"/>
        <v>221.84700000000001</v>
      </c>
      <c r="AE116" s="260">
        <f t="shared" si="122"/>
        <v>230.68799999999999</v>
      </c>
      <c r="AF116" s="260">
        <f t="shared" si="122"/>
        <v>200.05600000000001</v>
      </c>
      <c r="AG116" s="260">
        <f t="shared" si="122"/>
        <v>160.83799999999999</v>
      </c>
      <c r="AH116" s="260">
        <f t="shared" si="122"/>
        <v>304.42899999999997</v>
      </c>
      <c r="AI116" s="260">
        <f t="shared" si="122"/>
        <v>299.73599999999999</v>
      </c>
      <c r="AJ116" s="260">
        <f t="shared" si="122"/>
        <v>280.82499999999999</v>
      </c>
      <c r="AK116" s="260">
        <f t="shared" si="122"/>
        <v>292.43400000000003</v>
      </c>
      <c r="AL116" s="260">
        <f t="shared" si="122"/>
        <v>324.85599999999999</v>
      </c>
      <c r="AM116" s="260">
        <f t="shared" si="122"/>
        <v>330.1</v>
      </c>
      <c r="AN116" s="260">
        <f t="shared" si="122"/>
        <v>306.82900000000001</v>
      </c>
      <c r="AO116" s="260">
        <f t="shared" si="122"/>
        <v>215.81700000000001</v>
      </c>
      <c r="AP116" s="260">
        <f t="shared" si="122"/>
        <v>283.40499999999997</v>
      </c>
      <c r="AQ116" s="260">
        <f t="shared" si="122"/>
        <v>316.60000000000002</v>
      </c>
      <c r="AR116" s="260">
        <f t="shared" si="122"/>
        <v>320.39999999999998</v>
      </c>
      <c r="AS116" s="260">
        <f t="shared" si="122"/>
        <v>265.20000000000005</v>
      </c>
      <c r="AT116" s="260">
        <f t="shared" si="122"/>
        <v>336.99999999999994</v>
      </c>
      <c r="AU116" s="260">
        <f t="shared" si="122"/>
        <v>432.52800000000002</v>
      </c>
      <c r="AV116" s="260">
        <f t="shared" si="122"/>
        <v>387.26700000000005</v>
      </c>
      <c r="AW116" s="260">
        <f t="shared" si="122"/>
        <v>347.09100000000001</v>
      </c>
      <c r="AX116" s="260">
        <f t="shared" si="122"/>
        <v>466.29</v>
      </c>
      <c r="AY116" s="260">
        <f t="shared" si="122"/>
        <v>502.226</v>
      </c>
      <c r="AZ116" s="260">
        <f t="shared" si="122"/>
        <v>582.60299999999995</v>
      </c>
      <c r="BA116" s="260">
        <f t="shared" ref="BA116:BF116" si="123">BA17+BA18+BA31+BA32</f>
        <v>501.12</v>
      </c>
      <c r="BB116" s="260">
        <f t="shared" si="123"/>
        <v>538.39700000000005</v>
      </c>
      <c r="BC116" s="260">
        <f t="shared" si="123"/>
        <v>529.68399999999997</v>
      </c>
      <c r="BD116" s="260">
        <f t="shared" si="123"/>
        <v>454.13800000000003</v>
      </c>
      <c r="BE116" s="260">
        <f t="shared" si="123"/>
        <v>323.70499999999998</v>
      </c>
      <c r="BF116" s="260">
        <f t="shared" si="123"/>
        <v>445.04499999999996</v>
      </c>
      <c r="BG116" s="260">
        <f t="shared" ref="BG116:BH116" si="124">BG17+BG18+BG31+BG32</f>
        <v>577.69799999999998</v>
      </c>
      <c r="BH116" s="260">
        <f t="shared" si="124"/>
        <v>564.72300000000007</v>
      </c>
      <c r="BI116" s="255"/>
      <c r="BJ116" s="260">
        <f t="shared" ref="BJ116:BU116" si="125">BJ17+BJ18+BJ31+BJ32</f>
        <v>52.995000000000005</v>
      </c>
      <c r="BK116" s="260">
        <f t="shared" si="125"/>
        <v>78.738</v>
      </c>
      <c r="BL116" s="260">
        <f t="shared" si="125"/>
        <v>86.123000000000005</v>
      </c>
      <c r="BM116" s="260">
        <f t="shared" si="125"/>
        <v>96.665000000000006</v>
      </c>
      <c r="BN116" s="260">
        <f t="shared" si="125"/>
        <v>123.878</v>
      </c>
      <c r="BO116" s="260">
        <f t="shared" si="125"/>
        <v>134.113</v>
      </c>
      <c r="BP116" s="260">
        <f t="shared" si="125"/>
        <v>191.4</v>
      </c>
      <c r="BQ116" s="260">
        <f t="shared" si="125"/>
        <v>230.68799999999999</v>
      </c>
      <c r="BR116" s="260">
        <f t="shared" si="125"/>
        <v>299.73599999999999</v>
      </c>
      <c r="BS116" s="260">
        <f t="shared" si="125"/>
        <v>330.1</v>
      </c>
      <c r="BT116" s="260">
        <f t="shared" si="125"/>
        <v>316.60000000000002</v>
      </c>
      <c r="BU116" s="260">
        <f t="shared" si="125"/>
        <v>432.52800000000002</v>
      </c>
      <c r="BV116" s="260">
        <f>AY116</f>
        <v>502.226</v>
      </c>
      <c r="BW116" s="260">
        <f t="shared" si="97"/>
        <v>529.68399999999997</v>
      </c>
      <c r="BX116" s="260">
        <f t="shared" si="98"/>
        <v>577.69799999999998</v>
      </c>
      <c r="CG116" s="63"/>
    </row>
    <row r="117" spans="1:85" s="207" customFormat="1" x14ac:dyDescent="0.35">
      <c r="A117" s="7"/>
      <c r="B117" s="262" t="str">
        <f>IF(Control!$D$5=1,"Days","Dias")</f>
        <v>Days</v>
      </c>
      <c r="C117" s="263">
        <f>+C116/C110*$A$109</f>
        <v>22.379955987911718</v>
      </c>
      <c r="D117" s="263" t="s">
        <v>2</v>
      </c>
      <c r="E117" s="263" t="s">
        <v>2</v>
      </c>
      <c r="F117" s="263" t="s">
        <v>2</v>
      </c>
      <c r="G117" s="263">
        <f t="shared" ref="G117:AP117" si="126">+G116/G110*$A$109</f>
        <v>18.992182899920103</v>
      </c>
      <c r="H117" s="263">
        <f t="shared" si="126"/>
        <v>8.8950858252387714</v>
      </c>
      <c r="I117" s="263">
        <f t="shared" si="126"/>
        <v>10.703504133788083</v>
      </c>
      <c r="J117" s="263">
        <f t="shared" si="126"/>
        <v>16.159826096764284</v>
      </c>
      <c r="K117" s="263">
        <f t="shared" si="126"/>
        <v>23.938522683225312</v>
      </c>
      <c r="L117" s="263">
        <f t="shared" si="126"/>
        <v>22.599421652404224</v>
      </c>
      <c r="M117" s="263">
        <f t="shared" si="126"/>
        <v>19.058144304768245</v>
      </c>
      <c r="N117" s="263">
        <f t="shared" si="126"/>
        <v>9.8877158790608135</v>
      </c>
      <c r="O117" s="263">
        <f t="shared" si="126"/>
        <v>25.081661944076764</v>
      </c>
      <c r="P117" s="263">
        <f t="shared" si="126"/>
        <v>19.279252246763349</v>
      </c>
      <c r="Q117" s="263">
        <f t="shared" si="126"/>
        <v>10.035312290118554</v>
      </c>
      <c r="R117" s="263">
        <f t="shared" si="126"/>
        <v>16.927097610554032</v>
      </c>
      <c r="S117" s="263">
        <f t="shared" si="126"/>
        <v>25.348717132224575</v>
      </c>
      <c r="T117" s="263">
        <f t="shared" si="126"/>
        <v>21.834504705673929</v>
      </c>
      <c r="U117" s="263">
        <f t="shared" si="126"/>
        <v>13.410192077536966</v>
      </c>
      <c r="V117" s="263">
        <f t="shared" si="126"/>
        <v>16.009862280229619</v>
      </c>
      <c r="W117" s="263">
        <f t="shared" si="126"/>
        <v>17.632355467890299</v>
      </c>
      <c r="X117" s="263">
        <f t="shared" si="126"/>
        <v>15.272478261626571</v>
      </c>
      <c r="Y117" s="263">
        <f t="shared" si="126"/>
        <v>10.814546347963638</v>
      </c>
      <c r="Z117" s="263">
        <f t="shared" si="126"/>
        <v>20.156566248173721</v>
      </c>
      <c r="AA117" s="263">
        <f t="shared" si="126"/>
        <v>19.505729761000996</v>
      </c>
      <c r="AB117" s="263">
        <f t="shared" si="126"/>
        <v>17.671515631568806</v>
      </c>
      <c r="AC117" s="263">
        <f t="shared" si="126"/>
        <v>12.967671678139594</v>
      </c>
      <c r="AD117" s="263">
        <f t="shared" si="126"/>
        <v>22.049497315229551</v>
      </c>
      <c r="AE117" s="263">
        <f t="shared" si="126"/>
        <v>22.906995028540869</v>
      </c>
      <c r="AF117" s="263">
        <f t="shared" si="126"/>
        <v>19.669499449004132</v>
      </c>
      <c r="AG117" s="263">
        <f t="shared" si="126"/>
        <v>15.282013462966688</v>
      </c>
      <c r="AH117" s="263">
        <f t="shared" si="126"/>
        <v>27.404931904839408</v>
      </c>
      <c r="AI117" s="263">
        <f t="shared" si="126"/>
        <v>25.870172470748635</v>
      </c>
      <c r="AJ117" s="263">
        <f t="shared" si="126"/>
        <v>23.277596025274871</v>
      </c>
      <c r="AK117" s="263">
        <f t="shared" si="126"/>
        <v>22.94452947321809</v>
      </c>
      <c r="AL117" s="263">
        <f t="shared" si="126"/>
        <v>24.783416584001245</v>
      </c>
      <c r="AM117" s="263">
        <f t="shared" si="126"/>
        <v>24.35187449598099</v>
      </c>
      <c r="AN117" s="263">
        <f t="shared" si="126"/>
        <v>22.233667694247774</v>
      </c>
      <c r="AO117" s="263">
        <f t="shared" si="126"/>
        <v>15.991682511531936</v>
      </c>
      <c r="AP117" s="263">
        <f t="shared" si="126"/>
        <v>21.510628068648305</v>
      </c>
      <c r="AQ117" s="263">
        <f t="shared" ref="AQ117:AV117" si="127">+AQ116/AQ110*$A$109</f>
        <v>24.782114518550291</v>
      </c>
      <c r="AR117" s="263">
        <f t="shared" si="127"/>
        <v>26.328272443790762</v>
      </c>
      <c r="AS117" s="263">
        <f t="shared" si="127"/>
        <v>21.87250596309255</v>
      </c>
      <c r="AT117" s="263">
        <f t="shared" si="127"/>
        <v>27.134295848422951</v>
      </c>
      <c r="AU117" s="263">
        <f t="shared" si="127"/>
        <v>33.244760781671161</v>
      </c>
      <c r="AV117" s="263">
        <f t="shared" si="127"/>
        <v>28.375480277024998</v>
      </c>
      <c r="AW117" s="263">
        <f t="shared" ref="AW117:BF117" si="128">+AW116/AW110*$A$109</f>
        <v>25.039893624906238</v>
      </c>
      <c r="AX117" s="263">
        <f t="shared" si="128"/>
        <v>32.503918899408042</v>
      </c>
      <c r="AY117" s="263">
        <f t="shared" si="128"/>
        <v>33.971386662737899</v>
      </c>
      <c r="AZ117" s="263">
        <f t="shared" si="128"/>
        <v>36.116035087820606</v>
      </c>
      <c r="BA117" s="263">
        <f t="shared" si="128"/>
        <v>27.810276444263078</v>
      </c>
      <c r="BB117" s="263">
        <f t="shared" si="128"/>
        <v>27.572011463297752</v>
      </c>
      <c r="BC117" s="263">
        <f t="shared" si="128"/>
        <v>25.895420017422509</v>
      </c>
      <c r="BD117" s="263">
        <f t="shared" si="128"/>
        <v>20.735190919879958</v>
      </c>
      <c r="BE117" s="263">
        <f t="shared" si="128"/>
        <v>14.23509309975514</v>
      </c>
      <c r="BF117" s="263">
        <f t="shared" si="128"/>
        <v>18.934308178222917</v>
      </c>
      <c r="BG117" s="263">
        <f t="shared" ref="BG117:BH117" si="129">+BG116/BG110*$A$109</f>
        <v>23.387677633021582</v>
      </c>
      <c r="BH117" s="263">
        <f t="shared" si="129"/>
        <v>22.514131140478884</v>
      </c>
      <c r="BI117" s="73"/>
      <c r="BJ117" s="263">
        <f t="shared" ref="BJ117:BT117" si="130">+BJ116/BJ110*$A$109</f>
        <v>22.379955987911718</v>
      </c>
      <c r="BK117" s="263">
        <f t="shared" si="130"/>
        <v>18.992182899920103</v>
      </c>
      <c r="BL117" s="263">
        <f t="shared" si="130"/>
        <v>23.938522683225312</v>
      </c>
      <c r="BM117" s="263">
        <f t="shared" si="130"/>
        <v>25.081661944076764</v>
      </c>
      <c r="BN117" s="263">
        <f t="shared" si="130"/>
        <v>25.348717132224575</v>
      </c>
      <c r="BO117" s="263">
        <f t="shared" si="130"/>
        <v>17.632355467890299</v>
      </c>
      <c r="BP117" s="263">
        <f t="shared" si="130"/>
        <v>19.505729761000993</v>
      </c>
      <c r="BQ117" s="263">
        <f t="shared" si="130"/>
        <v>22.906995028540869</v>
      </c>
      <c r="BR117" s="263">
        <f t="shared" si="130"/>
        <v>25.870172470748635</v>
      </c>
      <c r="BS117" s="263">
        <f t="shared" si="130"/>
        <v>24.351574268193627</v>
      </c>
      <c r="BT117" s="263">
        <f t="shared" si="130"/>
        <v>24.782114518550287</v>
      </c>
      <c r="BU117" s="263">
        <f>+BU116/BU110*$A$109</f>
        <v>33.244760781671168</v>
      </c>
      <c r="BV117" s="263">
        <f>+BV116/BV110*$A$109</f>
        <v>33.971386662737899</v>
      </c>
      <c r="BW117" s="263">
        <f t="shared" si="97"/>
        <v>25.895420017422509</v>
      </c>
      <c r="BX117" s="263">
        <f t="shared" si="98"/>
        <v>23.387677633021582</v>
      </c>
      <c r="BY117" s="208"/>
      <c r="BZ117" s="208"/>
      <c r="CA117" s="208"/>
      <c r="CB117" s="208"/>
      <c r="CC117" s="208"/>
      <c r="CD117" s="208"/>
      <c r="CE117" s="208"/>
      <c r="CF117" s="208"/>
      <c r="CG117" s="210"/>
    </row>
    <row r="118" spans="1:85" x14ac:dyDescent="0.35">
      <c r="B118" s="259" t="str">
        <f>B51</f>
        <v>Accounts Payable</v>
      </c>
      <c r="C118" s="260">
        <f>C51</f>
        <v>80.103999999999999</v>
      </c>
      <c r="D118" s="261" t="s">
        <v>2</v>
      </c>
      <c r="E118" s="261" t="s">
        <v>2</v>
      </c>
      <c r="F118" s="261" t="s">
        <v>2</v>
      </c>
      <c r="G118" s="260">
        <f t="shared" ref="G118:AV118" si="131">G51</f>
        <v>159.22999999999999</v>
      </c>
      <c r="H118" s="260">
        <f t="shared" si="131"/>
        <v>344.67399999999998</v>
      </c>
      <c r="I118" s="260">
        <f t="shared" si="131"/>
        <v>206.358</v>
      </c>
      <c r="J118" s="260">
        <f t="shared" si="131"/>
        <v>165.346</v>
      </c>
      <c r="K118" s="260">
        <f t="shared" si="131"/>
        <v>160.05199999999999</v>
      </c>
      <c r="L118" s="260">
        <f t="shared" si="131"/>
        <v>346.10500000000002</v>
      </c>
      <c r="M118" s="260">
        <f t="shared" si="131"/>
        <v>193.04400000000001</v>
      </c>
      <c r="N118" s="260">
        <f t="shared" si="131"/>
        <v>168.02699999999999</v>
      </c>
      <c r="O118" s="260">
        <f t="shared" si="131"/>
        <v>143.977</v>
      </c>
      <c r="P118" s="260">
        <f t="shared" si="131"/>
        <v>351.685</v>
      </c>
      <c r="Q118" s="260">
        <f t="shared" si="131"/>
        <v>177.31899999999999</v>
      </c>
      <c r="R118" s="260">
        <f t="shared" si="131"/>
        <v>171.40799999999999</v>
      </c>
      <c r="S118" s="260">
        <f t="shared" si="131"/>
        <v>238.50899999999999</v>
      </c>
      <c r="T118" s="260">
        <f t="shared" si="131"/>
        <v>476.91300000000001</v>
      </c>
      <c r="U118" s="260">
        <f t="shared" si="131"/>
        <v>247.35400000000001</v>
      </c>
      <c r="V118" s="260">
        <f t="shared" si="131"/>
        <v>280.27800000000002</v>
      </c>
      <c r="W118" s="260">
        <f t="shared" si="131"/>
        <v>314.04199999999997</v>
      </c>
      <c r="X118" s="260">
        <f t="shared" si="131"/>
        <v>609.32299999999998</v>
      </c>
      <c r="Y118" s="260">
        <f t="shared" si="131"/>
        <v>417.94</v>
      </c>
      <c r="Z118" s="260">
        <f t="shared" si="131"/>
        <v>398.86099999999999</v>
      </c>
      <c r="AA118" s="260">
        <f t="shared" si="131"/>
        <v>349.43599999999998</v>
      </c>
      <c r="AB118" s="260">
        <f t="shared" si="131"/>
        <v>653.67200000000003</v>
      </c>
      <c r="AC118" s="260">
        <f t="shared" si="131"/>
        <v>396.94200000000001</v>
      </c>
      <c r="AD118" s="260">
        <f t="shared" si="131"/>
        <v>395.25299999999999</v>
      </c>
      <c r="AE118" s="260">
        <f t="shared" si="131"/>
        <v>418.60700000000003</v>
      </c>
      <c r="AF118" s="260">
        <f t="shared" si="131"/>
        <v>761.35599999999999</v>
      </c>
      <c r="AG118" s="260">
        <f t="shared" si="131"/>
        <v>521.452</v>
      </c>
      <c r="AH118" s="260">
        <f t="shared" si="131"/>
        <v>494.31700000000001</v>
      </c>
      <c r="AI118" s="260">
        <f t="shared" si="131"/>
        <v>460.56099999999998</v>
      </c>
      <c r="AJ118" s="260">
        <f t="shared" si="131"/>
        <v>857.08799999999997</v>
      </c>
      <c r="AK118" s="260">
        <f t="shared" si="131"/>
        <v>490.322</v>
      </c>
      <c r="AL118" s="260">
        <f t="shared" si="131"/>
        <v>495.22</v>
      </c>
      <c r="AM118" s="260">
        <f t="shared" si="131"/>
        <v>467.9</v>
      </c>
      <c r="AN118" s="260">
        <f t="shared" si="131"/>
        <v>804.38699999999994</v>
      </c>
      <c r="AO118" s="260">
        <f t="shared" si="131"/>
        <v>380.54700000000003</v>
      </c>
      <c r="AP118" s="260">
        <f t="shared" si="131"/>
        <v>327.02699999999999</v>
      </c>
      <c r="AQ118" s="260">
        <f t="shared" si="131"/>
        <v>365.1</v>
      </c>
      <c r="AR118" s="260">
        <f t="shared" si="131"/>
        <v>771.3</v>
      </c>
      <c r="AS118" s="260">
        <f t="shared" si="131"/>
        <v>457.3</v>
      </c>
      <c r="AT118" s="260">
        <f t="shared" si="131"/>
        <v>405.8</v>
      </c>
      <c r="AU118" s="260">
        <f t="shared" si="131"/>
        <v>419.14699999999999</v>
      </c>
      <c r="AV118" s="260">
        <f t="shared" si="131"/>
        <v>911.2</v>
      </c>
      <c r="AW118" s="260">
        <f>AW51</f>
        <v>500.99799999999999</v>
      </c>
      <c r="AX118" s="260">
        <f>AX51</f>
        <v>509.40600000000001</v>
      </c>
      <c r="AY118" s="260">
        <f t="shared" ref="AY118:BE118" si="132">AY51</f>
        <v>517.27</v>
      </c>
      <c r="AZ118" s="260">
        <f t="shared" si="132"/>
        <v>1176.2059999999999</v>
      </c>
      <c r="BA118" s="260">
        <f t="shared" si="132"/>
        <v>783.28499999999997</v>
      </c>
      <c r="BB118" s="260">
        <f t="shared" si="132"/>
        <v>747.94399999999996</v>
      </c>
      <c r="BC118" s="260">
        <f t="shared" si="132"/>
        <v>673.59900000000005</v>
      </c>
      <c r="BD118" s="260">
        <f t="shared" si="132"/>
        <v>1511.374</v>
      </c>
      <c r="BE118" s="260">
        <f t="shared" si="132"/>
        <v>834.42899999999997</v>
      </c>
      <c r="BF118" s="260">
        <f t="shared" ref="BF118:BG118" si="133">BF51</f>
        <v>980.60599999999999</v>
      </c>
      <c r="BG118" s="260">
        <f t="shared" si="133"/>
        <v>1101.0360000000001</v>
      </c>
      <c r="BH118" s="260">
        <f t="shared" ref="BH118" si="134">BH51</f>
        <v>1582.1079999999999</v>
      </c>
      <c r="BI118" s="255"/>
      <c r="BJ118" s="260">
        <f t="shared" ref="BJ118:BU118" si="135">BJ51</f>
        <v>80.103999999999999</v>
      </c>
      <c r="BK118" s="260">
        <f t="shared" si="135"/>
        <v>159.22999999999999</v>
      </c>
      <c r="BL118" s="260">
        <f t="shared" si="135"/>
        <v>160.05199999999999</v>
      </c>
      <c r="BM118" s="260">
        <f t="shared" si="135"/>
        <v>143.977</v>
      </c>
      <c r="BN118" s="260">
        <f t="shared" si="135"/>
        <v>238.50899999999999</v>
      </c>
      <c r="BO118" s="260">
        <f t="shared" si="135"/>
        <v>314.04199999999997</v>
      </c>
      <c r="BP118" s="260">
        <f t="shared" si="135"/>
        <v>349.43599999999998</v>
      </c>
      <c r="BQ118" s="260">
        <f t="shared" si="135"/>
        <v>418.60700000000003</v>
      </c>
      <c r="BR118" s="260">
        <f t="shared" si="135"/>
        <v>460.56099999999998</v>
      </c>
      <c r="BS118" s="260">
        <f t="shared" si="135"/>
        <v>467.9</v>
      </c>
      <c r="BT118" s="260">
        <f t="shared" si="135"/>
        <v>365.1</v>
      </c>
      <c r="BU118" s="260">
        <f t="shared" si="135"/>
        <v>419.14699999999999</v>
      </c>
      <c r="BV118" s="260">
        <f>AY118</f>
        <v>517.27</v>
      </c>
      <c r="BW118" s="260">
        <f t="shared" si="97"/>
        <v>673.59900000000005</v>
      </c>
      <c r="BX118" s="260">
        <f t="shared" si="98"/>
        <v>1101.0360000000001</v>
      </c>
      <c r="CG118" s="63"/>
    </row>
    <row r="119" spans="1:85" s="207" customFormat="1" x14ac:dyDescent="0.35">
      <c r="A119" s="7"/>
      <c r="B119" s="253" t="str">
        <f>IF(Control!$D$5=1,"Days","Dias")</f>
        <v>Days</v>
      </c>
      <c r="C119" s="254">
        <f>+C118/-C111*$A$109</f>
        <v>46.168723402575466</v>
      </c>
      <c r="D119" s="254" t="s">
        <v>2</v>
      </c>
      <c r="E119" s="254" t="s">
        <v>2</v>
      </c>
      <c r="F119" s="254" t="s">
        <v>2</v>
      </c>
      <c r="G119" s="254">
        <f t="shared" ref="G119:AP119" si="136">+G118/-G111*$A$109</f>
        <v>49.838955181003911</v>
      </c>
      <c r="H119" s="254">
        <f t="shared" si="136"/>
        <v>102.31682868768264</v>
      </c>
      <c r="I119" s="254">
        <f t="shared" si="136"/>
        <v>64.437498663267448</v>
      </c>
      <c r="J119" s="254">
        <f t="shared" si="136"/>
        <v>57.495160411403141</v>
      </c>
      <c r="K119" s="254">
        <f t="shared" si="136"/>
        <v>57.616099651358326</v>
      </c>
      <c r="L119" s="254">
        <f t="shared" si="136"/>
        <v>125.52072465755332</v>
      </c>
      <c r="M119" s="254">
        <f t="shared" si="136"/>
        <v>68.306270394146253</v>
      </c>
      <c r="N119" s="254">
        <f t="shared" si="136"/>
        <v>57.139900384598178</v>
      </c>
      <c r="O119" s="254">
        <f t="shared" si="136"/>
        <v>49.311818523036507</v>
      </c>
      <c r="P119" s="254">
        <f t="shared" si="136"/>
        <v>120.71734007177305</v>
      </c>
      <c r="Q119" s="254">
        <f t="shared" si="136"/>
        <v>59.497386015666443</v>
      </c>
      <c r="R119" s="254">
        <f t="shared" si="136"/>
        <v>52.97340319242975</v>
      </c>
      <c r="S119" s="254">
        <f t="shared" si="136"/>
        <v>66.99257936226995</v>
      </c>
      <c r="T119" s="254">
        <f t="shared" si="136"/>
        <v>117.79159592558432</v>
      </c>
      <c r="U119" s="254">
        <f t="shared" si="136"/>
        <v>55.25633508699346</v>
      </c>
      <c r="V119" s="254">
        <f t="shared" si="136"/>
        <v>54.104173630121053</v>
      </c>
      <c r="W119" s="254">
        <f t="shared" si="136"/>
        <v>54.380573251429439</v>
      </c>
      <c r="X119" s="254">
        <f t="shared" si="136"/>
        <v>97.618728769629371</v>
      </c>
      <c r="Y119" s="254">
        <f t="shared" si="136"/>
        <v>61.241891018988646</v>
      </c>
      <c r="Z119" s="254">
        <f t="shared" si="136"/>
        <v>56.393474151488626</v>
      </c>
      <c r="AA119" s="254">
        <f t="shared" si="136"/>
        <v>47.195674745990125</v>
      </c>
      <c r="AB119" s="254">
        <f t="shared" si="136"/>
        <v>85.832085311790735</v>
      </c>
      <c r="AC119" s="254">
        <f t="shared" si="136"/>
        <v>51.938735564689765</v>
      </c>
      <c r="AD119" s="254">
        <f t="shared" si="136"/>
        <v>51.580882865585814</v>
      </c>
      <c r="AE119" s="254">
        <f t="shared" si="136"/>
        <v>54.097666201075292</v>
      </c>
      <c r="AF119" s="254">
        <f t="shared" si="136"/>
        <v>97.04028379998374</v>
      </c>
      <c r="AG119" s="254">
        <f t="shared" si="136"/>
        <v>64.250570838683899</v>
      </c>
      <c r="AH119" s="254">
        <f t="shared" si="136"/>
        <v>58.12966577948864</v>
      </c>
      <c r="AI119" s="254">
        <f t="shared" si="136"/>
        <v>52.61824370852635</v>
      </c>
      <c r="AJ119" s="254">
        <f t="shared" si="136"/>
        <v>94.537459045176149</v>
      </c>
      <c r="AK119" s="254">
        <f t="shared" si="136"/>
        <v>51.838254419650895</v>
      </c>
      <c r="AL119" s="254">
        <f t="shared" si="136"/>
        <v>50.640119975043483</v>
      </c>
      <c r="AM119" s="254">
        <f t="shared" si="136"/>
        <v>45.828333233152435</v>
      </c>
      <c r="AN119" s="254">
        <f t="shared" si="136"/>
        <v>77.012346841562987</v>
      </c>
      <c r="AO119" s="254">
        <f t="shared" si="136"/>
        <v>36.825075420009718</v>
      </c>
      <c r="AP119" s="254">
        <f t="shared" si="136"/>
        <v>32.587420882620165</v>
      </c>
      <c r="AQ119" s="254">
        <f t="shared" ref="AQ119:AV119" si="137">+AQ118/-AQ111*$A$109</f>
        <v>37.939217081850536</v>
      </c>
      <c r="AR119" s="254">
        <f t="shared" si="137"/>
        <v>84.657794259468147</v>
      </c>
      <c r="AS119" s="254">
        <f t="shared" si="137"/>
        <v>50.961420152162653</v>
      </c>
      <c r="AT119" s="254">
        <f t="shared" si="137"/>
        <v>44.227364070958714</v>
      </c>
      <c r="AU119" s="254">
        <f t="shared" si="137"/>
        <v>43.375196336934025</v>
      </c>
      <c r="AV119" s="254">
        <f t="shared" si="137"/>
        <v>89.015336027620904</v>
      </c>
      <c r="AW119" s="254">
        <f t="shared" ref="AW119:BF119" si="138">+AW118/-AW111*$A$109</f>
        <v>47.538021600360828</v>
      </c>
      <c r="AX119" s="254">
        <f t="shared" si="138"/>
        <v>46.476279581783153</v>
      </c>
      <c r="AY119" s="254">
        <f t="shared" si="138"/>
        <v>45.546897465440018</v>
      </c>
      <c r="AZ119" s="254">
        <f t="shared" si="138"/>
        <v>95.184514628253666</v>
      </c>
      <c r="BA119" s="254">
        <f t="shared" si="138"/>
        <v>56.629479716118759</v>
      </c>
      <c r="BB119" s="254">
        <f t="shared" si="138"/>
        <v>49.885721313060081</v>
      </c>
      <c r="BC119" s="254">
        <f t="shared" si="138"/>
        <v>42.353813802391528</v>
      </c>
      <c r="BD119" s="254">
        <f t="shared" si="138"/>
        <v>87.575825550512533</v>
      </c>
      <c r="BE119" s="254">
        <f t="shared" si="138"/>
        <v>46.100568237461836</v>
      </c>
      <c r="BF119" s="254">
        <f t="shared" si="138"/>
        <v>51.999990992432046</v>
      </c>
      <c r="BG119" s="254">
        <f t="shared" ref="BG119:BH119" si="139">+BG118/-BG111*$A$109</f>
        <v>55.525654413514125</v>
      </c>
      <c r="BH119" s="254">
        <f t="shared" si="139"/>
        <v>79.350953155037303</v>
      </c>
      <c r="BI119" s="73"/>
      <c r="BJ119" s="254">
        <f t="shared" ref="BJ119:BT119" si="140">+BJ118/-BJ111*$A$109</f>
        <v>46.168723402575466</v>
      </c>
      <c r="BK119" s="254">
        <f t="shared" si="140"/>
        <v>49.838955181003911</v>
      </c>
      <c r="BL119" s="254">
        <f t="shared" si="140"/>
        <v>57.616099651358326</v>
      </c>
      <c r="BM119" s="254">
        <f t="shared" si="140"/>
        <v>49.311818523036507</v>
      </c>
      <c r="BN119" s="254">
        <f t="shared" si="140"/>
        <v>66.99257936226995</v>
      </c>
      <c r="BO119" s="254">
        <f t="shared" si="140"/>
        <v>54.380573251429432</v>
      </c>
      <c r="BP119" s="254">
        <f t="shared" si="140"/>
        <v>47.195674745990125</v>
      </c>
      <c r="BQ119" s="254">
        <f t="shared" si="140"/>
        <v>54.097666201075292</v>
      </c>
      <c r="BR119" s="254">
        <f t="shared" si="140"/>
        <v>52.61824370852635</v>
      </c>
      <c r="BS119" s="254">
        <f t="shared" si="140"/>
        <v>45.828333233152435</v>
      </c>
      <c r="BT119" s="254">
        <f t="shared" si="140"/>
        <v>37.939217081850536</v>
      </c>
      <c r="BU119" s="254">
        <f>+BU118/-BU111*$A$109</f>
        <v>43.375196336934025</v>
      </c>
      <c r="BV119" s="254">
        <f>+BV118/-BV111*$A$109</f>
        <v>45.546897465440018</v>
      </c>
      <c r="BW119" s="254">
        <f t="shared" si="97"/>
        <v>42.353813802391528</v>
      </c>
      <c r="BX119" s="254">
        <f t="shared" si="98"/>
        <v>55.525654413514125</v>
      </c>
      <c r="BY119" s="208"/>
      <c r="BZ119" s="208"/>
      <c r="CA119" s="208"/>
      <c r="CB119" s="208"/>
      <c r="CC119" s="208"/>
      <c r="CD119" s="208"/>
      <c r="CE119" s="208"/>
      <c r="CF119" s="208"/>
      <c r="CG119" s="210"/>
    </row>
    <row r="120" spans="1:85" x14ac:dyDescent="0.35">
      <c r="B120" s="58" t="str">
        <f>IF(Control!$D$5=1,"Other Current Assets","Outros Ativos Correntes")</f>
        <v>Other Current Assets</v>
      </c>
      <c r="C120" s="166">
        <f>+C19+C20+C23+C22+C15+C21</f>
        <v>46.015999999999998</v>
      </c>
      <c r="D120" s="209" t="s">
        <v>2</v>
      </c>
      <c r="E120" s="209" t="s">
        <v>2</v>
      </c>
      <c r="F120" s="209" t="s">
        <v>2</v>
      </c>
      <c r="G120" s="166">
        <f t="shared" ref="G120:AZ120" si="141">+G19+G20+G23+G22+G15+G21</f>
        <v>56.423999999999999</v>
      </c>
      <c r="H120" s="166">
        <f t="shared" si="141"/>
        <v>52.473999999999997</v>
      </c>
      <c r="I120" s="166">
        <f t="shared" si="141"/>
        <v>44.867999999999995</v>
      </c>
      <c r="J120" s="166">
        <f t="shared" si="141"/>
        <v>44.326999999999998</v>
      </c>
      <c r="K120" s="166">
        <f t="shared" si="141"/>
        <v>59.037999999999997</v>
      </c>
      <c r="L120" s="166">
        <f t="shared" si="141"/>
        <v>59.852000000000004</v>
      </c>
      <c r="M120" s="166">
        <f t="shared" si="141"/>
        <v>57.385000000000005</v>
      </c>
      <c r="N120" s="166">
        <f t="shared" si="141"/>
        <v>239.00400000000002</v>
      </c>
      <c r="O120" s="166">
        <f t="shared" si="141"/>
        <v>69.263000000000005</v>
      </c>
      <c r="P120" s="166">
        <f t="shared" si="141"/>
        <v>93.378999999999991</v>
      </c>
      <c r="Q120" s="166">
        <f t="shared" si="141"/>
        <v>100.11199999999999</v>
      </c>
      <c r="R120" s="166">
        <f t="shared" si="141"/>
        <v>104.423</v>
      </c>
      <c r="S120" s="166">
        <f t="shared" si="141"/>
        <v>112.78799999999998</v>
      </c>
      <c r="T120" s="166">
        <f t="shared" si="141"/>
        <v>116.88</v>
      </c>
      <c r="U120" s="166">
        <f t="shared" si="141"/>
        <v>115.66299999999998</v>
      </c>
      <c r="V120" s="166">
        <f t="shared" si="141"/>
        <v>159.364</v>
      </c>
      <c r="W120" s="166">
        <f t="shared" si="141"/>
        <v>156.864</v>
      </c>
      <c r="X120" s="166">
        <f t="shared" si="141"/>
        <v>166.57499999999999</v>
      </c>
      <c r="Y120" s="166">
        <f t="shared" si="141"/>
        <v>150.80100000000002</v>
      </c>
      <c r="Z120" s="166">
        <f t="shared" si="141"/>
        <v>168.29399999999998</v>
      </c>
      <c r="AA120" s="166">
        <f t="shared" si="141"/>
        <v>137.70099999999999</v>
      </c>
      <c r="AB120" s="166">
        <f t="shared" si="141"/>
        <v>152.547</v>
      </c>
      <c r="AC120" s="166">
        <f t="shared" si="141"/>
        <v>173.00700000000001</v>
      </c>
      <c r="AD120" s="166">
        <f t="shared" si="141"/>
        <v>186.26399999999998</v>
      </c>
      <c r="AE120" s="166">
        <f t="shared" si="141"/>
        <v>178.59300000000002</v>
      </c>
      <c r="AF120" s="166">
        <f t="shared" si="141"/>
        <v>202.73999999999998</v>
      </c>
      <c r="AG120" s="166">
        <f t="shared" si="141"/>
        <v>200.08099999999999</v>
      </c>
      <c r="AH120" s="166">
        <f t="shared" si="141"/>
        <v>213.494</v>
      </c>
      <c r="AI120" s="166">
        <f t="shared" si="141"/>
        <v>226.08299999999997</v>
      </c>
      <c r="AJ120" s="166">
        <f t="shared" si="141"/>
        <v>212.88300000000004</v>
      </c>
      <c r="AK120" s="166">
        <f t="shared" si="141"/>
        <v>156.23500000000001</v>
      </c>
      <c r="AL120" s="166">
        <f t="shared" si="141"/>
        <v>150.42400000000001</v>
      </c>
      <c r="AM120" s="166">
        <f t="shared" si="141"/>
        <v>138.9</v>
      </c>
      <c r="AN120" s="166">
        <f t="shared" si="141"/>
        <v>157.73599999999999</v>
      </c>
      <c r="AO120" s="166">
        <f t="shared" si="141"/>
        <v>131.76</v>
      </c>
      <c r="AP120" s="166">
        <f t="shared" si="141"/>
        <v>127.29900000000001</v>
      </c>
      <c r="AQ120" s="166">
        <f t="shared" si="141"/>
        <v>143.6</v>
      </c>
      <c r="AR120" s="166">
        <f t="shared" si="141"/>
        <v>173</v>
      </c>
      <c r="AS120" s="166">
        <f t="shared" si="141"/>
        <v>151.79999999999998</v>
      </c>
      <c r="AT120" s="166">
        <f t="shared" si="141"/>
        <v>311.59999999999997</v>
      </c>
      <c r="AU120" s="166">
        <f t="shared" si="141"/>
        <v>266.483</v>
      </c>
      <c r="AV120" s="166">
        <f t="shared" si="141"/>
        <v>281.24099999999999</v>
      </c>
      <c r="AW120" s="166">
        <f t="shared" si="141"/>
        <v>262.76099999999997</v>
      </c>
      <c r="AX120" s="166">
        <f t="shared" si="141"/>
        <v>253.316</v>
      </c>
      <c r="AY120" s="166">
        <f t="shared" si="141"/>
        <v>244.98499999999999</v>
      </c>
      <c r="AZ120" s="166">
        <f t="shared" si="141"/>
        <v>314.12999999999994</v>
      </c>
      <c r="BA120" s="166">
        <f t="shared" ref="BA120:BF120" si="142">+BA19+BA20+BA23+BA22+BA15+BA21</f>
        <v>265.77199999999999</v>
      </c>
      <c r="BB120" s="166">
        <f t="shared" si="142"/>
        <v>265.67900000000003</v>
      </c>
      <c r="BC120" s="166">
        <f t="shared" si="142"/>
        <v>282.30400000000003</v>
      </c>
      <c r="BD120" s="166">
        <f t="shared" si="142"/>
        <v>283.65299999999996</v>
      </c>
      <c r="BE120" s="166">
        <f t="shared" si="142"/>
        <v>275.96800000000002</v>
      </c>
      <c r="BF120" s="166">
        <f t="shared" si="142"/>
        <v>284.61699999999996</v>
      </c>
      <c r="BG120" s="166">
        <f t="shared" ref="BG120:BH120" si="143">+BG19+BG20+BG23+BG22+BG15+BG21</f>
        <v>315.46899999999999</v>
      </c>
      <c r="BH120" s="166">
        <f t="shared" si="143"/>
        <v>330.09399999999999</v>
      </c>
      <c r="BI120" s="73"/>
      <c r="BJ120" s="166">
        <f t="shared" ref="BJ120:BU120" si="144">+BJ19+BJ20+BJ23+BJ22+BJ15</f>
        <v>46.015999999999998</v>
      </c>
      <c r="BK120" s="166">
        <f t="shared" si="144"/>
        <v>56.423999999999999</v>
      </c>
      <c r="BL120" s="166">
        <f t="shared" si="144"/>
        <v>59.037999999999997</v>
      </c>
      <c r="BM120" s="166">
        <f t="shared" si="144"/>
        <v>69.263000000000005</v>
      </c>
      <c r="BN120" s="166">
        <f t="shared" si="144"/>
        <v>112.78799999999998</v>
      </c>
      <c r="BO120" s="166">
        <f t="shared" si="144"/>
        <v>156.864</v>
      </c>
      <c r="BP120" s="166">
        <f t="shared" si="144"/>
        <v>137.70099999999999</v>
      </c>
      <c r="BQ120" s="166">
        <f t="shared" si="144"/>
        <v>178.59300000000002</v>
      </c>
      <c r="BR120" s="166">
        <f t="shared" si="144"/>
        <v>226.08299999999997</v>
      </c>
      <c r="BS120" s="166">
        <f t="shared" si="144"/>
        <v>138.9</v>
      </c>
      <c r="BT120" s="166">
        <f t="shared" si="144"/>
        <v>143.6</v>
      </c>
      <c r="BU120" s="166">
        <f t="shared" si="144"/>
        <v>266.483</v>
      </c>
      <c r="BV120" s="166">
        <f>AY120</f>
        <v>244.98499999999999</v>
      </c>
      <c r="BW120" s="166">
        <f t="shared" si="97"/>
        <v>282.30400000000003</v>
      </c>
      <c r="BX120" s="166">
        <f t="shared" si="98"/>
        <v>315.46899999999999</v>
      </c>
      <c r="CG120" s="63"/>
    </row>
    <row r="121" spans="1:85" s="9" customFormat="1" x14ac:dyDescent="0.35">
      <c r="A121" s="7"/>
      <c r="B121" s="237" t="str">
        <f>IF(Control!$D$5=1,"Other Current Liabilities","Outros Passivos Correntes")</f>
        <v>Other Current Liabilities</v>
      </c>
      <c r="C121" s="238">
        <f>+C57+C58+C60+C61+C62+C59+C63+C64+C65+C53+C67+C66+C55+C56</f>
        <v>26.274000000000001</v>
      </c>
      <c r="D121" s="245" t="s">
        <v>2</v>
      </c>
      <c r="E121" s="245" t="s">
        <v>2</v>
      </c>
      <c r="F121" s="245" t="s">
        <v>2</v>
      </c>
      <c r="G121" s="238">
        <f t="shared" ref="G121:AV121" si="145">+G57+G58+G60+G61+G62+G59+G63+G64+G65+G53+G67+G66+G55+G56</f>
        <v>57.785000000000011</v>
      </c>
      <c r="H121" s="238">
        <f t="shared" si="145"/>
        <v>75.531000000000006</v>
      </c>
      <c r="I121" s="238">
        <f t="shared" si="145"/>
        <v>42.610999999999997</v>
      </c>
      <c r="J121" s="238">
        <f t="shared" si="145"/>
        <v>37.212999999999994</v>
      </c>
      <c r="K121" s="238">
        <f t="shared" si="145"/>
        <v>52.179000000000002</v>
      </c>
      <c r="L121" s="238">
        <f t="shared" si="145"/>
        <v>82.040999999999997</v>
      </c>
      <c r="M121" s="238">
        <f t="shared" si="145"/>
        <v>62.723999999999997</v>
      </c>
      <c r="N121" s="238">
        <f t="shared" si="145"/>
        <v>67.186999999999998</v>
      </c>
      <c r="O121" s="238">
        <f t="shared" si="145"/>
        <v>58.163000000000004</v>
      </c>
      <c r="P121" s="238">
        <f t="shared" si="145"/>
        <v>115.78299999999999</v>
      </c>
      <c r="Q121" s="238">
        <f t="shared" si="145"/>
        <v>99.739000000000004</v>
      </c>
      <c r="R121" s="238">
        <f t="shared" si="145"/>
        <v>100.595</v>
      </c>
      <c r="S121" s="238">
        <f t="shared" si="145"/>
        <v>98.990000000000009</v>
      </c>
      <c r="T121" s="238">
        <f t="shared" si="145"/>
        <v>126.15300000000001</v>
      </c>
      <c r="U121" s="238">
        <f t="shared" si="145"/>
        <v>121.28700000000001</v>
      </c>
      <c r="V121" s="238">
        <f t="shared" si="145"/>
        <v>207.86</v>
      </c>
      <c r="W121" s="238">
        <f t="shared" si="145"/>
        <v>217.97599999999997</v>
      </c>
      <c r="X121" s="238">
        <f t="shared" si="145"/>
        <v>212.40600000000003</v>
      </c>
      <c r="Y121" s="238">
        <f t="shared" si="145"/>
        <v>235.75199999999998</v>
      </c>
      <c r="Z121" s="238">
        <f t="shared" si="145"/>
        <v>235.57400000000001</v>
      </c>
      <c r="AA121" s="238">
        <f t="shared" si="145"/>
        <v>202.94499999999999</v>
      </c>
      <c r="AB121" s="238">
        <f t="shared" si="145"/>
        <v>211.99699999999999</v>
      </c>
      <c r="AC121" s="238">
        <f t="shared" si="145"/>
        <v>191.39500000000001</v>
      </c>
      <c r="AD121" s="238">
        <f t="shared" si="145"/>
        <v>245.05</v>
      </c>
      <c r="AE121" s="238">
        <f t="shared" si="145"/>
        <v>216.21000000000004</v>
      </c>
      <c r="AF121" s="238">
        <f t="shared" si="145"/>
        <v>290.21100000000001</v>
      </c>
      <c r="AG121" s="238">
        <f t="shared" si="145"/>
        <v>268.404</v>
      </c>
      <c r="AH121" s="238">
        <f t="shared" si="145"/>
        <v>188.05099999999999</v>
      </c>
      <c r="AI121" s="238">
        <f t="shared" si="145"/>
        <v>206.18099999999998</v>
      </c>
      <c r="AJ121" s="238">
        <f t="shared" si="145"/>
        <v>235.25100000000003</v>
      </c>
      <c r="AK121" s="238">
        <f t="shared" si="145"/>
        <v>216.971</v>
      </c>
      <c r="AL121" s="238">
        <f t="shared" si="145"/>
        <v>200.93100000000001</v>
      </c>
      <c r="AM121" s="238">
        <f t="shared" si="145"/>
        <v>162.29999999999998</v>
      </c>
      <c r="AN121" s="238">
        <f t="shared" si="145"/>
        <v>210.87</v>
      </c>
      <c r="AO121" s="238">
        <f t="shared" si="145"/>
        <v>186.00799999999998</v>
      </c>
      <c r="AP121" s="238">
        <f t="shared" si="145"/>
        <v>163.06399999999999</v>
      </c>
      <c r="AQ121" s="238">
        <f t="shared" si="145"/>
        <v>134.79999999999998</v>
      </c>
      <c r="AR121" s="238">
        <f t="shared" si="145"/>
        <v>197.2</v>
      </c>
      <c r="AS121" s="238">
        <f t="shared" si="145"/>
        <v>223.5</v>
      </c>
      <c r="AT121" s="238">
        <f>+AT57+AT58+AT60+AT61+AT62+AT59+AT63+AT64+AT65+AT53+AT67+AT66+AT55+AT56</f>
        <v>238.5</v>
      </c>
      <c r="AU121" s="238">
        <f t="shared" si="145"/>
        <v>174.321</v>
      </c>
      <c r="AV121" s="238">
        <f t="shared" si="145"/>
        <v>202.39999999999998</v>
      </c>
      <c r="AW121" s="238">
        <f t="shared" ref="AW121:BB121" si="146">+AW57+AW58+AW60+AW61+AW62+AW59+AW63+AW64+AW65+AW53+AW67+AW66+AW55+AW56</f>
        <v>226.45600000000002</v>
      </c>
      <c r="AX121" s="238">
        <f t="shared" si="146"/>
        <v>196.411</v>
      </c>
      <c r="AY121" s="238">
        <f t="shared" si="146"/>
        <v>166.93199999999999</v>
      </c>
      <c r="AZ121" s="238">
        <f t="shared" si="146"/>
        <v>236.82599999999999</v>
      </c>
      <c r="BA121" s="238">
        <f t="shared" si="146"/>
        <v>244.161</v>
      </c>
      <c r="BB121" s="238">
        <f t="shared" si="146"/>
        <v>240.09599999999998</v>
      </c>
      <c r="BC121" s="238">
        <f t="shared" ref="BC121:BH121" si="147">+BC57+BC58+BC60+BC61+BC62+BC59+BC63+BC64+BC65+BC53+BC67+BC66+BC55+BC56</f>
        <v>245.09000000000003</v>
      </c>
      <c r="BD121" s="238">
        <f t="shared" si="147"/>
        <v>263.51500000000004</v>
      </c>
      <c r="BE121" s="238">
        <f t="shared" si="147"/>
        <v>245.48299999999998</v>
      </c>
      <c r="BF121" s="238">
        <f t="shared" si="147"/>
        <v>293.07799999999997</v>
      </c>
      <c r="BG121" s="238">
        <f t="shared" si="147"/>
        <v>263.71999999999997</v>
      </c>
      <c r="BH121" s="238">
        <f t="shared" si="147"/>
        <v>342.53899999999999</v>
      </c>
      <c r="BI121" s="73"/>
      <c r="BJ121" s="238">
        <f t="shared" ref="BJ121:BU121" si="148">+BJ57+BJ58+BJ60+BJ61+BJ62+BJ59+BJ63+BJ64+BJ65+BJ53+BJ67+BJ66</f>
        <v>26.274000000000001</v>
      </c>
      <c r="BK121" s="238">
        <f t="shared" si="148"/>
        <v>57.785000000000011</v>
      </c>
      <c r="BL121" s="238">
        <f t="shared" si="148"/>
        <v>52.179000000000002</v>
      </c>
      <c r="BM121" s="238">
        <f t="shared" si="148"/>
        <v>58.163000000000004</v>
      </c>
      <c r="BN121" s="238">
        <f t="shared" si="148"/>
        <v>98.990000000000009</v>
      </c>
      <c r="BO121" s="238">
        <f t="shared" si="148"/>
        <v>217.97599999999997</v>
      </c>
      <c r="BP121" s="238">
        <f t="shared" si="148"/>
        <v>202.94499999999999</v>
      </c>
      <c r="BQ121" s="238">
        <f t="shared" si="148"/>
        <v>216.21000000000004</v>
      </c>
      <c r="BR121" s="238">
        <f t="shared" si="148"/>
        <v>206.18099999999998</v>
      </c>
      <c r="BS121" s="238">
        <f t="shared" si="148"/>
        <v>162.29999999999998</v>
      </c>
      <c r="BT121" s="238">
        <f t="shared" si="148"/>
        <v>134.79999999999998</v>
      </c>
      <c r="BU121" s="238">
        <f t="shared" si="148"/>
        <v>174.321</v>
      </c>
      <c r="BV121" s="238">
        <f>AY121</f>
        <v>166.93199999999999</v>
      </c>
      <c r="BW121" s="238">
        <f t="shared" si="97"/>
        <v>245.09000000000003</v>
      </c>
      <c r="BX121" s="238">
        <f t="shared" si="98"/>
        <v>263.71999999999997</v>
      </c>
      <c r="BY121" s="235"/>
      <c r="BZ121" s="235"/>
      <c r="CA121" s="235"/>
      <c r="CB121" s="235"/>
      <c r="CC121" s="235"/>
      <c r="CD121" s="235"/>
      <c r="CE121" s="235"/>
      <c r="CF121" s="235"/>
      <c r="CG121" s="236"/>
    </row>
    <row r="122" spans="1:85" x14ac:dyDescent="0.35">
      <c r="B122" s="259" t="str">
        <f>IF(Control!$D$5=1,"Total Working Capital","Capital de Giro Total")</f>
        <v>Total Working Capital</v>
      </c>
      <c r="C122" s="260">
        <f t="shared" ref="C122:AT122" si="149">+C112+C114+C116-C118+C120-C121</f>
        <v>172.67699999999999</v>
      </c>
      <c r="D122" s="260" t="e">
        <f t="shared" si="149"/>
        <v>#VALUE!</v>
      </c>
      <c r="E122" s="260" t="e">
        <f t="shared" si="149"/>
        <v>#VALUE!</v>
      </c>
      <c r="F122" s="260" t="e">
        <f t="shared" si="149"/>
        <v>#VALUE!</v>
      </c>
      <c r="G122" s="260">
        <f t="shared" si="149"/>
        <v>226.24299999999999</v>
      </c>
      <c r="H122" s="260">
        <f t="shared" si="149"/>
        <v>178.49099999999999</v>
      </c>
      <c r="I122" s="260">
        <f t="shared" si="149"/>
        <v>226.09299999999996</v>
      </c>
      <c r="J122" s="260">
        <f t="shared" si="149"/>
        <v>183.40400000000002</v>
      </c>
      <c r="K122" s="260">
        <f t="shared" si="149"/>
        <v>224.34599999999998</v>
      </c>
      <c r="L122" s="260">
        <f t="shared" si="149"/>
        <v>268.71399999999988</v>
      </c>
      <c r="M122" s="260">
        <f t="shared" si="149"/>
        <v>330.52000000000004</v>
      </c>
      <c r="N122" s="260">
        <f t="shared" si="149"/>
        <v>300.18</v>
      </c>
      <c r="O122" s="260">
        <f t="shared" si="149"/>
        <v>250.61600000000004</v>
      </c>
      <c r="P122" s="260">
        <f t="shared" si="149"/>
        <v>393.54999999999995</v>
      </c>
      <c r="Q122" s="260">
        <f t="shared" si="149"/>
        <v>465.38599999999997</v>
      </c>
      <c r="R122" s="260">
        <f t="shared" si="149"/>
        <v>471.22700000000009</v>
      </c>
      <c r="S122" s="260">
        <f t="shared" si="149"/>
        <v>447.90300000000002</v>
      </c>
      <c r="T122" s="260">
        <f t="shared" si="149"/>
        <v>530.58399999999983</v>
      </c>
      <c r="U122" s="260">
        <f t="shared" si="149"/>
        <v>713.15299999999991</v>
      </c>
      <c r="V122" s="260">
        <f t="shared" si="149"/>
        <v>699.976</v>
      </c>
      <c r="W122" s="260">
        <f t="shared" si="149"/>
        <v>524.6160000000001</v>
      </c>
      <c r="X122" s="260">
        <f t="shared" si="149"/>
        <v>680.08199999999977</v>
      </c>
      <c r="Y122" s="260">
        <f t="shared" si="149"/>
        <v>860.01199999999994</v>
      </c>
      <c r="Z122" s="260">
        <f t="shared" si="149"/>
        <v>803.4369999999999</v>
      </c>
      <c r="AA122" s="260">
        <f t="shared" si="149"/>
        <v>739.88400000000024</v>
      </c>
      <c r="AB122" s="260">
        <f t="shared" si="149"/>
        <v>813.10900000000004</v>
      </c>
      <c r="AC122" s="260">
        <f t="shared" si="149"/>
        <v>916.29300000000012</v>
      </c>
      <c r="AD122" s="260">
        <f t="shared" si="149"/>
        <v>933.98799999999983</v>
      </c>
      <c r="AE122" s="260">
        <f t="shared" si="149"/>
        <v>764.077</v>
      </c>
      <c r="AF122" s="260">
        <f t="shared" si="149"/>
        <v>898.89800000000014</v>
      </c>
      <c r="AG122" s="260">
        <f t="shared" si="149"/>
        <v>1077.1229999999998</v>
      </c>
      <c r="AH122" s="260">
        <f t="shared" si="149"/>
        <v>1315.0249999999999</v>
      </c>
      <c r="AI122" s="260">
        <f t="shared" si="149"/>
        <v>1049.0099999999998</v>
      </c>
      <c r="AJ122" s="260">
        <f t="shared" si="149"/>
        <v>1079.8220000000001</v>
      </c>
      <c r="AK122" s="260">
        <f t="shared" si="149"/>
        <v>1376.6310000000003</v>
      </c>
      <c r="AL122" s="260">
        <f t="shared" si="149"/>
        <v>1341.5529999999999</v>
      </c>
      <c r="AM122" s="260">
        <f t="shared" si="149"/>
        <v>1149.0000000000002</v>
      </c>
      <c r="AN122" s="260">
        <f t="shared" si="149"/>
        <v>1191.8000000000006</v>
      </c>
      <c r="AO122" s="260">
        <f t="shared" si="149"/>
        <v>1390.2869999999998</v>
      </c>
      <c r="AP122" s="260">
        <f t="shared" si="149"/>
        <v>1339.518</v>
      </c>
      <c r="AQ122" s="260">
        <f t="shared" si="149"/>
        <v>1127.8</v>
      </c>
      <c r="AR122" s="260">
        <f t="shared" si="149"/>
        <v>1188.3999999999996</v>
      </c>
      <c r="AS122" s="260">
        <f t="shared" si="149"/>
        <v>1469.3</v>
      </c>
      <c r="AT122" s="260">
        <f t="shared" si="149"/>
        <v>1686.7</v>
      </c>
      <c r="AU122" s="260">
        <f t="shared" ref="AU122:BF122" si="150">+AU112+AU114+AU116-AU118+AU120-AU121</f>
        <v>1518.0240000000001</v>
      </c>
      <c r="AV122" s="260">
        <f t="shared" si="150"/>
        <v>1546.0409999999997</v>
      </c>
      <c r="AW122" s="260">
        <f t="shared" si="150"/>
        <v>1738.8659999999995</v>
      </c>
      <c r="AX122" s="260">
        <f t="shared" si="150"/>
        <v>1932.8129999999996</v>
      </c>
      <c r="AY122" s="260">
        <f t="shared" si="150"/>
        <v>1502.6059999999998</v>
      </c>
      <c r="AZ122" s="260">
        <f t="shared" si="150"/>
        <v>1921.712</v>
      </c>
      <c r="BA122" s="260">
        <f t="shared" si="150"/>
        <v>2141.2640000000001</v>
      </c>
      <c r="BB122" s="260">
        <f t="shared" si="150"/>
        <v>2170.39</v>
      </c>
      <c r="BC122" s="260">
        <f t="shared" si="150"/>
        <v>1825.4110000000001</v>
      </c>
      <c r="BD122" s="260">
        <f t="shared" si="150"/>
        <v>1875.4549999999997</v>
      </c>
      <c r="BE122" s="260">
        <f t="shared" si="150"/>
        <v>1987.2109999999996</v>
      </c>
      <c r="BF122" s="260">
        <f t="shared" si="150"/>
        <v>2019.326</v>
      </c>
      <c r="BG122" s="260">
        <f t="shared" ref="BG122:BH122" si="151">+BG112+BG114+BG116-BG118+BG120-BG121</f>
        <v>1878.7339999999997</v>
      </c>
      <c r="BH122" s="260">
        <f t="shared" si="151"/>
        <v>2232.4160000000002</v>
      </c>
      <c r="BI122" s="73"/>
      <c r="BJ122" s="260">
        <f t="shared" ref="BJ122:BT122" si="152">+BJ112+BJ114+BJ116-BJ118+BJ120-BJ121</f>
        <v>172.67699999999999</v>
      </c>
      <c r="BK122" s="260">
        <f t="shared" si="152"/>
        <v>226.24299999999999</v>
      </c>
      <c r="BL122" s="260">
        <f t="shared" si="152"/>
        <v>224.34599999999998</v>
      </c>
      <c r="BM122" s="260">
        <f t="shared" si="152"/>
        <v>250.61600000000004</v>
      </c>
      <c r="BN122" s="260">
        <f t="shared" si="152"/>
        <v>447.90300000000002</v>
      </c>
      <c r="BO122" s="260">
        <f t="shared" si="152"/>
        <v>524.6160000000001</v>
      </c>
      <c r="BP122" s="260">
        <f t="shared" si="152"/>
        <v>739.88400000000024</v>
      </c>
      <c r="BQ122" s="260">
        <f t="shared" si="152"/>
        <v>764.077</v>
      </c>
      <c r="BR122" s="260">
        <f t="shared" si="152"/>
        <v>1049.0099999999998</v>
      </c>
      <c r="BS122" s="260">
        <f t="shared" si="152"/>
        <v>1149.0000000000002</v>
      </c>
      <c r="BT122" s="260">
        <f t="shared" si="152"/>
        <v>1127.8</v>
      </c>
      <c r="BU122" s="260">
        <f>+BU112+BU114+BU116-BU118+BU120-BU121</f>
        <v>1518.0240000000001</v>
      </c>
      <c r="BV122" s="260">
        <f>+BV112+BV114+BV116-BV118+BV120-BV121</f>
        <v>1502.6059999999998</v>
      </c>
      <c r="BW122" s="260">
        <f t="shared" si="97"/>
        <v>1825.4110000000001</v>
      </c>
      <c r="BX122" s="260">
        <f t="shared" si="98"/>
        <v>1878.7339999999997</v>
      </c>
      <c r="CG122" s="63"/>
    </row>
    <row r="123" spans="1:85" x14ac:dyDescent="0.35">
      <c r="AS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73"/>
      <c r="BR123" s="300"/>
      <c r="BS123" s="300"/>
      <c r="BT123" s="300"/>
      <c r="BU123" s="300"/>
      <c r="BV123" s="300"/>
      <c r="BW123" s="300"/>
      <c r="BX123" s="300"/>
    </row>
    <row r="124" spans="1:85" x14ac:dyDescent="0.35">
      <c r="AS124" s="300"/>
      <c r="AT124" s="300"/>
      <c r="AU124" s="300"/>
      <c r="AV124" s="300"/>
      <c r="AW124" s="300"/>
      <c r="AX124" s="300"/>
      <c r="AY124" s="300"/>
      <c r="AZ124" s="300"/>
      <c r="BA124" s="300"/>
      <c r="BB124" s="300"/>
      <c r="BC124" s="300"/>
      <c r="BD124" s="300"/>
      <c r="BE124" s="300"/>
      <c r="BF124" s="300"/>
      <c r="BG124" s="300"/>
      <c r="BH124" s="300"/>
      <c r="BI124" s="73"/>
    </row>
    <row r="125" spans="1:85" x14ac:dyDescent="0.35">
      <c r="BI125" s="73"/>
    </row>
    <row r="126" spans="1:85" x14ac:dyDescent="0.35">
      <c r="BI126" s="73"/>
    </row>
    <row r="127" spans="1:85" x14ac:dyDescent="0.35">
      <c r="BI127" s="73"/>
    </row>
    <row r="128" spans="1:85" x14ac:dyDescent="0.35">
      <c r="BI128" s="73"/>
    </row>
    <row r="129" spans="61:61" x14ac:dyDescent="0.35">
      <c r="BI129" s="73"/>
    </row>
    <row r="130" spans="61:61" x14ac:dyDescent="0.35">
      <c r="BI130" s="73"/>
    </row>
    <row r="131" spans="61:61" x14ac:dyDescent="0.35">
      <c r="BI131" s="73"/>
    </row>
    <row r="132" spans="61:61" x14ac:dyDescent="0.35">
      <c r="BI132" s="73"/>
    </row>
    <row r="133" spans="61:61" x14ac:dyDescent="0.35">
      <c r="BI133" s="73"/>
    </row>
    <row r="134" spans="61:61" x14ac:dyDescent="0.35">
      <c r="BI134" s="73"/>
    </row>
    <row r="135" spans="61:61" x14ac:dyDescent="0.35">
      <c r="BI135" s="73"/>
    </row>
    <row r="136" spans="61:61" x14ac:dyDescent="0.35">
      <c r="BI136" s="73"/>
    </row>
    <row r="137" spans="61:61" x14ac:dyDescent="0.35">
      <c r="BI137" s="73"/>
    </row>
    <row r="138" spans="61:61" x14ac:dyDescent="0.35">
      <c r="BI138" s="73"/>
    </row>
    <row r="139" spans="61:61" x14ac:dyDescent="0.35">
      <c r="BI139" s="73"/>
    </row>
    <row r="140" spans="61:61" x14ac:dyDescent="0.35">
      <c r="BI140" s="73"/>
    </row>
    <row r="141" spans="61:61" x14ac:dyDescent="0.35">
      <c r="BI141" s="73"/>
    </row>
    <row r="142" spans="61:61" x14ac:dyDescent="0.35">
      <c r="BI142" s="73"/>
    </row>
    <row r="143" spans="61:61" x14ac:dyDescent="0.35">
      <c r="BI143" s="73"/>
    </row>
    <row r="144" spans="61:61" x14ac:dyDescent="0.35">
      <c r="BI144" s="73"/>
    </row>
    <row r="145" spans="61:61" x14ac:dyDescent="0.35">
      <c r="BI145" s="73"/>
    </row>
    <row r="146" spans="61:61" x14ac:dyDescent="0.35">
      <c r="BI146" s="73"/>
    </row>
    <row r="147" spans="61:61" x14ac:dyDescent="0.35">
      <c r="BI147" s="73"/>
    </row>
    <row r="148" spans="61:61" x14ac:dyDescent="0.35">
      <c r="BI148" s="73"/>
    </row>
    <row r="149" spans="61:61" x14ac:dyDescent="0.35">
      <c r="BI149" s="73"/>
    </row>
    <row r="150" spans="61:61" x14ac:dyDescent="0.35">
      <c r="BI150" s="73"/>
    </row>
    <row r="151" spans="61:61" x14ac:dyDescent="0.35">
      <c r="BI151" s="73"/>
    </row>
    <row r="152" spans="61:61" x14ac:dyDescent="0.35">
      <c r="BI152" s="73"/>
    </row>
    <row r="153" spans="61:61" x14ac:dyDescent="0.35">
      <c r="BI153" s="73"/>
    </row>
  </sheetData>
  <phoneticPr fontId="10" type="noConversion"/>
  <pageMargins left="0.51" right="0.51" top="0.79" bottom="0.79" header="0.31" footer="0.31"/>
  <pageSetup paperSize="9" scale="17" orientation="portrait" r:id="rId1"/>
  <ignoredErrors>
    <ignoredError sqref="AJ9 C9:AH9 C109:AN109 B10:AM10 B89:AL90 B108 B102:AN102 B94:AN95 B51:AL51 B50:AM50 B68:AN69 B101 B104:AN107 B103 D103:F103 C115 G115:AN115 B92:B93 P92 B24:AN27 B23:AL23 AN23 B39:AN40 B28:AL28 B47:AN49 B41:AL43 AN41:AN43 AN51 B67:AL67 AN67 B72:AL78 B80:AN82 B83:AL83 AN83 AN88:AN90 B86:AL86 AN85:AN86 B97:AN98 B96 AN72:AN78 AM9:AN9 C65:AL65 B85:AM85 AO85:AQ85 AN19:AN20 B19:AL20 C29:AL29 AN28:AN29 AN33:AN36 B33:AL36 AN53:AN54 B53:AL54 C57:AL57 AN57 B60:AL64 AN60:AN65 AN70 B70:AL70 C88:AL88 AO9:AQ11 AT9:AV9 AW8:AX8 AT10:AX10 AY9:AY11 BJ9:BU10 B11:AL16 AN10:AN17 C17:AL17 AN37:AN38 B37:AL38 C117:C119 G117:AN119 AZ9:AZ10" formulaRange="1"/>
    <ignoredError sqref="B118 B116 AS50 AR85:AS85 AR9 AR10:AS10 AS9" formula="1" formulaRange="1"/>
    <ignoredError sqref="B117 B119 B113:C113 B114 G113:K113 BP113:BR113 AR50 AR86:AS90 AR80:AS84 AR19:AS20 AR47:AS49 AR51:AS54 AR57:AS57 AR72:AS78 AR60:AS70 AR33:AS36 AR92:AS112 AS91 AJ113:AV113 BJ113 AR23:AS29 AR11:AS17 AR37:AS43 BV113 BV115 BV117 BV1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A1:BS96"/>
  <sheetViews>
    <sheetView showGridLines="0" zoomScale="85" zoomScaleNormal="85" workbookViewId="0">
      <pane xSplit="2" ySplit="7" topLeftCell="BD8" activePane="bottomRight" state="frozen"/>
      <selection activeCell="B29" sqref="B29"/>
      <selection pane="topRight" activeCell="B29" sqref="B29"/>
      <selection pane="bottomLeft" activeCell="B29" sqref="B29"/>
      <selection pane="bottomRight" activeCell="BH3" sqref="BH3"/>
    </sheetView>
  </sheetViews>
  <sheetFormatPr defaultColWidth="11.7265625" defaultRowHeight="10.5" outlineLevelRow="1" x14ac:dyDescent="0.25"/>
  <cols>
    <col min="1" max="1" width="5.26953125" style="7" customWidth="1"/>
    <col min="2" max="2" width="40.1796875" style="8" customWidth="1"/>
    <col min="3" max="3" width="11.81640625" style="91" customWidth="1"/>
    <col min="4" max="4" width="11.81640625" style="8" customWidth="1"/>
    <col min="5" max="7" width="11.81640625" style="91" customWidth="1"/>
    <col min="8" max="8" width="11.81640625" style="8" customWidth="1"/>
    <col min="9" max="11" width="11.81640625" style="91" customWidth="1"/>
    <col min="12" max="12" width="11.81640625" style="8" customWidth="1"/>
    <col min="13" max="15" width="11.81640625" style="91" customWidth="1"/>
    <col min="16" max="16" width="11.81640625" style="8" customWidth="1"/>
    <col min="17" max="19" width="11.81640625" style="91" customWidth="1"/>
    <col min="20" max="20" width="11.81640625" style="8" customWidth="1"/>
    <col min="21" max="23" width="11.81640625" style="91" customWidth="1"/>
    <col min="24" max="60" width="11.81640625" style="78" customWidth="1"/>
    <col min="61" max="61" width="7.7265625" style="138" customWidth="1"/>
    <col min="62" max="70" width="11.81640625" style="78" customWidth="1"/>
    <col min="71" max="16384" width="11.7265625" style="8"/>
  </cols>
  <sheetData>
    <row r="1" spans="1:70" s="20" customFormat="1" ht="13" x14ac:dyDescent="0.3">
      <c r="A1" s="181"/>
      <c r="C1" s="71"/>
      <c r="E1" s="71"/>
      <c r="F1" s="71"/>
      <c r="G1" s="71"/>
      <c r="I1" s="71"/>
      <c r="J1" s="71"/>
      <c r="K1" s="71"/>
      <c r="M1" s="71"/>
      <c r="N1" s="71"/>
      <c r="O1" s="71"/>
      <c r="Q1" s="71"/>
      <c r="R1" s="71"/>
      <c r="S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183"/>
      <c r="BJ1" s="71"/>
      <c r="BK1" s="71"/>
      <c r="BL1" s="71"/>
      <c r="BM1" s="71"/>
      <c r="BN1" s="71"/>
      <c r="BO1" s="71"/>
      <c r="BP1" s="71"/>
      <c r="BQ1" s="71"/>
      <c r="BR1" s="71"/>
    </row>
    <row r="2" spans="1:70" s="20" customFormat="1" ht="18.5" x14ac:dyDescent="0.45">
      <c r="A2" s="181"/>
      <c r="B2" s="21" t="str">
        <f>IF(Control!$D$5=1,"Income Statement","Demonstrativo de Resultados")</f>
        <v>Income Statement</v>
      </c>
      <c r="C2" s="72"/>
      <c r="D2" s="21"/>
      <c r="E2" s="72"/>
      <c r="F2" s="72"/>
      <c r="G2" s="72"/>
      <c r="H2" s="21"/>
      <c r="I2" s="72"/>
      <c r="J2" s="72"/>
      <c r="K2" s="72"/>
      <c r="L2" s="21"/>
      <c r="M2" s="72"/>
      <c r="N2" s="72"/>
      <c r="O2" s="72"/>
      <c r="P2" s="21"/>
      <c r="Q2" s="72"/>
      <c r="R2" s="72"/>
      <c r="S2" s="72"/>
      <c r="T2" s="21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87"/>
      <c r="BJ2" s="72"/>
      <c r="BK2" s="72"/>
      <c r="BL2" s="72"/>
      <c r="BM2" s="72"/>
      <c r="BN2" s="72"/>
      <c r="BO2" s="72"/>
      <c r="BP2" s="72"/>
      <c r="BQ2" s="72"/>
      <c r="BR2" s="72"/>
    </row>
    <row r="3" spans="1:70" s="20" customFormat="1" ht="14.5" x14ac:dyDescent="0.35">
      <c r="A3" s="181"/>
      <c r="B3" s="29" t="str">
        <f>IF(Control!$D$5=1,"Food Products by Region","Alimentício por Região")</f>
        <v>Food Products by Region</v>
      </c>
      <c r="C3" s="71"/>
      <c r="D3" s="29"/>
      <c r="E3" s="71"/>
      <c r="F3" s="71"/>
      <c r="G3" s="71"/>
      <c r="H3" s="29"/>
      <c r="I3" s="71"/>
      <c r="J3" s="71"/>
      <c r="K3" s="71"/>
      <c r="L3" s="29"/>
      <c r="M3" s="71"/>
      <c r="N3" s="71"/>
      <c r="O3" s="71"/>
      <c r="P3" s="29"/>
      <c r="Q3" s="71"/>
      <c r="R3" s="71"/>
      <c r="S3" s="71"/>
      <c r="T3" s="29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183"/>
      <c r="BJ3" s="71"/>
      <c r="BK3" s="71"/>
      <c r="BL3" s="71"/>
      <c r="BM3" s="71"/>
      <c r="BN3" s="71"/>
      <c r="BO3" s="71"/>
      <c r="BP3" s="71"/>
      <c r="BQ3" s="71"/>
      <c r="BR3" s="71"/>
    </row>
    <row r="4" spans="1:70" s="20" customFormat="1" ht="13" x14ac:dyDescent="0.3">
      <c r="A4" s="181"/>
      <c r="C4" s="73"/>
      <c r="E4" s="73"/>
      <c r="F4" s="73"/>
      <c r="G4" s="73"/>
      <c r="I4" s="73"/>
      <c r="J4" s="73"/>
      <c r="K4" s="73"/>
      <c r="M4" s="73"/>
      <c r="N4" s="73"/>
      <c r="O4" s="73"/>
      <c r="Q4" s="73"/>
      <c r="R4" s="73"/>
      <c r="S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190"/>
      <c r="BJ4" s="73"/>
      <c r="BK4" s="73"/>
      <c r="BL4" s="73"/>
      <c r="BM4" s="73"/>
      <c r="BN4" s="73"/>
      <c r="BO4" s="73"/>
      <c r="BP4" s="73"/>
      <c r="BQ4" s="73"/>
      <c r="BR4" s="73"/>
    </row>
    <row r="5" spans="1:70" s="23" customFormat="1" ht="14.5" x14ac:dyDescent="0.35">
      <c r="A5" s="80"/>
      <c r="B5" s="30" t="str">
        <f>IF(Control!$D$5=1,"Food Products Brasil","Alimentício Brasil")</f>
        <v>Food Products Brasil</v>
      </c>
      <c r="C5" s="106"/>
      <c r="D5" s="106"/>
      <c r="E5" s="106"/>
      <c r="F5" s="106"/>
      <c r="G5" s="106"/>
      <c r="H5" s="106"/>
      <c r="I5" s="106"/>
      <c r="J5" s="107"/>
      <c r="K5" s="106"/>
      <c r="L5" s="106"/>
      <c r="M5" s="106"/>
      <c r="N5" s="107"/>
      <c r="O5" s="106"/>
      <c r="P5" s="106"/>
      <c r="Q5" s="106"/>
      <c r="R5" s="107"/>
      <c r="S5" s="106"/>
      <c r="T5" s="106"/>
      <c r="U5" s="106"/>
      <c r="V5" s="107"/>
      <c r="W5" s="106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190"/>
      <c r="BJ5" s="74"/>
      <c r="BK5" s="74"/>
      <c r="BL5" s="74"/>
      <c r="BM5" s="74"/>
      <c r="BN5" s="74"/>
      <c r="BO5" s="74"/>
      <c r="BP5" s="74"/>
      <c r="BQ5" s="74"/>
      <c r="BR5" s="74"/>
    </row>
    <row r="6" spans="1:70" s="23" customFormat="1" ht="14.5" x14ac:dyDescent="0.35">
      <c r="A6" s="80"/>
      <c r="B6" s="30" t="str">
        <f>IF(Control!$D$4=1,"In "&amp;TEXT(Control!$D$8,0)&amp;" "&amp;TEXT(Control!$D$9,0)&amp;", except where noted","Em "&amp;TEXT(Control!$D$8,0)&amp;" "&amp;TEXT(Control!$D$7,0)&amp;", exceto se especificado")</f>
        <v>Em millions R$, exceto se especificado</v>
      </c>
      <c r="C6" s="111" t="str">
        <f>IF(Control!$D$5=1,"4Q07","4T07")</f>
        <v>4Q07</v>
      </c>
      <c r="D6" s="111" t="str">
        <f>IF(Control!$D$5=1,"1Q08","1T08")</f>
        <v>1Q08</v>
      </c>
      <c r="E6" s="111" t="str">
        <f>IF(Control!$D$5=1,"2Q08","2T08")</f>
        <v>2Q08</v>
      </c>
      <c r="F6" s="111" t="str">
        <f>IF(Control!$D$5=1,"3Q08","3T08")</f>
        <v>3Q08</v>
      </c>
      <c r="G6" s="111" t="str">
        <f>IF(Control!$D$5=1,"4Q08","4T08")</f>
        <v>4Q08</v>
      </c>
      <c r="H6" s="111" t="str">
        <f>IF(Control!$D$5=1,"1Q09","1T09")</f>
        <v>1Q09</v>
      </c>
      <c r="I6" s="111" t="str">
        <f>IF(Control!$D$5=1,"2Q09","2T09")</f>
        <v>2Q09</v>
      </c>
      <c r="J6" s="111" t="str">
        <f>IF(Control!$D$5=1,"3Q09","3T09")</f>
        <v>3Q09</v>
      </c>
      <c r="K6" s="111" t="str">
        <f>IF(Control!$D$5=1,"4Q09","4T09")</f>
        <v>4Q09</v>
      </c>
      <c r="L6" s="111" t="str">
        <f>IF(Control!$D$5=1,"1Q10","1T10")</f>
        <v>1Q10</v>
      </c>
      <c r="M6" s="111" t="str">
        <f>IF(Control!$D$5=1,"2Q10","2T10")</f>
        <v>2Q10</v>
      </c>
      <c r="N6" s="111" t="str">
        <f>IF(Control!$D$5=1,"3Q10","3T10")</f>
        <v>3Q10</v>
      </c>
      <c r="O6" s="111" t="str">
        <f>IF(Control!$D$5=1,"4Q10","4T10")</f>
        <v>4Q10</v>
      </c>
      <c r="P6" s="111" t="str">
        <f>IF(Control!$D$5=1,"1Q11","1T11")</f>
        <v>1Q11</v>
      </c>
      <c r="Q6" s="111" t="str">
        <f>IF(Control!$D$5=1,"2Q11","2T11")</f>
        <v>2Q11</v>
      </c>
      <c r="R6" s="111" t="str">
        <f>IF(Control!$D$5=1,"3Q11","3T11")</f>
        <v>3Q11</v>
      </c>
      <c r="S6" s="111" t="str">
        <f>IF(Control!$D$5=1,"4Q11","4T11")</f>
        <v>4Q11</v>
      </c>
      <c r="T6" s="111" t="str">
        <f>IF(Control!$D$5=1,"1Q12","1T12")</f>
        <v>1Q12</v>
      </c>
      <c r="U6" s="111" t="str">
        <f>IF(Control!$D$5=1,"2Q12","2T12")</f>
        <v>2Q12</v>
      </c>
      <c r="V6" s="111" t="str">
        <f>IF(Control!$D$5=1,"3Q12","3T12")</f>
        <v>3Q12</v>
      </c>
      <c r="W6" s="111" t="str">
        <f>IF(Control!$D$5=1,"4Q12","4T12")</f>
        <v>4Q12</v>
      </c>
      <c r="X6" s="111" t="str">
        <f>IF(Control!$D$5=1,"1Q13","1T13")</f>
        <v>1Q13</v>
      </c>
      <c r="Y6" s="111" t="str">
        <f>IF(Control!$D$5=1,"2Q13","2T13")</f>
        <v>2Q13</v>
      </c>
      <c r="Z6" s="111" t="str">
        <f>IF(Control!$D$5=1,"3Q13","3T13")</f>
        <v>3Q13</v>
      </c>
      <c r="AA6" s="111" t="str">
        <f>IF(Control!$D$5=1,"4Q13","4T13")</f>
        <v>4Q13</v>
      </c>
      <c r="AB6" s="111" t="str">
        <f>IF(Control!$D$5=1,"1Q14","1T14")</f>
        <v>1Q14</v>
      </c>
      <c r="AC6" s="111" t="str">
        <f>IF(Control!$D$5=1,"2Q14","2T14")</f>
        <v>2Q14</v>
      </c>
      <c r="AD6" s="111" t="str">
        <f>IF(Control!$D$5=1,"3Q14","3T14")</f>
        <v>3Q14</v>
      </c>
      <c r="AE6" s="111" t="str">
        <f>IF(Control!$D$5=1,"4Q14","4T14")</f>
        <v>4Q14</v>
      </c>
      <c r="AF6" s="111" t="str">
        <f>IF(Control!$D$5=1,"1Q15","1T15")</f>
        <v>1Q15</v>
      </c>
      <c r="AG6" s="111" t="str">
        <f>IF(Control!$D$5=1,"2Q15","2T15")</f>
        <v>2Q15</v>
      </c>
      <c r="AH6" s="111" t="str">
        <f>IF(Control!$D$5=1,"3Q15","3T15")</f>
        <v>3Q15</v>
      </c>
      <c r="AI6" s="111" t="str">
        <f>IF(Control!$D$5=1,"4Q15","4T15")</f>
        <v>4Q15</v>
      </c>
      <c r="AJ6" s="111" t="str">
        <f>IF(Control!$D$5=1,"1Q16","1T16")</f>
        <v>1Q16</v>
      </c>
      <c r="AK6" s="111" t="str">
        <f>IF(Control!$D$5=1,"2Q16","2T16")</f>
        <v>2Q16</v>
      </c>
      <c r="AL6" s="111" t="str">
        <f>IF(Control!$D$5=1,"3Q16","3T16")</f>
        <v>3Q16</v>
      </c>
      <c r="AM6" s="111" t="str">
        <f>IF(Control!$D$5=1,"4Q16","4T16")</f>
        <v>4Q16</v>
      </c>
      <c r="AN6" s="111" t="str">
        <f>IF(Control!$D$5=1,"1Q17","1T17")</f>
        <v>1Q17</v>
      </c>
      <c r="AO6" s="111" t="str">
        <f>IF(Control!$D$5=1,"2Q17","2T17")</f>
        <v>2Q17</v>
      </c>
      <c r="AP6" s="111" t="str">
        <f>IF(Control!$D$5=1,"3Q17","3T17")</f>
        <v>3Q17</v>
      </c>
      <c r="AQ6" s="111" t="str">
        <f>IF(Control!$D$5=1,"4Q17","4T17")</f>
        <v>4Q17</v>
      </c>
      <c r="AR6" s="111" t="str">
        <f>IF(Control!$D$5=1,"1Q18","1T18")</f>
        <v>1Q18</v>
      </c>
      <c r="AS6" s="111" t="str">
        <f>IF(Control!$D$5=1,"2Q18","2T18")</f>
        <v>2Q18</v>
      </c>
      <c r="AT6" s="111" t="str">
        <f>IF(Control!$D$5=1,"3Q18","3T18")</f>
        <v>3Q18</v>
      </c>
      <c r="AU6" s="111" t="str">
        <f>IF(Control!$D$5=1,"4Q18","4T18")</f>
        <v>4Q18</v>
      </c>
      <c r="AV6" s="111" t="str">
        <f>IF(Control!$D$5=1,"1Q19","1T19")</f>
        <v>1Q19</v>
      </c>
      <c r="AW6" s="111" t="str">
        <f>IF(Control!$D$5=1,"2Q19","2T19")</f>
        <v>2Q19</v>
      </c>
      <c r="AX6" s="111" t="str">
        <f>IF(Control!$D$5=1,"3Q19","3T19")</f>
        <v>3Q19</v>
      </c>
      <c r="AY6" s="111" t="str">
        <f>IF(Control!$D$5=1,"4Q19","4T19")</f>
        <v>4Q19</v>
      </c>
      <c r="AZ6" s="111" t="str">
        <f>IF(Control!$D$5=1,"1Q20","1T20")</f>
        <v>1Q20</v>
      </c>
      <c r="BA6" s="111" t="str">
        <f>IF(Control!$D$5=1,"2Q20","2T20")</f>
        <v>2Q20</v>
      </c>
      <c r="BB6" s="111" t="str">
        <f>IF(Control!$D$5=1,"3Q20","3T20")</f>
        <v>3Q20</v>
      </c>
      <c r="BC6" s="111" t="str">
        <f>IF(Control!$D$5=1,"4Q20","4T20")</f>
        <v>4Q20</v>
      </c>
      <c r="BD6" s="111" t="str">
        <f>IF(Control!$D$5=1,"1Q21","1T21")</f>
        <v>1Q21</v>
      </c>
      <c r="BE6" s="111" t="str">
        <f>IF(Control!$D$5=1,"2Q21","2T21")</f>
        <v>2Q21</v>
      </c>
      <c r="BF6" s="111" t="str">
        <f>IF(Control!$D$5=1,"3Q21","3T21")</f>
        <v>3Q21</v>
      </c>
      <c r="BG6" s="111" t="str">
        <f>IF(Control!$D$5=1,"4Q21","4T21")</f>
        <v>4Q21</v>
      </c>
      <c r="BH6" s="111" t="str">
        <f>IF(Control!$D$5=1,"1Q22","1T22")</f>
        <v>1Q22</v>
      </c>
      <c r="BI6" s="190"/>
      <c r="BJ6" s="74" t="str">
        <f>IF(Control!$D$5=1,"12M13","12M13")</f>
        <v>12M13</v>
      </c>
      <c r="BK6" s="74" t="str">
        <f>IF(Control!$D$5=1,"12M14","12M14")</f>
        <v>12M14</v>
      </c>
      <c r="BL6" s="111" t="str">
        <f>IF(Control!$D$5=1,"12M15","12M15")</f>
        <v>12M15</v>
      </c>
      <c r="BM6" s="111" t="s">
        <v>5</v>
      </c>
      <c r="BN6" s="74" t="s">
        <v>8</v>
      </c>
      <c r="BO6" s="111" t="s">
        <v>12</v>
      </c>
      <c r="BP6" s="111" t="s">
        <v>16</v>
      </c>
      <c r="BQ6" s="111" t="s">
        <v>17</v>
      </c>
      <c r="BR6" s="111" t="s">
        <v>20</v>
      </c>
    </row>
    <row r="7" spans="1:70" s="79" customFormat="1" ht="14.5" x14ac:dyDescent="0.35">
      <c r="A7" s="247"/>
      <c r="B7" s="30" t="str">
        <f>IF(Control!$D$5=1,"Closing Date","Data Fechamento")</f>
        <v>Closing Date</v>
      </c>
      <c r="C7" s="74">
        <v>39506</v>
      </c>
      <c r="D7" s="74">
        <v>39599</v>
      </c>
      <c r="E7" s="74">
        <v>39690</v>
      </c>
      <c r="F7" s="74">
        <v>39782</v>
      </c>
      <c r="G7" s="74">
        <v>39872</v>
      </c>
      <c r="H7" s="74">
        <v>39964</v>
      </c>
      <c r="I7" s="74">
        <v>40056</v>
      </c>
      <c r="J7" s="74">
        <v>40147</v>
      </c>
      <c r="K7" s="74">
        <v>40237</v>
      </c>
      <c r="L7" s="74">
        <v>40329</v>
      </c>
      <c r="M7" s="74">
        <v>40421</v>
      </c>
      <c r="N7" s="74">
        <v>40512</v>
      </c>
      <c r="O7" s="74">
        <v>40602</v>
      </c>
      <c r="P7" s="74">
        <v>40694</v>
      </c>
      <c r="Q7" s="74">
        <v>40786</v>
      </c>
      <c r="R7" s="74">
        <v>40877</v>
      </c>
      <c r="S7" s="74">
        <v>40968</v>
      </c>
      <c r="T7" s="74">
        <v>41060</v>
      </c>
      <c r="U7" s="74">
        <v>41152</v>
      </c>
      <c r="V7" s="74">
        <v>41243</v>
      </c>
      <c r="W7" s="74">
        <v>41333</v>
      </c>
      <c r="X7" s="74">
        <v>41425</v>
      </c>
      <c r="Y7" s="74">
        <v>41517</v>
      </c>
      <c r="Z7" s="74">
        <v>41608</v>
      </c>
      <c r="AA7" s="74">
        <v>41698</v>
      </c>
      <c r="AB7" s="74">
        <v>41790</v>
      </c>
      <c r="AC7" s="74">
        <v>41882</v>
      </c>
      <c r="AD7" s="74">
        <v>41973</v>
      </c>
      <c r="AE7" s="74">
        <v>42063</v>
      </c>
      <c r="AF7" s="74">
        <v>42155</v>
      </c>
      <c r="AG7" s="74">
        <v>42247</v>
      </c>
      <c r="AH7" s="74">
        <v>42338</v>
      </c>
      <c r="AI7" s="74">
        <v>42429</v>
      </c>
      <c r="AJ7" s="74">
        <v>42521</v>
      </c>
      <c r="AK7" s="74">
        <v>42613</v>
      </c>
      <c r="AL7" s="74">
        <v>42704</v>
      </c>
      <c r="AM7" s="74">
        <v>42794</v>
      </c>
      <c r="AN7" s="74">
        <v>42886</v>
      </c>
      <c r="AO7" s="74">
        <v>42978</v>
      </c>
      <c r="AP7" s="74">
        <v>43069</v>
      </c>
      <c r="AQ7" s="74">
        <v>43159</v>
      </c>
      <c r="AR7" s="74">
        <v>43251</v>
      </c>
      <c r="AS7" s="74">
        <v>43343</v>
      </c>
      <c r="AT7" s="74">
        <v>43434</v>
      </c>
      <c r="AU7" s="74">
        <v>43524</v>
      </c>
      <c r="AV7" s="74">
        <v>43616</v>
      </c>
      <c r="AW7" s="74">
        <v>43708</v>
      </c>
      <c r="AX7" s="74">
        <v>43799</v>
      </c>
      <c r="AY7" s="74">
        <v>43890</v>
      </c>
      <c r="AZ7" s="74">
        <v>43982</v>
      </c>
      <c r="BA7" s="74">
        <v>44074</v>
      </c>
      <c r="BB7" s="74">
        <v>44165</v>
      </c>
      <c r="BC7" s="74">
        <v>44255</v>
      </c>
      <c r="BD7" s="74">
        <v>44347</v>
      </c>
      <c r="BE7" s="74">
        <v>44439</v>
      </c>
      <c r="BF7" s="74">
        <v>44530</v>
      </c>
      <c r="BG7" s="74">
        <v>44620</v>
      </c>
      <c r="BH7" s="74">
        <v>44712</v>
      </c>
      <c r="BI7" s="190"/>
      <c r="BJ7" s="74">
        <v>41698</v>
      </c>
      <c r="BK7" s="74">
        <v>42063</v>
      </c>
      <c r="BL7" s="74">
        <v>42429</v>
      </c>
      <c r="BM7" s="74">
        <v>42794</v>
      </c>
      <c r="BN7" s="74">
        <v>43159</v>
      </c>
      <c r="BO7" s="74">
        <v>43524</v>
      </c>
      <c r="BP7" s="74">
        <v>43890</v>
      </c>
      <c r="BQ7" s="74">
        <v>44255</v>
      </c>
      <c r="BR7" s="74">
        <v>44620</v>
      </c>
    </row>
    <row r="8" spans="1:70" s="7" customFormat="1" ht="5.25" customHeight="1" x14ac:dyDescent="0.35">
      <c r="B8" s="56"/>
      <c r="C8" s="87"/>
      <c r="D8" s="56"/>
      <c r="E8" s="87"/>
      <c r="F8" s="87"/>
      <c r="G8" s="87"/>
      <c r="H8" s="56"/>
      <c r="I8" s="87"/>
      <c r="J8" s="87"/>
      <c r="K8" s="87"/>
      <c r="L8" s="56"/>
      <c r="M8" s="87"/>
      <c r="N8" s="87"/>
      <c r="O8" s="87"/>
      <c r="P8" s="56"/>
      <c r="Q8" s="87"/>
      <c r="R8" s="87"/>
      <c r="S8" s="87"/>
      <c r="T8" s="56"/>
      <c r="U8" s="87"/>
      <c r="V8" s="87"/>
      <c r="W8" s="87"/>
      <c r="X8" s="86"/>
      <c r="Y8" s="86"/>
      <c r="Z8" s="86"/>
      <c r="AA8" s="86"/>
      <c r="AB8" s="86"/>
      <c r="AC8" s="123"/>
      <c r="AD8" s="123"/>
      <c r="AE8" s="123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190"/>
      <c r="BJ8" s="123"/>
      <c r="BK8" s="123"/>
      <c r="BL8" s="86"/>
      <c r="BM8" s="86"/>
      <c r="BN8" s="86"/>
      <c r="BO8" s="86"/>
      <c r="BP8" s="86"/>
      <c r="BQ8" s="86"/>
      <c r="BR8" s="86"/>
    </row>
    <row r="9" spans="1:70" s="80" customFormat="1" ht="14.5" x14ac:dyDescent="0.35">
      <c r="A9" s="147"/>
      <c r="B9" s="96" t="str">
        <f>IF(Control!$D$5=1,"Net Revenues","Receita Líquida")</f>
        <v>Net Revenues</v>
      </c>
      <c r="C9" s="92" t="s">
        <v>3</v>
      </c>
      <c r="D9" s="92" t="s">
        <v>3</v>
      </c>
      <c r="E9" s="92" t="s">
        <v>3</v>
      </c>
      <c r="F9" s="92" t="s">
        <v>3</v>
      </c>
      <c r="G9" s="92" t="s">
        <v>3</v>
      </c>
      <c r="H9" s="92" t="s">
        <v>3</v>
      </c>
      <c r="I9" s="92" t="s">
        <v>3</v>
      </c>
      <c r="J9" s="92" t="s">
        <v>3</v>
      </c>
      <c r="K9" s="92" t="s">
        <v>3</v>
      </c>
      <c r="L9" s="92" t="s">
        <v>3</v>
      </c>
      <c r="M9" s="92" t="s">
        <v>3</v>
      </c>
      <c r="N9" s="92" t="s">
        <v>3</v>
      </c>
      <c r="O9" s="92" t="s">
        <v>3</v>
      </c>
      <c r="P9" s="92" t="s">
        <v>3</v>
      </c>
      <c r="Q9" s="92" t="s">
        <v>3</v>
      </c>
      <c r="R9" s="92" t="s">
        <v>3</v>
      </c>
      <c r="S9" s="92" t="s">
        <v>3</v>
      </c>
      <c r="T9" s="92" t="s">
        <v>3</v>
      </c>
      <c r="U9" s="92" t="s">
        <v>3</v>
      </c>
      <c r="V9" s="92" t="s">
        <v>3</v>
      </c>
      <c r="W9" s="92" t="s">
        <v>3</v>
      </c>
      <c r="X9" s="124">
        <v>657.346</v>
      </c>
      <c r="Y9" s="124">
        <v>655.79899999999998</v>
      </c>
      <c r="Z9" s="124">
        <v>648.83999999999992</v>
      </c>
      <c r="AA9" s="124">
        <v>677.93599999999992</v>
      </c>
      <c r="AB9" s="124">
        <v>663.96299999999997</v>
      </c>
      <c r="AC9" s="124">
        <v>621.08799999999997</v>
      </c>
      <c r="AD9" s="124">
        <v>647.85200000000009</v>
      </c>
      <c r="AE9" s="124">
        <v>667.72099999999978</v>
      </c>
      <c r="AF9" s="124">
        <v>660.30499999999995</v>
      </c>
      <c r="AG9" s="124">
        <v>687.89400000000012</v>
      </c>
      <c r="AH9" s="124">
        <v>773.51400000000001</v>
      </c>
      <c r="AI9" s="124">
        <v>813.62199999999973</v>
      </c>
      <c r="AJ9" s="124">
        <v>804.53599999999994</v>
      </c>
      <c r="AK9" s="124">
        <v>978.62700000000007</v>
      </c>
      <c r="AL9" s="124">
        <v>957.80499999999995</v>
      </c>
      <c r="AM9" s="124">
        <v>942.30200000000025</v>
      </c>
      <c r="AN9" s="124">
        <v>931.024</v>
      </c>
      <c r="AO9" s="124">
        <v>814.43799999999999</v>
      </c>
      <c r="AP9" s="124">
        <v>818.94500000000016</v>
      </c>
      <c r="AQ9" s="124">
        <v>766.99299999999994</v>
      </c>
      <c r="AR9" s="124">
        <v>700.4</v>
      </c>
      <c r="AS9" s="124">
        <v>800.9</v>
      </c>
      <c r="AT9" s="124">
        <v>857.50000000000023</v>
      </c>
      <c r="AU9" s="124">
        <v>987.6</v>
      </c>
      <c r="AV9" s="124">
        <v>941.46399999999994</v>
      </c>
      <c r="AW9" s="124">
        <v>886.428</v>
      </c>
      <c r="AX9" s="124">
        <v>1002.204</v>
      </c>
      <c r="AY9" s="124">
        <v>1084.6369999999999</v>
      </c>
      <c r="AZ9" s="124">
        <v>1210.2460000000001</v>
      </c>
      <c r="BA9" s="124">
        <v>1342.451</v>
      </c>
      <c r="BB9" s="124">
        <v>1441.357</v>
      </c>
      <c r="BC9" s="124">
        <v>1360.347</v>
      </c>
      <c r="BD9" s="124">
        <v>1754.229</v>
      </c>
      <c r="BE9" s="124">
        <v>1669.819</v>
      </c>
      <c r="BF9" s="124">
        <v>1662.4674653599998</v>
      </c>
      <c r="BG9" s="124">
        <v>1633.4407016400005</v>
      </c>
      <c r="BH9" s="124">
        <v>1867.299</v>
      </c>
      <c r="BI9" s="190"/>
      <c r="BJ9" s="124">
        <v>2639.9209999999998</v>
      </c>
      <c r="BK9" s="124">
        <v>2600.6239999999998</v>
      </c>
      <c r="BL9" s="124">
        <v>2935.335</v>
      </c>
      <c r="BM9" s="124">
        <v>3683.3</v>
      </c>
      <c r="BN9" s="124">
        <v>3331.4</v>
      </c>
      <c r="BO9" s="124">
        <v>3346.3209999999999</v>
      </c>
      <c r="BP9" s="124">
        <v>3914.7329999999993</v>
      </c>
      <c r="BQ9" s="124">
        <v>5354.402</v>
      </c>
      <c r="BR9" s="124">
        <v>6719.9561670000003</v>
      </c>
    </row>
    <row r="10" spans="1:70" s="7" customFormat="1" ht="14.5" x14ac:dyDescent="0.35">
      <c r="A10" s="147"/>
      <c r="B10" s="126" t="str">
        <f>IF(Control!$D$5=1,"(-) Cost of Sales and Services","(-) Custo das Vendas e Serviços")</f>
        <v>(-) Cost of Sales and Services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76">
        <f t="shared" ref="X10:AO10" si="0">X11-X9</f>
        <v>-471.54700000000003</v>
      </c>
      <c r="Y10" s="76">
        <f t="shared" si="0"/>
        <v>-490.24900000000002</v>
      </c>
      <c r="Z10" s="76">
        <f t="shared" si="0"/>
        <v>-498.82699999999988</v>
      </c>
      <c r="AA10" s="76">
        <f t="shared" si="0"/>
        <v>-523.21599999999989</v>
      </c>
      <c r="AB10" s="76">
        <f t="shared" si="0"/>
        <v>-485.34</v>
      </c>
      <c r="AC10" s="76">
        <f t="shared" si="0"/>
        <v>-465.87299999999993</v>
      </c>
      <c r="AD10" s="76">
        <f t="shared" si="0"/>
        <v>-500.69400000000013</v>
      </c>
      <c r="AE10" s="76">
        <f t="shared" si="0"/>
        <v>-534.26099999999974</v>
      </c>
      <c r="AF10" s="76">
        <f t="shared" si="0"/>
        <v>-495.33999999999992</v>
      </c>
      <c r="AG10" s="76">
        <f t="shared" si="0"/>
        <v>-522.39300000000014</v>
      </c>
      <c r="AH10" s="76">
        <f t="shared" si="0"/>
        <v>-582.48800000000006</v>
      </c>
      <c r="AI10" s="76">
        <f t="shared" si="0"/>
        <v>-607.04099999999971</v>
      </c>
      <c r="AJ10" s="76">
        <f t="shared" si="0"/>
        <v>-585.654</v>
      </c>
      <c r="AK10" s="76">
        <f t="shared" si="0"/>
        <v>-713.16600000000005</v>
      </c>
      <c r="AL10" s="76">
        <f t="shared" si="0"/>
        <v>-744.79899999999998</v>
      </c>
      <c r="AM10" s="76">
        <f t="shared" si="0"/>
        <v>-746.55800000000022</v>
      </c>
      <c r="AN10" s="76">
        <f t="shared" si="0"/>
        <v>-708.077</v>
      </c>
      <c r="AO10" s="76">
        <f t="shared" si="0"/>
        <v>-622.60300000000007</v>
      </c>
      <c r="AP10" s="76">
        <f>AP11-AP9</f>
        <v>-626.32500000000005</v>
      </c>
      <c r="AQ10" s="76">
        <f>AQ11-AQ9</f>
        <v>-575.19499999999994</v>
      </c>
      <c r="AR10" s="76">
        <f>AR11-AR9</f>
        <v>-522.9</v>
      </c>
      <c r="AS10" s="76">
        <f>AS11-AS9</f>
        <v>-588.69999999999993</v>
      </c>
      <c r="AT10" s="76">
        <v>-648</v>
      </c>
      <c r="AU10" s="76">
        <v>-761.7</v>
      </c>
      <c r="AV10" s="76">
        <v>-739.27700000000004</v>
      </c>
      <c r="AW10" s="76">
        <v>-693.005</v>
      </c>
      <c r="AX10" s="76">
        <v>-770.9849999999999</v>
      </c>
      <c r="AY10" s="76">
        <v>-851.38099999999997</v>
      </c>
      <c r="AZ10" s="76">
        <v>-944.10799999999995</v>
      </c>
      <c r="BA10" s="76">
        <v>-1065.6610000000001</v>
      </c>
      <c r="BB10" s="76">
        <v>-1116.271</v>
      </c>
      <c r="BC10" s="76">
        <v>-1130.4538155100001</v>
      </c>
      <c r="BD10" s="76">
        <v>-1438.4480000000001</v>
      </c>
      <c r="BE10" s="76">
        <v>-1369.6390753899998</v>
      </c>
      <c r="BF10" s="76">
        <v>-1347.39716208</v>
      </c>
      <c r="BG10" s="76">
        <v>-1372.2225028300006</v>
      </c>
      <c r="BH10" s="76">
        <v>-1462.558</v>
      </c>
      <c r="BI10" s="189"/>
      <c r="BJ10" s="76">
        <f>BJ11-BJ9</f>
        <v>-1983.8389999999999</v>
      </c>
      <c r="BK10" s="76">
        <f>BK11-BK9</f>
        <v>-1986.1679999999997</v>
      </c>
      <c r="BL10" s="76">
        <f>BL11-BL9</f>
        <v>-2207.2620000000002</v>
      </c>
      <c r="BM10" s="76">
        <v>-2790.2</v>
      </c>
      <c r="BN10" s="76">
        <v>-2532.1999999999998</v>
      </c>
      <c r="BO10" s="76">
        <v>-2521.3209999999999</v>
      </c>
      <c r="BP10" s="76">
        <v>-3054.6479999999997</v>
      </c>
      <c r="BQ10" s="76">
        <v>-4256.4939999999997</v>
      </c>
      <c r="BR10" s="76">
        <v>-5527.706740300001</v>
      </c>
    </row>
    <row r="11" spans="1:70" s="80" customFormat="1" ht="14.5" x14ac:dyDescent="0.35">
      <c r="A11" s="147"/>
      <c r="B11" s="96" t="str">
        <f>IF(Control!$D$5=1,"Gross Profit","Lucro Bruto")</f>
        <v>Gross Profit</v>
      </c>
      <c r="C11" s="92" t="s">
        <v>3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92" t="s">
        <v>3</v>
      </c>
      <c r="J11" s="92" t="s">
        <v>3</v>
      </c>
      <c r="K11" s="92" t="s">
        <v>3</v>
      </c>
      <c r="L11" s="92" t="s">
        <v>3</v>
      </c>
      <c r="M11" s="92" t="s">
        <v>3</v>
      </c>
      <c r="N11" s="92" t="s">
        <v>3</v>
      </c>
      <c r="O11" s="92" t="s">
        <v>3</v>
      </c>
      <c r="P11" s="92" t="s">
        <v>3</v>
      </c>
      <c r="Q11" s="92" t="s">
        <v>3</v>
      </c>
      <c r="R11" s="92" t="s">
        <v>3</v>
      </c>
      <c r="S11" s="92" t="s">
        <v>3</v>
      </c>
      <c r="T11" s="92" t="s">
        <v>3</v>
      </c>
      <c r="U11" s="92" t="s">
        <v>3</v>
      </c>
      <c r="V11" s="92" t="s">
        <v>3</v>
      </c>
      <c r="W11" s="92" t="s">
        <v>3</v>
      </c>
      <c r="X11" s="124">
        <v>185.79900000000001</v>
      </c>
      <c r="Y11" s="124">
        <v>165.54999999999998</v>
      </c>
      <c r="Z11" s="140">
        <v>150.01300000000001</v>
      </c>
      <c r="AA11" s="140">
        <v>154.72</v>
      </c>
      <c r="AB11" s="124">
        <v>178.62299999999999</v>
      </c>
      <c r="AC11" s="124">
        <v>155.21500000000003</v>
      </c>
      <c r="AD11" s="124">
        <v>147.15799999999996</v>
      </c>
      <c r="AE11" s="124">
        <v>133.46000000000004</v>
      </c>
      <c r="AF11" s="124">
        <v>164.965</v>
      </c>
      <c r="AG11" s="124">
        <v>165.501</v>
      </c>
      <c r="AH11" s="124">
        <v>191.02599999999998</v>
      </c>
      <c r="AI11" s="124">
        <v>206.58100000000005</v>
      </c>
      <c r="AJ11" s="124">
        <v>218.88200000000001</v>
      </c>
      <c r="AK11" s="124">
        <v>265.46100000000001</v>
      </c>
      <c r="AL11" s="124">
        <v>213.00600000000003</v>
      </c>
      <c r="AM11" s="124">
        <v>195.74399999999997</v>
      </c>
      <c r="AN11" s="124">
        <v>222.947</v>
      </c>
      <c r="AO11" s="124">
        <v>191.83499999999998</v>
      </c>
      <c r="AP11" s="124">
        <v>192.62000000000006</v>
      </c>
      <c r="AQ11" s="124">
        <v>191.798</v>
      </c>
      <c r="AR11" s="124">
        <v>177.5</v>
      </c>
      <c r="AS11" s="124">
        <v>212.20000000000005</v>
      </c>
      <c r="AT11" s="124">
        <v>209.50000000000023</v>
      </c>
      <c r="AU11" s="124">
        <v>225.9</v>
      </c>
      <c r="AV11" s="124">
        <v>202.1869999999999</v>
      </c>
      <c r="AW11" s="124">
        <v>193.423</v>
      </c>
      <c r="AX11" s="124">
        <v>231.21900000000005</v>
      </c>
      <c r="AY11" s="124">
        <v>233.25599999999997</v>
      </c>
      <c r="AZ11" s="124">
        <v>266.13800000000015</v>
      </c>
      <c r="BA11" s="124">
        <v>276.78999999999996</v>
      </c>
      <c r="BB11" s="124">
        <v>325.08600000000001</v>
      </c>
      <c r="BC11" s="124">
        <v>229.89318448999984</v>
      </c>
      <c r="BD11" s="124">
        <v>315.8</v>
      </c>
      <c r="BE11" s="124">
        <v>300.17992461000017</v>
      </c>
      <c r="BF11" s="124">
        <v>315.07030327999951</v>
      </c>
      <c r="BG11" s="124">
        <v>261.21819880999988</v>
      </c>
      <c r="BH11" s="124">
        <v>404.74099999999999</v>
      </c>
      <c r="BI11" s="190"/>
      <c r="BJ11" s="124">
        <v>656.08199999999999</v>
      </c>
      <c r="BK11" s="124">
        <v>614.45600000000002</v>
      </c>
      <c r="BL11" s="124">
        <v>728.07299999999998</v>
      </c>
      <c r="BM11" s="124">
        <v>893.1</v>
      </c>
      <c r="BN11" s="124">
        <v>799.2</v>
      </c>
      <c r="BO11" s="124">
        <v>825</v>
      </c>
      <c r="BP11" s="124">
        <v>860.08499999999992</v>
      </c>
      <c r="BQ11" s="124">
        <v>1097.9080000000004</v>
      </c>
      <c r="BR11" s="124">
        <v>1192.2684266999995</v>
      </c>
    </row>
    <row r="12" spans="1:70" s="127" customFormat="1" ht="14.5" x14ac:dyDescent="0.35">
      <c r="B12" s="126" t="str">
        <f>IF(Control!$D$5=1,"(-) SG&amp;A Expenses","(-) Despesas com Vendas, Gerais e Administrativas")</f>
        <v>(-) SG&amp;A Expenses</v>
      </c>
      <c r="C12" s="92" t="s">
        <v>3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92" t="s">
        <v>3</v>
      </c>
      <c r="J12" s="92" t="s">
        <v>3</v>
      </c>
      <c r="K12" s="92" t="s">
        <v>3</v>
      </c>
      <c r="L12" s="92" t="s">
        <v>3</v>
      </c>
      <c r="M12" s="92" t="s">
        <v>3</v>
      </c>
      <c r="N12" s="92" t="s">
        <v>3</v>
      </c>
      <c r="O12" s="92" t="s">
        <v>3</v>
      </c>
      <c r="P12" s="92" t="s">
        <v>3</v>
      </c>
      <c r="Q12" s="92" t="s">
        <v>3</v>
      </c>
      <c r="R12" s="92" t="s">
        <v>3</v>
      </c>
      <c r="S12" s="92" t="s">
        <v>3</v>
      </c>
      <c r="T12" s="92" t="s">
        <v>3</v>
      </c>
      <c r="U12" s="92" t="s">
        <v>3</v>
      </c>
      <c r="V12" s="92" t="s">
        <v>3</v>
      </c>
      <c r="W12" s="92" t="s">
        <v>3</v>
      </c>
      <c r="X12" s="76">
        <v>-107.89</v>
      </c>
      <c r="Y12" s="76">
        <v>-104.32700000000001</v>
      </c>
      <c r="Z12" s="76">
        <v>-92.203999999999994</v>
      </c>
      <c r="AA12" s="76">
        <v>-101.41500000000001</v>
      </c>
      <c r="AB12" s="76">
        <v>-110.873</v>
      </c>
      <c r="AC12" s="76">
        <v>-99.73299999999999</v>
      </c>
      <c r="AD12" s="76">
        <v>-100.747</v>
      </c>
      <c r="AE12" s="76">
        <v>-91.71699999999997</v>
      </c>
      <c r="AF12" s="76">
        <v>-100.883</v>
      </c>
      <c r="AG12" s="76">
        <v>-106.97100000000002</v>
      </c>
      <c r="AH12" s="76">
        <v>-113.53599999999999</v>
      </c>
      <c r="AI12" s="76">
        <v>-136.83699999999999</v>
      </c>
      <c r="AJ12" s="76">
        <v>-124.563</v>
      </c>
      <c r="AK12" s="76">
        <v>-134.57900000000001</v>
      </c>
      <c r="AL12" s="76">
        <v>-116.16899999999997</v>
      </c>
      <c r="AM12" s="76">
        <v>-150.48100000000005</v>
      </c>
      <c r="AN12" s="76">
        <v>-140.79</v>
      </c>
      <c r="AO12" s="76">
        <v>-140.25199999999998</v>
      </c>
      <c r="AP12" s="76">
        <v>-128.00500000000005</v>
      </c>
      <c r="AQ12" s="76">
        <v>-130.45299999999997</v>
      </c>
      <c r="AR12" s="76">
        <v>-145.1</v>
      </c>
      <c r="AS12" s="76">
        <v>-157.9</v>
      </c>
      <c r="AT12" s="76">
        <v>-156.19999999999999</v>
      </c>
      <c r="AU12" s="76">
        <v>-190.8</v>
      </c>
      <c r="AV12" s="76">
        <v>-179.15899999999999</v>
      </c>
      <c r="AW12" s="76">
        <v>-161.518</v>
      </c>
      <c r="AX12" s="76">
        <v>-165.05500000000001</v>
      </c>
      <c r="AY12" s="76">
        <v>-170.06299999999999</v>
      </c>
      <c r="AZ12" s="76">
        <v>-166.32599999999999</v>
      </c>
      <c r="BA12" s="76">
        <v>-176.233</v>
      </c>
      <c r="BB12" s="76">
        <v>-175.30700000000002</v>
      </c>
      <c r="BC12" s="76">
        <v>-161.21601555000001</v>
      </c>
      <c r="BD12" s="76">
        <v>-210.131</v>
      </c>
      <c r="BE12" s="76">
        <v>-196.08391902999998</v>
      </c>
      <c r="BF12" s="76">
        <v>-209.55755276999994</v>
      </c>
      <c r="BG12" s="76">
        <v>-218.53883958000014</v>
      </c>
      <c r="BH12" s="76">
        <v>-247.97473212</v>
      </c>
      <c r="BI12" s="190"/>
      <c r="BJ12" s="76">
        <v>-405.83600000000001</v>
      </c>
      <c r="BK12" s="76">
        <v>-403.07</v>
      </c>
      <c r="BL12" s="76">
        <v>-458.22699999999998</v>
      </c>
      <c r="BM12" s="76">
        <v>-525.79999999999995</v>
      </c>
      <c r="BN12" s="76">
        <v>-539.5</v>
      </c>
      <c r="BO12" s="76">
        <f>-586.13-63.827</f>
        <v>-649.95699999999999</v>
      </c>
      <c r="BP12" s="76">
        <v>-675.79500000000007</v>
      </c>
      <c r="BQ12" s="76">
        <v>-679.08337612000003</v>
      </c>
      <c r="BR12" s="76">
        <v>-834.31131138000012</v>
      </c>
    </row>
    <row r="13" spans="1:70" s="127" customFormat="1" ht="14.5" x14ac:dyDescent="0.35">
      <c r="B13" s="126" t="str">
        <f>IF(Control!$D$5=1,"(+/-) Other operating income (expenses) and Equity (Earnings)/Losses in Uncons. Subs.","(+/-) Outras receitas (despesas) operacionais e Resultado da Equivalência Patrimonial")</f>
        <v>(+/-) Other operating income (expenses) and Equity (Earnings)/Losses in Uncons. Subs.</v>
      </c>
      <c r="C13" s="92" t="s">
        <v>3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92" t="s">
        <v>3</v>
      </c>
      <c r="J13" s="92" t="s">
        <v>3</v>
      </c>
      <c r="K13" s="92" t="s">
        <v>3</v>
      </c>
      <c r="L13" s="92" t="s">
        <v>3</v>
      </c>
      <c r="M13" s="92" t="s">
        <v>3</v>
      </c>
      <c r="N13" s="92" t="s">
        <v>3</v>
      </c>
      <c r="O13" s="92" t="s">
        <v>3</v>
      </c>
      <c r="P13" s="92" t="s">
        <v>3</v>
      </c>
      <c r="Q13" s="92" t="s">
        <v>3</v>
      </c>
      <c r="R13" s="92" t="s">
        <v>3</v>
      </c>
      <c r="S13" s="92" t="s">
        <v>3</v>
      </c>
      <c r="T13" s="92" t="s">
        <v>3</v>
      </c>
      <c r="U13" s="92" t="s">
        <v>3</v>
      </c>
      <c r="V13" s="92" t="s">
        <v>3</v>
      </c>
      <c r="W13" s="92" t="s">
        <v>3</v>
      </c>
      <c r="X13" s="76">
        <v>-8.01</v>
      </c>
      <c r="Y13" s="76">
        <v>-9.3759999999999994</v>
      </c>
      <c r="Z13" s="76">
        <v>-1.0130000000000017</v>
      </c>
      <c r="AA13" s="76">
        <v>-1.2040000000000006</v>
      </c>
      <c r="AB13" s="76">
        <v>-0.872</v>
      </c>
      <c r="AC13" s="76">
        <v>-3.2210000000000001</v>
      </c>
      <c r="AD13" s="76">
        <v>4.5019999999999998</v>
      </c>
      <c r="AE13" s="76">
        <v>-0.46499999999999975</v>
      </c>
      <c r="AF13" s="76">
        <v>-3.4340000000000002</v>
      </c>
      <c r="AG13" s="76">
        <v>-2.5179999999999998</v>
      </c>
      <c r="AH13" s="76">
        <v>-20.440999999999999</v>
      </c>
      <c r="AI13" s="76">
        <v>6.3989999999999991</v>
      </c>
      <c r="AJ13" s="76">
        <v>-8.4700000000000006</v>
      </c>
      <c r="AK13" s="76">
        <v>-7.3059999999999992</v>
      </c>
      <c r="AL13" s="76">
        <v>9.0000000000003411E-3</v>
      </c>
      <c r="AM13" s="76">
        <v>10.361000000000001</v>
      </c>
      <c r="AN13" s="76">
        <v>0.872</v>
      </c>
      <c r="AO13" s="76">
        <v>10.561</v>
      </c>
      <c r="AP13" s="76">
        <v>8.2280000000000015</v>
      </c>
      <c r="AQ13" s="76">
        <v>9.2389999999999972</v>
      </c>
      <c r="AR13" s="76">
        <v>-1.1000000000000001</v>
      </c>
      <c r="AS13" s="76">
        <v>3.2</v>
      </c>
      <c r="AT13" s="76">
        <v>39.299999999999997</v>
      </c>
      <c r="AU13" s="76">
        <v>26.6</v>
      </c>
      <c r="AV13" s="76">
        <v>0.66900000000000004</v>
      </c>
      <c r="AW13" s="76">
        <v>-0.111</v>
      </c>
      <c r="AX13" s="76">
        <v>2.1000000000000001E-2</v>
      </c>
      <c r="AY13" s="76">
        <v>0.55200000000000005</v>
      </c>
      <c r="AZ13" s="76">
        <v>1.988</v>
      </c>
      <c r="BA13" s="76">
        <v>9.9819999999999993</v>
      </c>
      <c r="BB13" s="76">
        <v>2.8959999999999999</v>
      </c>
      <c r="BC13" s="76">
        <v>8.5572874699999986</v>
      </c>
      <c r="BD13" s="76">
        <v>-8.9019999999999992</v>
      </c>
      <c r="BE13" s="76">
        <v>-2.1981767200000011</v>
      </c>
      <c r="BF13" s="76">
        <v>2.0652280000000245E-2</v>
      </c>
      <c r="BG13" s="76">
        <v>64.461606639999999</v>
      </c>
      <c r="BH13" s="76">
        <v>-1.6180000000000001</v>
      </c>
      <c r="BI13" s="190"/>
      <c r="BJ13" s="76">
        <v>-19.603000000000002</v>
      </c>
      <c r="BK13" s="76">
        <v>-5.6000000000000001E-2</v>
      </c>
      <c r="BL13" s="76">
        <v>-19.994</v>
      </c>
      <c r="BM13" s="76">
        <v>-5.4059999999999997</v>
      </c>
      <c r="BN13" s="76">
        <v>28.9</v>
      </c>
      <c r="BO13" s="76">
        <v>67.828000000000003</v>
      </c>
      <c r="BP13" s="76">
        <v>1.1310000000000002</v>
      </c>
      <c r="BQ13" s="76">
        <v>23.422000000000001</v>
      </c>
      <c r="BR13" s="76">
        <v>53.382082199999999</v>
      </c>
    </row>
    <row r="14" spans="1:70" s="80" customFormat="1" ht="14.5" x14ac:dyDescent="0.35">
      <c r="A14" s="127"/>
      <c r="B14" s="96" t="str">
        <f>IF(Control!$D$5=1,"EBIT","Lucro Operacional (EBIT)")</f>
        <v>EBIT</v>
      </c>
      <c r="C14" s="92" t="s">
        <v>3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92" t="s">
        <v>3</v>
      </c>
      <c r="J14" s="92" t="s">
        <v>3</v>
      </c>
      <c r="K14" s="92" t="s">
        <v>3</v>
      </c>
      <c r="L14" s="92" t="s">
        <v>3</v>
      </c>
      <c r="M14" s="92" t="s">
        <v>3</v>
      </c>
      <c r="N14" s="92" t="s">
        <v>3</v>
      </c>
      <c r="O14" s="92" t="s">
        <v>3</v>
      </c>
      <c r="P14" s="92" t="s">
        <v>3</v>
      </c>
      <c r="Q14" s="92" t="s">
        <v>3</v>
      </c>
      <c r="R14" s="92" t="s">
        <v>3</v>
      </c>
      <c r="S14" s="92" t="s">
        <v>3</v>
      </c>
      <c r="T14" s="92" t="s">
        <v>3</v>
      </c>
      <c r="U14" s="92" t="s">
        <v>3</v>
      </c>
      <c r="V14" s="92" t="s">
        <v>3</v>
      </c>
      <c r="W14" s="92" t="s">
        <v>3</v>
      </c>
      <c r="X14" s="124">
        <v>69.899000000000001</v>
      </c>
      <c r="Y14" s="124">
        <v>51.846999999999973</v>
      </c>
      <c r="Z14" s="124">
        <v>56.796000000000049</v>
      </c>
      <c r="AA14" s="124">
        <v>52.100999999999942</v>
      </c>
      <c r="AB14" s="124">
        <v>66.877999999999986</v>
      </c>
      <c r="AC14" s="124">
        <v>52.261000000000038</v>
      </c>
      <c r="AD14" s="124">
        <v>50.91299999999994</v>
      </c>
      <c r="AE14" s="124">
        <v>41.278000000000063</v>
      </c>
      <c r="AF14" s="124">
        <v>60.64800000000001</v>
      </c>
      <c r="AG14" s="124">
        <v>56.011999999999986</v>
      </c>
      <c r="AH14" s="124">
        <v>57.048999999999978</v>
      </c>
      <c r="AI14" s="124">
        <v>76.143000000000043</v>
      </c>
      <c r="AJ14" s="124">
        <v>85.849000000000004</v>
      </c>
      <c r="AK14" s="124">
        <v>123.57600000000001</v>
      </c>
      <c r="AL14" s="124">
        <v>96.846000000000046</v>
      </c>
      <c r="AM14" s="124">
        <v>55.623999999999839</v>
      </c>
      <c r="AN14" s="124">
        <v>83.029000000000011</v>
      </c>
      <c r="AO14" s="124">
        <v>62.143999999999998</v>
      </c>
      <c r="AP14" s="124">
        <v>72.842999999999989</v>
      </c>
      <c r="AQ14" s="124">
        <v>70.584000000000032</v>
      </c>
      <c r="AR14" s="124">
        <v>31.300000000000004</v>
      </c>
      <c r="AS14" s="124">
        <v>57.500000000000043</v>
      </c>
      <c r="AT14" s="124">
        <f>SUM(AT11:AT13)</f>
        <v>92.600000000000236</v>
      </c>
      <c r="AU14" s="124">
        <v>61.7</v>
      </c>
      <c r="AV14" s="124">
        <v>23.696999999999907</v>
      </c>
      <c r="AW14" s="124">
        <v>31.794</v>
      </c>
      <c r="AX14" s="124">
        <v>66.185000000000045</v>
      </c>
      <c r="AY14" s="124">
        <v>63.744999999999983</v>
      </c>
      <c r="AZ14" s="124">
        <v>101.80000000000015</v>
      </c>
      <c r="BA14" s="124">
        <v>110.53899999999996</v>
      </c>
      <c r="BB14" s="124">
        <v>152.67499999999998</v>
      </c>
      <c r="BC14" s="124">
        <v>77.234456409999837</v>
      </c>
      <c r="BD14" s="124">
        <v>96.745000000000019</v>
      </c>
      <c r="BE14" s="124">
        <v>101.89782886000019</v>
      </c>
      <c r="BF14" s="124">
        <v>105.53340278999957</v>
      </c>
      <c r="BG14" s="124">
        <v>107.14096586999973</v>
      </c>
      <c r="BH14" s="124">
        <v>155.14826787999999</v>
      </c>
      <c r="BI14" s="190"/>
      <c r="BJ14" s="124">
        <v>230.64299999999997</v>
      </c>
      <c r="BK14" s="124">
        <v>211.33</v>
      </c>
      <c r="BL14" s="124">
        <v>249.852</v>
      </c>
      <c r="BM14" s="124">
        <v>361.89400000000006</v>
      </c>
      <c r="BN14" s="124">
        <v>288.60000000000002</v>
      </c>
      <c r="BO14" s="124">
        <f>+BO11+BO12+BO13</f>
        <v>242.87100000000001</v>
      </c>
      <c r="BP14" s="124">
        <v>185.42099999999994</v>
      </c>
      <c r="BQ14" s="124">
        <v>442.24662388000036</v>
      </c>
      <c r="BR14" s="124">
        <v>411.31719751999947</v>
      </c>
    </row>
    <row r="15" spans="1:70" s="127" customFormat="1" ht="14.5" x14ac:dyDescent="0.35">
      <c r="A15" s="80"/>
      <c r="B15" s="126" t="str">
        <f>IF(Control!$D$5=1,"(+/-) Finacial Result","(+/-) Resultado Financeiro")</f>
        <v>(+/-) Finacial Result</v>
      </c>
      <c r="C15" s="92" t="s">
        <v>3</v>
      </c>
      <c r="D15" s="92" t="s">
        <v>3</v>
      </c>
      <c r="E15" s="92" t="s">
        <v>3</v>
      </c>
      <c r="F15" s="92" t="s">
        <v>3</v>
      </c>
      <c r="G15" s="92" t="s">
        <v>3</v>
      </c>
      <c r="H15" s="92" t="s">
        <v>3</v>
      </c>
      <c r="I15" s="92" t="s">
        <v>3</v>
      </c>
      <c r="J15" s="92" t="s">
        <v>3</v>
      </c>
      <c r="K15" s="92" t="s">
        <v>3</v>
      </c>
      <c r="L15" s="92" t="s">
        <v>3</v>
      </c>
      <c r="M15" s="92" t="s">
        <v>3</v>
      </c>
      <c r="N15" s="92" t="s">
        <v>3</v>
      </c>
      <c r="O15" s="92" t="s">
        <v>3</v>
      </c>
      <c r="P15" s="92" t="s">
        <v>3</v>
      </c>
      <c r="Q15" s="92" t="s">
        <v>3</v>
      </c>
      <c r="R15" s="92" t="s">
        <v>3</v>
      </c>
      <c r="S15" s="92" t="s">
        <v>3</v>
      </c>
      <c r="T15" s="92" t="s">
        <v>3</v>
      </c>
      <c r="U15" s="92" t="s">
        <v>3</v>
      </c>
      <c r="V15" s="92" t="s">
        <v>3</v>
      </c>
      <c r="W15" s="92" t="s">
        <v>3</v>
      </c>
      <c r="X15" s="76">
        <v>-15.826999999999998</v>
      </c>
      <c r="Y15" s="76">
        <v>-24.542999999999999</v>
      </c>
      <c r="Z15" s="76">
        <v>-28.551000000000009</v>
      </c>
      <c r="AA15" s="76">
        <v>-26.127999999999993</v>
      </c>
      <c r="AB15" s="76">
        <v>-26.817</v>
      </c>
      <c r="AC15" s="76">
        <v>-28.774000000000008</v>
      </c>
      <c r="AD15" s="76">
        <v>-29.690999999999988</v>
      </c>
      <c r="AE15" s="76">
        <v>-25.003</v>
      </c>
      <c r="AF15" s="76">
        <v>-22.105</v>
      </c>
      <c r="AG15" s="76">
        <v>-34.472999999999999</v>
      </c>
      <c r="AH15" s="76">
        <v>-35.441000000000003</v>
      </c>
      <c r="AI15" s="76">
        <v>-33.428999999999988</v>
      </c>
      <c r="AJ15" s="76">
        <v>-30.342999999999996</v>
      </c>
      <c r="AK15" s="76">
        <v>-47.518000000000001</v>
      </c>
      <c r="AL15" s="76">
        <v>-27.812000000000005</v>
      </c>
      <c r="AM15" s="76">
        <v>-36.832999999999991</v>
      </c>
      <c r="AN15" s="76">
        <v>-20.832000000000001</v>
      </c>
      <c r="AO15" s="76">
        <v>-20.509000000000007</v>
      </c>
      <c r="AP15" s="76">
        <v>-8.0180000000000007</v>
      </c>
      <c r="AQ15" s="76">
        <v>-8.4409999999999883</v>
      </c>
      <c r="AR15" s="76">
        <v>-8.8000000000000043</v>
      </c>
      <c r="AS15" s="76">
        <v>3.0000000000000071</v>
      </c>
      <c r="AT15" s="76">
        <v>22.700000000000003</v>
      </c>
      <c r="AU15" s="76">
        <v>-16.600000000000001</v>
      </c>
      <c r="AV15" s="76">
        <v>-10.083000000000006</v>
      </c>
      <c r="AW15" s="76">
        <v>-15.104000000000003</v>
      </c>
      <c r="AX15" s="76">
        <v>-15.196000000000005</v>
      </c>
      <c r="AY15" s="76">
        <v>-12.723000000000003</v>
      </c>
      <c r="AZ15" s="76">
        <v>-13.054000000000002</v>
      </c>
      <c r="BA15" s="76">
        <v>-10.615000000000002</v>
      </c>
      <c r="BB15" s="76">
        <v>-27.894000000000005</v>
      </c>
      <c r="BC15" s="76">
        <v>-14.605059739999994</v>
      </c>
      <c r="BD15" s="76">
        <v>-22.3</v>
      </c>
      <c r="BE15" s="76">
        <v>-25.610630559999997</v>
      </c>
      <c r="BF15" s="76">
        <v>-22.339666149999985</v>
      </c>
      <c r="BG15" s="76">
        <v>-56.761999070000016</v>
      </c>
      <c r="BH15" s="76">
        <v>-86.94</v>
      </c>
      <c r="BI15" s="190"/>
      <c r="BJ15" s="76">
        <v>-95.049000000000007</v>
      </c>
      <c r="BK15" s="76">
        <v>-110.285</v>
      </c>
      <c r="BL15" s="76">
        <v>-125.44799999999999</v>
      </c>
      <c r="BM15" s="76">
        <v>-142.5</v>
      </c>
      <c r="BN15" s="76">
        <v>-57.8</v>
      </c>
      <c r="BO15" s="76">
        <f>+BO16+BO17</f>
        <v>0.36700000000001864</v>
      </c>
      <c r="BP15" s="76">
        <v>-53.106000000000009</v>
      </c>
      <c r="BQ15" s="76">
        <v>-66.167999999999978</v>
      </c>
      <c r="BR15" s="76">
        <v>-127.01229578</v>
      </c>
    </row>
    <row r="16" spans="1:70" s="127" customFormat="1" ht="14.5" x14ac:dyDescent="0.35">
      <c r="B16" s="128" t="str">
        <f>IF(Control!$D$5=1,"(-) Debt Interest Expense","(-) Despesas Financeiras")</f>
        <v>(-) Debt Interest Expense</v>
      </c>
      <c r="C16" s="92" t="s">
        <v>3</v>
      </c>
      <c r="D16" s="92" t="s">
        <v>3</v>
      </c>
      <c r="E16" s="92" t="s">
        <v>3</v>
      </c>
      <c r="F16" s="92" t="s">
        <v>3</v>
      </c>
      <c r="G16" s="92" t="s">
        <v>3</v>
      </c>
      <c r="H16" s="92" t="s">
        <v>3</v>
      </c>
      <c r="I16" s="92" t="s">
        <v>3</v>
      </c>
      <c r="J16" s="92" t="s">
        <v>3</v>
      </c>
      <c r="K16" s="92" t="s">
        <v>3</v>
      </c>
      <c r="L16" s="92" t="s">
        <v>3</v>
      </c>
      <c r="M16" s="92" t="s">
        <v>3</v>
      </c>
      <c r="N16" s="92" t="s">
        <v>3</v>
      </c>
      <c r="O16" s="92" t="s">
        <v>3</v>
      </c>
      <c r="P16" s="92" t="s">
        <v>3</v>
      </c>
      <c r="Q16" s="92" t="s">
        <v>3</v>
      </c>
      <c r="R16" s="92" t="s">
        <v>3</v>
      </c>
      <c r="S16" s="92" t="s">
        <v>3</v>
      </c>
      <c r="T16" s="92" t="s">
        <v>3</v>
      </c>
      <c r="U16" s="92" t="s">
        <v>3</v>
      </c>
      <c r="V16" s="92" t="s">
        <v>3</v>
      </c>
      <c r="W16" s="92" t="s">
        <v>3</v>
      </c>
      <c r="X16" s="76">
        <v>-35.427999999999997</v>
      </c>
      <c r="Y16" s="76">
        <v>-40.756</v>
      </c>
      <c r="Z16" s="76">
        <v>-38.484000000000009</v>
      </c>
      <c r="AA16" s="76">
        <v>-36.10499999999999</v>
      </c>
      <c r="AB16" s="76">
        <v>-38.97</v>
      </c>
      <c r="AC16" s="76">
        <v>-43.927000000000007</v>
      </c>
      <c r="AD16" s="76">
        <v>-52.821999999999989</v>
      </c>
      <c r="AE16" s="76">
        <v>-40.287000000000006</v>
      </c>
      <c r="AF16" s="76">
        <v>-46.14</v>
      </c>
      <c r="AG16" s="76">
        <v>-47.542000000000002</v>
      </c>
      <c r="AH16" s="76">
        <v>-45.070000000000007</v>
      </c>
      <c r="AI16" s="76">
        <v>-42.168999999999997</v>
      </c>
      <c r="AJ16" s="76">
        <v>-47.235999999999997</v>
      </c>
      <c r="AK16" s="76">
        <v>-52.753999999999998</v>
      </c>
      <c r="AL16" s="76">
        <v>-36.473000000000006</v>
      </c>
      <c r="AM16" s="76">
        <v>-54.137999999999998</v>
      </c>
      <c r="AN16" s="76">
        <v>-48.201000000000001</v>
      </c>
      <c r="AO16" s="76">
        <v>-44.190000000000005</v>
      </c>
      <c r="AP16" s="76">
        <v>-33.472999999999999</v>
      </c>
      <c r="AQ16" s="76">
        <v>-25.23599999999999</v>
      </c>
      <c r="AR16" s="76">
        <v>-34.200000000000003</v>
      </c>
      <c r="AS16" s="76">
        <v>-47.5</v>
      </c>
      <c r="AT16" s="76">
        <v>-56.600000000000009</v>
      </c>
      <c r="AU16" s="76">
        <v>-42.7</v>
      </c>
      <c r="AV16" s="76">
        <v>-44.901000000000003</v>
      </c>
      <c r="AW16" s="76">
        <v>-41.993000000000002</v>
      </c>
      <c r="AX16" s="76">
        <v>-35.387</v>
      </c>
      <c r="AY16" s="76">
        <v>-39.371000000000002</v>
      </c>
      <c r="AZ16" s="76">
        <v>-78.292000000000002</v>
      </c>
      <c r="BA16" s="76">
        <v>-67.010000000000005</v>
      </c>
      <c r="BB16" s="76">
        <v>-102.14400000000001</v>
      </c>
      <c r="BC16" s="76">
        <v>-71.375650890000017</v>
      </c>
      <c r="BD16" s="76">
        <v>-57.59</v>
      </c>
      <c r="BE16" s="76">
        <v>-70.225991629999996</v>
      </c>
      <c r="BF16" s="76">
        <v>-79.722382669999988</v>
      </c>
      <c r="BG16" s="76">
        <v>-110.91648212000003</v>
      </c>
      <c r="BH16" s="76">
        <v>-141.059</v>
      </c>
      <c r="BI16" s="190"/>
      <c r="BJ16" s="76">
        <v>-150.773</v>
      </c>
      <c r="BK16" s="76">
        <v>-176.006</v>
      </c>
      <c r="BL16" s="76">
        <v>-180.92099999999999</v>
      </c>
      <c r="BM16" s="76">
        <v>-190.6</v>
      </c>
      <c r="BN16" s="76">
        <v>-151.1</v>
      </c>
      <c r="BO16" s="76">
        <v>-180.999</v>
      </c>
      <c r="BP16" s="76">
        <v>-161.65200000000002</v>
      </c>
      <c r="BQ16" s="76">
        <v>-318.82299999999998</v>
      </c>
      <c r="BR16" s="76">
        <v>-318.45485642</v>
      </c>
    </row>
    <row r="17" spans="1:71" s="127" customFormat="1" ht="14.5" x14ac:dyDescent="0.35">
      <c r="A17" s="80"/>
      <c r="B17" s="128" t="str">
        <f>IF(Control!$D$5=1,"(+) Interest Income","(+) Receitas Financeiras")</f>
        <v>(+) Interest Income</v>
      </c>
      <c r="C17" s="92" t="s">
        <v>3</v>
      </c>
      <c r="D17" s="92" t="s">
        <v>3</v>
      </c>
      <c r="E17" s="92" t="s">
        <v>3</v>
      </c>
      <c r="F17" s="92" t="s">
        <v>3</v>
      </c>
      <c r="G17" s="92" t="s">
        <v>3</v>
      </c>
      <c r="H17" s="92" t="s">
        <v>3</v>
      </c>
      <c r="I17" s="92" t="s">
        <v>3</v>
      </c>
      <c r="J17" s="92" t="s">
        <v>3</v>
      </c>
      <c r="K17" s="92" t="s">
        <v>3</v>
      </c>
      <c r="L17" s="92" t="s">
        <v>3</v>
      </c>
      <c r="M17" s="92" t="s">
        <v>3</v>
      </c>
      <c r="N17" s="92" t="s">
        <v>3</v>
      </c>
      <c r="O17" s="92" t="s">
        <v>3</v>
      </c>
      <c r="P17" s="92" t="s">
        <v>3</v>
      </c>
      <c r="Q17" s="92" t="s">
        <v>3</v>
      </c>
      <c r="R17" s="92" t="s">
        <v>3</v>
      </c>
      <c r="S17" s="92" t="s">
        <v>3</v>
      </c>
      <c r="T17" s="92" t="s">
        <v>3</v>
      </c>
      <c r="U17" s="92" t="s">
        <v>3</v>
      </c>
      <c r="V17" s="92" t="s">
        <v>3</v>
      </c>
      <c r="W17" s="92" t="s">
        <v>3</v>
      </c>
      <c r="X17" s="76">
        <v>19.600999999999999</v>
      </c>
      <c r="Y17" s="76">
        <v>16.213000000000001</v>
      </c>
      <c r="Z17" s="76">
        <v>9.9329999999999998</v>
      </c>
      <c r="AA17" s="76">
        <v>9.9769999999999968</v>
      </c>
      <c r="AB17" s="76">
        <v>12.153</v>
      </c>
      <c r="AC17" s="76">
        <v>15.153</v>
      </c>
      <c r="AD17" s="76">
        <v>23.131</v>
      </c>
      <c r="AE17" s="76">
        <v>15.284000000000004</v>
      </c>
      <c r="AF17" s="76">
        <v>24.035</v>
      </c>
      <c r="AG17" s="76">
        <v>13.068999999999999</v>
      </c>
      <c r="AH17" s="76">
        <v>9.6290000000000013</v>
      </c>
      <c r="AI17" s="76">
        <v>8.7399999999999913</v>
      </c>
      <c r="AJ17" s="76">
        <v>16.893000000000001</v>
      </c>
      <c r="AK17" s="76">
        <v>5.2360000000000007</v>
      </c>
      <c r="AL17" s="76">
        <v>8.6609999999999978</v>
      </c>
      <c r="AM17" s="76">
        <v>17.304999999999993</v>
      </c>
      <c r="AN17" s="76">
        <v>27.369</v>
      </c>
      <c r="AO17" s="76">
        <v>23.680999999999997</v>
      </c>
      <c r="AP17" s="76">
        <v>25.454999999999998</v>
      </c>
      <c r="AQ17" s="76">
        <v>16.795000000000002</v>
      </c>
      <c r="AR17" s="76">
        <v>25.4</v>
      </c>
      <c r="AS17" s="76">
        <v>50.500000000000007</v>
      </c>
      <c r="AT17" s="76">
        <v>79.300000000000011</v>
      </c>
      <c r="AU17" s="76">
        <v>26.1</v>
      </c>
      <c r="AV17" s="76">
        <v>34.817999999999998</v>
      </c>
      <c r="AW17" s="76">
        <v>26.888999999999999</v>
      </c>
      <c r="AX17" s="76">
        <v>20.190999999999995</v>
      </c>
      <c r="AY17" s="76">
        <v>26.648</v>
      </c>
      <c r="AZ17" s="76">
        <v>65.238</v>
      </c>
      <c r="BA17" s="76">
        <v>56.395000000000003</v>
      </c>
      <c r="BB17" s="76">
        <v>74.25</v>
      </c>
      <c r="BC17" s="76">
        <v>56.770591150000023</v>
      </c>
      <c r="BD17" s="76">
        <v>35.323</v>
      </c>
      <c r="BE17" s="76">
        <v>44.615361069999999</v>
      </c>
      <c r="BF17" s="76">
        <v>57.382716520000002</v>
      </c>
      <c r="BG17" s="76">
        <v>54.15448305000001</v>
      </c>
      <c r="BH17" s="76">
        <v>54.119</v>
      </c>
      <c r="BI17" s="190"/>
      <c r="BJ17" s="76">
        <v>55.723999999999997</v>
      </c>
      <c r="BK17" s="76">
        <v>65.721000000000004</v>
      </c>
      <c r="BL17" s="76">
        <v>55.472999999999999</v>
      </c>
      <c r="BM17" s="76">
        <v>48.1</v>
      </c>
      <c r="BN17" s="76">
        <v>93.3</v>
      </c>
      <c r="BO17" s="76">
        <v>181.36600000000001</v>
      </c>
      <c r="BP17" s="76">
        <v>108.54599999999999</v>
      </c>
      <c r="BQ17" s="76">
        <v>252.655</v>
      </c>
      <c r="BR17" s="76">
        <v>191.47556064000003</v>
      </c>
    </row>
    <row r="18" spans="1:71" s="127" customFormat="1" ht="15" customHeight="1" outlineLevel="1" x14ac:dyDescent="0.35">
      <c r="A18" s="125"/>
      <c r="B18" s="126" t="str">
        <f>IF(Control!$D$5=1,"(-) Other Non-Operating Expenses/(Income)","(-) Outras Desp./(Receitas) Não Operacionais")</f>
        <v>(-) Other Non-Operating Expenses/(Income)</v>
      </c>
      <c r="C18" s="92" t="s">
        <v>3</v>
      </c>
      <c r="D18" s="92" t="s">
        <v>3</v>
      </c>
      <c r="E18" s="92" t="s">
        <v>3</v>
      </c>
      <c r="F18" s="92" t="s">
        <v>3</v>
      </c>
      <c r="G18" s="92" t="s">
        <v>3</v>
      </c>
      <c r="H18" s="92" t="s">
        <v>3</v>
      </c>
      <c r="I18" s="92" t="s">
        <v>3</v>
      </c>
      <c r="J18" s="92" t="s">
        <v>3</v>
      </c>
      <c r="K18" s="92" t="s">
        <v>3</v>
      </c>
      <c r="L18" s="92" t="s">
        <v>3</v>
      </c>
      <c r="M18" s="92" t="s">
        <v>3</v>
      </c>
      <c r="N18" s="92" t="s">
        <v>3</v>
      </c>
      <c r="O18" s="92" t="s">
        <v>3</v>
      </c>
      <c r="P18" s="92" t="s">
        <v>3</v>
      </c>
      <c r="Q18" s="92" t="s">
        <v>3</v>
      </c>
      <c r="R18" s="92" t="s">
        <v>3</v>
      </c>
      <c r="S18" s="92" t="s">
        <v>3</v>
      </c>
      <c r="T18" s="92" t="s">
        <v>3</v>
      </c>
      <c r="U18" s="92" t="s">
        <v>3</v>
      </c>
      <c r="V18" s="92" t="s">
        <v>3</v>
      </c>
      <c r="W18" s="92" t="s">
        <v>3</v>
      </c>
      <c r="X18" s="76">
        <v>0</v>
      </c>
      <c r="Y18" s="76"/>
      <c r="Z18" s="76">
        <v>0</v>
      </c>
      <c r="AA18" s="76">
        <v>0</v>
      </c>
      <c r="AB18" s="76">
        <v>0</v>
      </c>
      <c r="AC18" s="76"/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190"/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</row>
    <row r="19" spans="1:71" s="80" customFormat="1" ht="14.5" x14ac:dyDescent="0.35">
      <c r="A19" s="125"/>
      <c r="B19" s="96" t="str">
        <f>IF(Control!$D$5=1,"Pre-Tax Income","Resultado antes Impostos")</f>
        <v>Pre-Tax Income</v>
      </c>
      <c r="C19" s="92" t="s">
        <v>3</v>
      </c>
      <c r="D19" s="92" t="s">
        <v>3</v>
      </c>
      <c r="E19" s="92" t="s">
        <v>3</v>
      </c>
      <c r="F19" s="92" t="s">
        <v>3</v>
      </c>
      <c r="G19" s="92" t="s">
        <v>3</v>
      </c>
      <c r="H19" s="92" t="s">
        <v>3</v>
      </c>
      <c r="I19" s="92" t="s">
        <v>3</v>
      </c>
      <c r="J19" s="92" t="s">
        <v>3</v>
      </c>
      <c r="K19" s="92" t="s">
        <v>3</v>
      </c>
      <c r="L19" s="92" t="s">
        <v>3</v>
      </c>
      <c r="M19" s="92" t="s">
        <v>3</v>
      </c>
      <c r="N19" s="92" t="s">
        <v>3</v>
      </c>
      <c r="O19" s="92" t="s">
        <v>3</v>
      </c>
      <c r="P19" s="92" t="s">
        <v>3</v>
      </c>
      <c r="Q19" s="92" t="s">
        <v>3</v>
      </c>
      <c r="R19" s="92" t="s">
        <v>3</v>
      </c>
      <c r="S19" s="92" t="s">
        <v>3</v>
      </c>
      <c r="T19" s="92" t="s">
        <v>3</v>
      </c>
      <c r="U19" s="92" t="s">
        <v>3</v>
      </c>
      <c r="V19" s="92" t="s">
        <v>3</v>
      </c>
      <c r="W19" s="92" t="s">
        <v>3</v>
      </c>
      <c r="X19" s="93">
        <v>54.072000000000003</v>
      </c>
      <c r="Y19" s="93">
        <v>27.303999999999974</v>
      </c>
      <c r="Z19" s="93">
        <v>28.245000000000047</v>
      </c>
      <c r="AA19" s="93">
        <v>25.972999999999942</v>
      </c>
      <c r="AB19" s="93">
        <v>40.060999999999986</v>
      </c>
      <c r="AC19" s="93">
        <v>23.48700000000003</v>
      </c>
      <c r="AD19" s="93">
        <v>21.221999999999952</v>
      </c>
      <c r="AE19" s="93">
        <v>16.275000000000048</v>
      </c>
      <c r="AF19" s="93">
        <v>38.543000000000006</v>
      </c>
      <c r="AG19" s="93">
        <v>21.538999999999987</v>
      </c>
      <c r="AH19" s="93">
        <v>21.607999999999976</v>
      </c>
      <c r="AI19" s="93">
        <v>42.714000000000041</v>
      </c>
      <c r="AJ19" s="93">
        <v>55.506000000000007</v>
      </c>
      <c r="AK19" s="93">
        <v>76.058000000000007</v>
      </c>
      <c r="AL19" s="93">
        <v>69.034000000000049</v>
      </c>
      <c r="AM19" s="93">
        <v>18.790999999999862</v>
      </c>
      <c r="AN19" s="93">
        <v>62.19700000000001</v>
      </c>
      <c r="AO19" s="93">
        <v>41.634999999999991</v>
      </c>
      <c r="AP19" s="93">
        <v>64.825000000000017</v>
      </c>
      <c r="AQ19" s="93">
        <v>62.143000000000001</v>
      </c>
      <c r="AR19" s="93">
        <v>22.5</v>
      </c>
      <c r="AS19" s="93">
        <v>60.50000000000005</v>
      </c>
      <c r="AT19" s="93">
        <f>SUM(AT14:AT15)</f>
        <v>115.30000000000024</v>
      </c>
      <c r="AU19" s="93">
        <v>45.1</v>
      </c>
      <c r="AV19" s="93">
        <v>13.613999999999901</v>
      </c>
      <c r="AW19" s="93">
        <v>16.689999999999998</v>
      </c>
      <c r="AX19" s="93">
        <v>50.988999999999997</v>
      </c>
      <c r="AY19" s="93">
        <v>51.021999999999977</v>
      </c>
      <c r="AZ19" s="93">
        <v>88.746000000000151</v>
      </c>
      <c r="BA19" s="93">
        <v>99.92399999999995</v>
      </c>
      <c r="BB19" s="93">
        <v>124.78099999999998</v>
      </c>
      <c r="BC19" s="93">
        <v>62.629396669999842</v>
      </c>
      <c r="BD19" s="93">
        <v>74.478000000000009</v>
      </c>
      <c r="BE19" s="93">
        <v>76.287198300000199</v>
      </c>
      <c r="BF19" s="93">
        <v>83.193736639999585</v>
      </c>
      <c r="BG19" s="93">
        <v>50.378966799999716</v>
      </c>
      <c r="BH19" s="93">
        <v>68.208267879999994</v>
      </c>
      <c r="BI19" s="190"/>
      <c r="BJ19" s="93">
        <v>135.59399999999997</v>
      </c>
      <c r="BK19" s="93">
        <v>101.04500000000002</v>
      </c>
      <c r="BL19" s="93">
        <v>124.40400000000001</v>
      </c>
      <c r="BM19" s="93">
        <v>219.39400000000006</v>
      </c>
      <c r="BN19" s="93">
        <v>230.8</v>
      </c>
      <c r="BO19" s="93">
        <v>243.238</v>
      </c>
      <c r="BP19" s="93">
        <v>132.31499999999988</v>
      </c>
      <c r="BQ19" s="93">
        <v>376.07862388000035</v>
      </c>
      <c r="BR19" s="93">
        <v>284.3379017399995</v>
      </c>
    </row>
    <row r="20" spans="1:71" s="80" customFormat="1" ht="14.5" x14ac:dyDescent="0.35">
      <c r="A20" s="127"/>
      <c r="B20" s="56" t="str">
        <f>IF(Control!$D$5=1,"Total Income Taxes","Total Imposto de Renda / CSLL")</f>
        <v>Total Income Taxes</v>
      </c>
      <c r="C20" s="92" t="s">
        <v>3</v>
      </c>
      <c r="D20" s="92" t="s">
        <v>3</v>
      </c>
      <c r="E20" s="92" t="s">
        <v>3</v>
      </c>
      <c r="F20" s="92" t="s">
        <v>3</v>
      </c>
      <c r="G20" s="92" t="s">
        <v>3</v>
      </c>
      <c r="H20" s="92" t="s">
        <v>3</v>
      </c>
      <c r="I20" s="92" t="s">
        <v>3</v>
      </c>
      <c r="J20" s="92" t="s">
        <v>3</v>
      </c>
      <c r="K20" s="92" t="s">
        <v>3</v>
      </c>
      <c r="L20" s="92" t="s">
        <v>3</v>
      </c>
      <c r="M20" s="92" t="s">
        <v>3</v>
      </c>
      <c r="N20" s="92" t="s">
        <v>3</v>
      </c>
      <c r="O20" s="92" t="s">
        <v>3</v>
      </c>
      <c r="P20" s="92" t="s">
        <v>3</v>
      </c>
      <c r="Q20" s="92" t="s">
        <v>3</v>
      </c>
      <c r="R20" s="92" t="s">
        <v>3</v>
      </c>
      <c r="S20" s="92" t="s">
        <v>3</v>
      </c>
      <c r="T20" s="92" t="s">
        <v>3</v>
      </c>
      <c r="U20" s="92" t="s">
        <v>3</v>
      </c>
      <c r="V20" s="92" t="s">
        <v>3</v>
      </c>
      <c r="W20" s="92" t="s">
        <v>3</v>
      </c>
      <c r="X20" s="76">
        <v>-18.745999999999999</v>
      </c>
      <c r="Y20" s="76">
        <v>-5.7320000000000029</v>
      </c>
      <c r="Z20" s="76">
        <v>-7.9619999999999962</v>
      </c>
      <c r="AA20" s="76">
        <v>-10.445</v>
      </c>
      <c r="AB20" s="76">
        <v>-12.625999999999999</v>
      </c>
      <c r="AC20" s="76">
        <v>-4.4730000000000008</v>
      </c>
      <c r="AD20" s="76">
        <v>-10.761000000000001</v>
      </c>
      <c r="AE20" s="76">
        <v>-7.0459999999999976</v>
      </c>
      <c r="AF20" s="76">
        <v>-13.37</v>
      </c>
      <c r="AG20" s="76">
        <v>-8.5589999999999993</v>
      </c>
      <c r="AH20" s="76">
        <v>-6.1150000000000002</v>
      </c>
      <c r="AI20" s="76">
        <v>-21.784000000000006</v>
      </c>
      <c r="AJ20" s="76">
        <v>-18.271999999999998</v>
      </c>
      <c r="AK20" s="76">
        <v>-33.088000000000001</v>
      </c>
      <c r="AL20" s="76">
        <v>-21.114999999999995</v>
      </c>
      <c r="AM20" s="76">
        <v>-13.034000000000006</v>
      </c>
      <c r="AN20" s="76">
        <v>-23.477</v>
      </c>
      <c r="AO20" s="76">
        <v>-17.389999999999997</v>
      </c>
      <c r="AP20" s="76">
        <v>-16.304000000000002</v>
      </c>
      <c r="AQ20" s="76">
        <v>7.0999999999997954E-2</v>
      </c>
      <c r="AR20" s="76">
        <v>-5.9</v>
      </c>
      <c r="AS20" s="76">
        <v>-18</v>
      </c>
      <c r="AT20" s="76">
        <v>7.9999999999999982</v>
      </c>
      <c r="AU20" s="76">
        <v>33.4</v>
      </c>
      <c r="AV20" s="76">
        <v>17.073</v>
      </c>
      <c r="AW20" s="76">
        <v>8.6590000000000007</v>
      </c>
      <c r="AX20" s="76">
        <v>-6.657</v>
      </c>
      <c r="AY20" s="76">
        <v>9.2490000000000006</v>
      </c>
      <c r="AZ20" s="76">
        <v>-20.440999999999999</v>
      </c>
      <c r="BA20" s="76">
        <v>-1.78</v>
      </c>
      <c r="BB20" s="76">
        <v>-24.242000000000001</v>
      </c>
      <c r="BC20" s="76">
        <v>13.176960099999997</v>
      </c>
      <c r="BD20" s="76">
        <v>-1.36</v>
      </c>
      <c r="BE20" s="76">
        <v>-9.1315744300000006</v>
      </c>
      <c r="BF20" s="76">
        <v>-0.23600191000000087</v>
      </c>
      <c r="BG20" s="76">
        <v>26.160615130000007</v>
      </c>
      <c r="BH20" s="76">
        <v>-8.2460000000000004</v>
      </c>
      <c r="BI20" s="190"/>
      <c r="BJ20" s="76">
        <v>-42.884999999999998</v>
      </c>
      <c r="BK20" s="76">
        <v>-34.905999999999999</v>
      </c>
      <c r="BL20" s="76">
        <v>-49.828000000000003</v>
      </c>
      <c r="BM20" s="76">
        <v>-85.5</v>
      </c>
      <c r="BN20" s="76">
        <v>-57.1</v>
      </c>
      <c r="BO20" s="76">
        <v>17.510000000000002</v>
      </c>
      <c r="BP20" s="76">
        <v>28.323999999999998</v>
      </c>
      <c r="BQ20" s="76">
        <v>-33.286999999999999</v>
      </c>
      <c r="BR20" s="76">
        <v>15.433038790000007</v>
      </c>
    </row>
    <row r="21" spans="1:71" s="130" customFormat="1" ht="14.5" x14ac:dyDescent="0.35">
      <c r="A21" s="125"/>
      <c r="B21" s="129" t="str">
        <f>IF(Control!$D$5=1,"Net Income","Lucro Líquido")</f>
        <v>Net Income</v>
      </c>
      <c r="C21" s="85" t="s">
        <v>3</v>
      </c>
      <c r="D21" s="85" t="s">
        <v>3</v>
      </c>
      <c r="E21" s="85" t="s">
        <v>3</v>
      </c>
      <c r="F21" s="85" t="s">
        <v>3</v>
      </c>
      <c r="G21" s="85" t="s">
        <v>3</v>
      </c>
      <c r="H21" s="85" t="s">
        <v>3</v>
      </c>
      <c r="I21" s="85" t="s">
        <v>3</v>
      </c>
      <c r="J21" s="85" t="s">
        <v>3</v>
      </c>
      <c r="K21" s="85" t="s">
        <v>3</v>
      </c>
      <c r="L21" s="85" t="s">
        <v>3</v>
      </c>
      <c r="M21" s="85" t="s">
        <v>3</v>
      </c>
      <c r="N21" s="85" t="s">
        <v>3</v>
      </c>
      <c r="O21" s="85" t="s">
        <v>3</v>
      </c>
      <c r="P21" s="85" t="s">
        <v>3</v>
      </c>
      <c r="Q21" s="85" t="s">
        <v>3</v>
      </c>
      <c r="R21" s="85" t="s">
        <v>3</v>
      </c>
      <c r="S21" s="85" t="s">
        <v>3</v>
      </c>
      <c r="T21" s="85" t="s">
        <v>3</v>
      </c>
      <c r="U21" s="85" t="s">
        <v>3</v>
      </c>
      <c r="V21" s="85" t="s">
        <v>3</v>
      </c>
      <c r="W21" s="85" t="s">
        <v>3</v>
      </c>
      <c r="X21" s="85">
        <f t="shared" ref="X21:AN21" si="1">+X19+X20</f>
        <v>35.326000000000008</v>
      </c>
      <c r="Y21" s="85">
        <f t="shared" si="1"/>
        <v>21.571999999999971</v>
      </c>
      <c r="Z21" s="85">
        <f t="shared" si="1"/>
        <v>20.283000000000051</v>
      </c>
      <c r="AA21" s="85">
        <f t="shared" si="1"/>
        <v>15.527999999999942</v>
      </c>
      <c r="AB21" s="85">
        <f t="shared" si="1"/>
        <v>27.434999999999988</v>
      </c>
      <c r="AC21" s="85">
        <f t="shared" si="1"/>
        <v>19.014000000000031</v>
      </c>
      <c r="AD21" s="85">
        <f t="shared" si="1"/>
        <v>10.460999999999951</v>
      </c>
      <c r="AE21" s="85">
        <f t="shared" si="1"/>
        <v>9.2290000000000507</v>
      </c>
      <c r="AF21" s="85">
        <f t="shared" si="1"/>
        <v>25.173000000000009</v>
      </c>
      <c r="AG21" s="85">
        <f t="shared" si="1"/>
        <v>12.979999999999988</v>
      </c>
      <c r="AH21" s="85">
        <f t="shared" si="1"/>
        <v>15.492999999999975</v>
      </c>
      <c r="AI21" s="85">
        <f t="shared" si="1"/>
        <v>20.930000000000035</v>
      </c>
      <c r="AJ21" s="85">
        <f t="shared" si="1"/>
        <v>37.234000000000009</v>
      </c>
      <c r="AK21" s="85">
        <f t="shared" si="1"/>
        <v>42.970000000000006</v>
      </c>
      <c r="AL21" s="85">
        <f t="shared" si="1"/>
        <v>47.919000000000054</v>
      </c>
      <c r="AM21" s="85">
        <f t="shared" si="1"/>
        <v>5.7569999999998558</v>
      </c>
      <c r="AN21" s="85">
        <f t="shared" si="1"/>
        <v>38.720000000000013</v>
      </c>
      <c r="AO21" s="85">
        <f>+AO19+AO20</f>
        <v>24.244999999999994</v>
      </c>
      <c r="AP21" s="85">
        <f>+AP19+AP20</f>
        <v>48.521000000000015</v>
      </c>
      <c r="AQ21" s="85">
        <f>+AQ19+AQ20</f>
        <v>62.213999999999999</v>
      </c>
      <c r="AR21" s="85">
        <f>+AR19+AR20</f>
        <v>16.600000000000001</v>
      </c>
      <c r="AS21" s="85">
        <f>+AS19+AS20</f>
        <v>42.50000000000005</v>
      </c>
      <c r="AT21" s="85">
        <f t="shared" ref="AT21:AY21" si="2">+AT19+AT20</f>
        <v>123.30000000000024</v>
      </c>
      <c r="AU21" s="85">
        <f t="shared" si="2"/>
        <v>78.5</v>
      </c>
      <c r="AV21" s="85">
        <f t="shared" si="2"/>
        <v>30.686999999999902</v>
      </c>
      <c r="AW21" s="85">
        <f t="shared" si="2"/>
        <v>25.348999999999997</v>
      </c>
      <c r="AX21" s="85">
        <f t="shared" si="2"/>
        <v>44.331999999999994</v>
      </c>
      <c r="AY21" s="85">
        <f t="shared" si="2"/>
        <v>60.270999999999979</v>
      </c>
      <c r="AZ21" s="85">
        <f>+AZ19+AZ20</f>
        <v>68.305000000000149</v>
      </c>
      <c r="BA21" s="85">
        <f>+BA19+BA20</f>
        <v>98.143999999999949</v>
      </c>
      <c r="BB21" s="85">
        <f>+BB19+BB20</f>
        <v>100.53899999999997</v>
      </c>
      <c r="BC21" s="85">
        <f>+BC19+BC20</f>
        <v>75.806356769999837</v>
      </c>
      <c r="BD21" s="85">
        <f>+BD19+BD20</f>
        <v>73.118000000000009</v>
      </c>
      <c r="BE21" s="85">
        <v>67.155623870000198</v>
      </c>
      <c r="BF21" s="85">
        <v>82.957734729999586</v>
      </c>
      <c r="BG21" s="85">
        <v>76.539581929999727</v>
      </c>
      <c r="BH21" s="85">
        <v>59.962267879999992</v>
      </c>
      <c r="BI21" s="190"/>
      <c r="BJ21" s="85">
        <f t="shared" ref="BJ21:BQ21" si="3">+BJ19+BJ20</f>
        <v>92.708999999999975</v>
      </c>
      <c r="BK21" s="85">
        <f t="shared" si="3"/>
        <v>66.13900000000001</v>
      </c>
      <c r="BL21" s="85">
        <f t="shared" si="3"/>
        <v>74.576000000000008</v>
      </c>
      <c r="BM21" s="85">
        <f t="shared" si="3"/>
        <v>133.89400000000006</v>
      </c>
      <c r="BN21" s="85">
        <f t="shared" si="3"/>
        <v>173.70000000000002</v>
      </c>
      <c r="BO21" s="85">
        <f t="shared" si="3"/>
        <v>260.74799999999999</v>
      </c>
      <c r="BP21" s="85">
        <f t="shared" si="3"/>
        <v>160.6389999999999</v>
      </c>
      <c r="BQ21" s="85">
        <f t="shared" si="3"/>
        <v>342.79162388000037</v>
      </c>
      <c r="BR21" s="85">
        <v>299.77094052999951</v>
      </c>
    </row>
    <row r="22" spans="1:71" s="7" customFormat="1" ht="6.75" customHeight="1" x14ac:dyDescent="0.35">
      <c r="A22" s="80"/>
      <c r="B22" s="5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190"/>
      <c r="BJ22" s="123"/>
      <c r="BK22" s="123"/>
      <c r="BL22" s="86"/>
      <c r="BM22" s="86"/>
      <c r="BN22" s="86"/>
      <c r="BO22" s="86"/>
      <c r="BP22" s="86"/>
      <c r="BQ22" s="86"/>
      <c r="BR22" s="86"/>
    </row>
    <row r="23" spans="1:71" s="80" customFormat="1" ht="14.5" outlineLevel="1" x14ac:dyDescent="0.35">
      <c r="A23" s="125"/>
      <c r="B23" s="56" t="str">
        <f>IF(Control!$D$5=1,"Current Assets","Ativo Circulante")</f>
        <v>Current Assets</v>
      </c>
      <c r="C23" s="92" t="s">
        <v>3</v>
      </c>
      <c r="D23" s="92" t="s">
        <v>3</v>
      </c>
      <c r="E23" s="92" t="s">
        <v>3</v>
      </c>
      <c r="F23" s="92" t="s">
        <v>3</v>
      </c>
      <c r="G23" s="92" t="s">
        <v>3</v>
      </c>
      <c r="H23" s="92" t="s">
        <v>3</v>
      </c>
      <c r="I23" s="92" t="s">
        <v>3</v>
      </c>
      <c r="J23" s="92" t="s">
        <v>3</v>
      </c>
      <c r="K23" s="92" t="s">
        <v>3</v>
      </c>
      <c r="L23" s="92" t="s">
        <v>3</v>
      </c>
      <c r="M23" s="92" t="s">
        <v>3</v>
      </c>
      <c r="N23" s="92" t="s">
        <v>3</v>
      </c>
      <c r="O23" s="92" t="s">
        <v>3</v>
      </c>
      <c r="P23" s="92" t="s">
        <v>3</v>
      </c>
      <c r="Q23" s="92" t="s">
        <v>3</v>
      </c>
      <c r="R23" s="92" t="s">
        <v>3</v>
      </c>
      <c r="S23" s="92" t="s">
        <v>3</v>
      </c>
      <c r="T23" s="92" t="s">
        <v>3</v>
      </c>
      <c r="U23" s="92" t="s">
        <v>3</v>
      </c>
      <c r="V23" s="92" t="s">
        <v>3</v>
      </c>
      <c r="W23" s="92" t="s">
        <v>3</v>
      </c>
      <c r="X23" s="76" t="s">
        <v>3</v>
      </c>
      <c r="Y23" s="76" t="s">
        <v>3</v>
      </c>
      <c r="Z23" s="76" t="s">
        <v>3</v>
      </c>
      <c r="AA23" s="76">
        <v>1163.1769999999999</v>
      </c>
      <c r="AB23" s="76">
        <v>1208.7929999999999</v>
      </c>
      <c r="AC23" s="76">
        <v>1403.58</v>
      </c>
      <c r="AD23" s="76">
        <v>1351.4639999999999</v>
      </c>
      <c r="AE23" s="76">
        <v>1223.2840000000001</v>
      </c>
      <c r="AF23" s="76" t="s">
        <v>3</v>
      </c>
      <c r="AG23" s="76" t="s">
        <v>3</v>
      </c>
      <c r="AH23" s="76" t="s">
        <v>3</v>
      </c>
      <c r="AI23" s="76">
        <v>1294.549</v>
      </c>
      <c r="AJ23" s="76" t="s">
        <v>3</v>
      </c>
      <c r="AK23" s="76" t="s">
        <v>3</v>
      </c>
      <c r="AL23" s="76" t="s">
        <v>3</v>
      </c>
      <c r="AM23" s="76">
        <v>1724.0719999999999</v>
      </c>
      <c r="AN23" s="92" t="s">
        <v>3</v>
      </c>
      <c r="AO23" s="76" t="s">
        <v>3</v>
      </c>
      <c r="AP23" s="76" t="s">
        <v>3</v>
      </c>
      <c r="AQ23" s="76">
        <f>BN23</f>
        <v>1633.2049999999999</v>
      </c>
      <c r="AR23" s="76">
        <v>1603.146</v>
      </c>
      <c r="AS23" s="76">
        <v>1717.691</v>
      </c>
      <c r="AT23" s="76">
        <v>1824.4559999999999</v>
      </c>
      <c r="AU23" s="76">
        <v>1635.202</v>
      </c>
      <c r="AV23" s="76">
        <v>2250.9079999999999</v>
      </c>
      <c r="AW23" s="76">
        <v>2168.3530000000001</v>
      </c>
      <c r="AX23" s="311">
        <v>1961.59</v>
      </c>
      <c r="AY23" s="76">
        <v>1930.018</v>
      </c>
      <c r="AZ23" s="76">
        <v>2803.1750000000002</v>
      </c>
      <c r="BA23" s="76">
        <v>2507.25</v>
      </c>
      <c r="BB23" s="76">
        <v>2995.1030000000001</v>
      </c>
      <c r="BC23" s="76">
        <v>2460.8073689299999</v>
      </c>
      <c r="BD23" s="76">
        <v>2985.5729999999999</v>
      </c>
      <c r="BE23" s="76">
        <v>2911.7061934600001</v>
      </c>
      <c r="BF23" s="76">
        <v>3286.8575748597468</v>
      </c>
      <c r="BG23" s="76">
        <v>3140.694</v>
      </c>
      <c r="BH23" s="76">
        <v>3157.076274</v>
      </c>
      <c r="BI23" s="190"/>
      <c r="BJ23" s="76">
        <v>1163.1769999999999</v>
      </c>
      <c r="BK23" s="76">
        <v>1223.2840000000001</v>
      </c>
      <c r="BL23" s="76">
        <v>1294.549</v>
      </c>
      <c r="BM23" s="76">
        <v>1724.0719999999999</v>
      </c>
      <c r="BN23" s="76">
        <v>1633.2049999999999</v>
      </c>
      <c r="BO23" s="76">
        <v>1635.202</v>
      </c>
      <c r="BP23" s="76">
        <v>1930.018</v>
      </c>
      <c r="BQ23" s="76">
        <v>2460.8073689299999</v>
      </c>
      <c r="BR23" s="76">
        <v>3140.694</v>
      </c>
    </row>
    <row r="24" spans="1:71" s="80" customFormat="1" ht="14.5" outlineLevel="1" x14ac:dyDescent="0.35">
      <c r="A24" s="127"/>
      <c r="B24" s="56" t="str">
        <f>IF(Control!$D$5=1,"Long Term Assets","Ativo não Circulante")</f>
        <v>Long Term Assets</v>
      </c>
      <c r="C24" s="92" t="s">
        <v>3</v>
      </c>
      <c r="D24" s="92" t="s">
        <v>3</v>
      </c>
      <c r="E24" s="92" t="s">
        <v>3</v>
      </c>
      <c r="F24" s="92" t="s">
        <v>3</v>
      </c>
      <c r="G24" s="92" t="s">
        <v>3</v>
      </c>
      <c r="H24" s="92" t="s">
        <v>3</v>
      </c>
      <c r="I24" s="92" t="s">
        <v>3</v>
      </c>
      <c r="J24" s="92" t="s">
        <v>3</v>
      </c>
      <c r="K24" s="92" t="s">
        <v>3</v>
      </c>
      <c r="L24" s="92" t="s">
        <v>3</v>
      </c>
      <c r="M24" s="92" t="s">
        <v>3</v>
      </c>
      <c r="N24" s="92" t="s">
        <v>3</v>
      </c>
      <c r="O24" s="92" t="s">
        <v>3</v>
      </c>
      <c r="P24" s="92" t="s">
        <v>3</v>
      </c>
      <c r="Q24" s="92" t="s">
        <v>3</v>
      </c>
      <c r="R24" s="92" t="s">
        <v>3</v>
      </c>
      <c r="S24" s="92" t="s">
        <v>3</v>
      </c>
      <c r="T24" s="92" t="s">
        <v>3</v>
      </c>
      <c r="U24" s="92" t="s">
        <v>3</v>
      </c>
      <c r="V24" s="92" t="s">
        <v>3</v>
      </c>
      <c r="W24" s="92" t="s">
        <v>3</v>
      </c>
      <c r="X24" s="76" t="s">
        <v>3</v>
      </c>
      <c r="Y24" s="76" t="s">
        <v>3</v>
      </c>
      <c r="Z24" s="76" t="s">
        <v>3</v>
      </c>
      <c r="AA24" s="76">
        <v>29.291</v>
      </c>
      <c r="AB24" s="76">
        <v>1072.479</v>
      </c>
      <c r="AC24" s="76">
        <v>1059.6579999999999</v>
      </c>
      <c r="AD24" s="76">
        <v>1044.999</v>
      </c>
      <c r="AE24" s="76">
        <v>41.12</v>
      </c>
      <c r="AF24" s="76" t="s">
        <v>3</v>
      </c>
      <c r="AG24" s="76" t="s">
        <v>3</v>
      </c>
      <c r="AH24" s="76" t="s">
        <v>3</v>
      </c>
      <c r="AI24" s="76">
        <v>995.51900000000001</v>
      </c>
      <c r="AJ24" s="76" t="s">
        <v>3</v>
      </c>
      <c r="AK24" s="76" t="s">
        <v>3</v>
      </c>
      <c r="AL24" s="76" t="s">
        <v>3</v>
      </c>
      <c r="AM24" s="76">
        <v>987.66899999999998</v>
      </c>
      <c r="AN24" s="92" t="s">
        <v>3</v>
      </c>
      <c r="AO24" s="76" t="s">
        <v>3</v>
      </c>
      <c r="AP24" s="76" t="s">
        <v>3</v>
      </c>
      <c r="AQ24" s="76">
        <f>BN24</f>
        <v>991.33399999999995</v>
      </c>
      <c r="AR24" s="76">
        <v>992.51499999999999</v>
      </c>
      <c r="AS24" s="76">
        <v>986.38199999999995</v>
      </c>
      <c r="AT24" s="76">
        <v>984.44</v>
      </c>
      <c r="AU24" s="76">
        <v>1156.7280000000001</v>
      </c>
      <c r="AV24" s="76">
        <v>1466.835</v>
      </c>
      <c r="AW24" s="76">
        <v>1483.904</v>
      </c>
      <c r="AX24" s="311">
        <v>1345.12</v>
      </c>
      <c r="AY24" s="76">
        <v>1492.681</v>
      </c>
      <c r="AZ24" s="76">
        <v>1415.135</v>
      </c>
      <c r="BA24" s="76">
        <v>1473.191</v>
      </c>
      <c r="BB24" s="76">
        <v>1845.0029999999999</v>
      </c>
      <c r="BC24" s="76">
        <v>1626.8466435252501</v>
      </c>
      <c r="BD24" s="76">
        <v>1610.5830000000001</v>
      </c>
      <c r="BE24" s="76">
        <v>1594.6014803072801</v>
      </c>
      <c r="BF24" s="76">
        <v>1939.0761697005687</v>
      </c>
      <c r="BG24" s="76">
        <v>2180.9839999999999</v>
      </c>
      <c r="BH24" s="76">
        <v>2169.8195310000001</v>
      </c>
      <c r="BI24" s="190"/>
      <c r="BJ24" s="76">
        <v>29.291</v>
      </c>
      <c r="BK24" s="76">
        <v>41.12</v>
      </c>
      <c r="BL24" s="76">
        <v>995.51900000000001</v>
      </c>
      <c r="BM24" s="76">
        <v>987.66899999999998</v>
      </c>
      <c r="BN24" s="76">
        <v>991.33399999999995</v>
      </c>
      <c r="BO24" s="76">
        <v>1156.7280000000001</v>
      </c>
      <c r="BP24" s="76">
        <v>1492.681</v>
      </c>
      <c r="BQ24" s="76">
        <v>1626.8466435252501</v>
      </c>
      <c r="BR24" s="76">
        <v>2180.9839999999999</v>
      </c>
    </row>
    <row r="25" spans="1:71" s="80" customFormat="1" ht="14.5" outlineLevel="1" x14ac:dyDescent="0.35">
      <c r="B25" s="56" t="str">
        <f>IF(Control!$D$5=1,"Current Liabilities","Passivo Circulante")</f>
        <v>Current Liabilities</v>
      </c>
      <c r="C25" s="92" t="s">
        <v>3</v>
      </c>
      <c r="D25" s="92" t="s">
        <v>3</v>
      </c>
      <c r="E25" s="92" t="s">
        <v>3</v>
      </c>
      <c r="F25" s="92" t="s">
        <v>3</v>
      </c>
      <c r="G25" s="92" t="s">
        <v>3</v>
      </c>
      <c r="H25" s="92" t="s">
        <v>3</v>
      </c>
      <c r="I25" s="92" t="s">
        <v>3</v>
      </c>
      <c r="J25" s="92" t="s">
        <v>3</v>
      </c>
      <c r="K25" s="92" t="s">
        <v>3</v>
      </c>
      <c r="L25" s="92" t="s">
        <v>3</v>
      </c>
      <c r="M25" s="92" t="s">
        <v>3</v>
      </c>
      <c r="N25" s="92" t="s">
        <v>3</v>
      </c>
      <c r="O25" s="92" t="s">
        <v>3</v>
      </c>
      <c r="P25" s="92" t="s">
        <v>3</v>
      </c>
      <c r="Q25" s="92" t="s">
        <v>3</v>
      </c>
      <c r="R25" s="92" t="s">
        <v>3</v>
      </c>
      <c r="S25" s="92" t="s">
        <v>3</v>
      </c>
      <c r="T25" s="92" t="s">
        <v>3</v>
      </c>
      <c r="U25" s="92" t="s">
        <v>3</v>
      </c>
      <c r="V25" s="92" t="s">
        <v>3</v>
      </c>
      <c r="W25" s="92" t="s">
        <v>3</v>
      </c>
      <c r="X25" s="76" t="s">
        <v>3</v>
      </c>
      <c r="Y25" s="76" t="s">
        <v>3</v>
      </c>
      <c r="Z25" s="76" t="s">
        <v>3</v>
      </c>
      <c r="AA25" s="76">
        <v>601.30200000000002</v>
      </c>
      <c r="AB25" s="76">
        <v>675.27599999999995</v>
      </c>
      <c r="AC25" s="76">
        <v>712.10199999999998</v>
      </c>
      <c r="AD25" s="76">
        <v>712.21100000000001</v>
      </c>
      <c r="AE25" s="76">
        <v>640.98800000000006</v>
      </c>
      <c r="AF25" s="76" t="s">
        <v>3</v>
      </c>
      <c r="AG25" s="76" t="s">
        <v>3</v>
      </c>
      <c r="AH25" s="76" t="s">
        <v>3</v>
      </c>
      <c r="AI25" s="76">
        <v>728.197</v>
      </c>
      <c r="AJ25" s="76" t="s">
        <v>3</v>
      </c>
      <c r="AK25" s="76" t="s">
        <v>3</v>
      </c>
      <c r="AL25" s="76" t="s">
        <v>3</v>
      </c>
      <c r="AM25" s="76">
        <v>1046.462</v>
      </c>
      <c r="AN25" s="92" t="s">
        <v>3</v>
      </c>
      <c r="AO25" s="76" t="s">
        <v>3</v>
      </c>
      <c r="AP25" s="76" t="s">
        <v>3</v>
      </c>
      <c r="AQ25" s="76">
        <f>BN25</f>
        <v>325.17899999999997</v>
      </c>
      <c r="AR25" s="76">
        <v>307.39499999999998</v>
      </c>
      <c r="AS25" s="76">
        <v>409.267</v>
      </c>
      <c r="AT25" s="76">
        <v>406.01799999999997</v>
      </c>
      <c r="AU25" s="76">
        <v>629.70799999999997</v>
      </c>
      <c r="AV25" s="76">
        <v>749.346</v>
      </c>
      <c r="AW25" s="76">
        <v>984.19500000000005</v>
      </c>
      <c r="AX25" s="311">
        <v>921.14800000000002</v>
      </c>
      <c r="AY25" s="76">
        <v>1041.3389999999999</v>
      </c>
      <c r="AZ25" s="76">
        <v>1773.049</v>
      </c>
      <c r="BA25" s="76">
        <v>1676.125</v>
      </c>
      <c r="BB25" s="76">
        <v>1211.9839999999999</v>
      </c>
      <c r="BC25" s="76">
        <v>1114.2225957450401</v>
      </c>
      <c r="BD25" s="76">
        <v>1047.249</v>
      </c>
      <c r="BE25" s="76">
        <v>949.15386114894602</v>
      </c>
      <c r="BF25" s="76">
        <v>1002.9879162901179</v>
      </c>
      <c r="BG25" s="76">
        <v>945.16</v>
      </c>
      <c r="BH25" s="76">
        <v>1177.008</v>
      </c>
      <c r="BI25" s="190"/>
      <c r="BJ25" s="76">
        <v>601.30200000000002</v>
      </c>
      <c r="BK25" s="76">
        <v>640.98800000000006</v>
      </c>
      <c r="BL25" s="76">
        <v>728.197</v>
      </c>
      <c r="BM25" s="76">
        <v>1046.462</v>
      </c>
      <c r="BN25" s="76">
        <v>325.17899999999997</v>
      </c>
      <c r="BO25" s="76">
        <v>629.70799999999997</v>
      </c>
      <c r="BP25" s="76">
        <v>1041.3389999999999</v>
      </c>
      <c r="BQ25" s="76">
        <v>1114.2225957450401</v>
      </c>
      <c r="BR25" s="76">
        <v>945.16</v>
      </c>
    </row>
    <row r="26" spans="1:71" s="80" customFormat="1" ht="14.5" outlineLevel="1" x14ac:dyDescent="0.35">
      <c r="A26" s="127"/>
      <c r="B26" s="56" t="str">
        <f>IF(Control!$D$5=1,"Long Term Liabilities","Passivo não Circulante")</f>
        <v>Long Term Liabilities</v>
      </c>
      <c r="C26" s="92" t="s">
        <v>3</v>
      </c>
      <c r="D26" s="92" t="s">
        <v>3</v>
      </c>
      <c r="E26" s="92" t="s">
        <v>3</v>
      </c>
      <c r="F26" s="92" t="s">
        <v>3</v>
      </c>
      <c r="G26" s="92" t="s">
        <v>3</v>
      </c>
      <c r="H26" s="92" t="s">
        <v>3</v>
      </c>
      <c r="I26" s="92" t="s">
        <v>3</v>
      </c>
      <c r="J26" s="92" t="s">
        <v>3</v>
      </c>
      <c r="K26" s="92" t="s">
        <v>3</v>
      </c>
      <c r="L26" s="92" t="s">
        <v>3</v>
      </c>
      <c r="M26" s="92" t="s">
        <v>3</v>
      </c>
      <c r="N26" s="92" t="s">
        <v>3</v>
      </c>
      <c r="O26" s="92" t="s">
        <v>3</v>
      </c>
      <c r="P26" s="92" t="s">
        <v>3</v>
      </c>
      <c r="Q26" s="92" t="s">
        <v>3</v>
      </c>
      <c r="R26" s="92" t="s">
        <v>3</v>
      </c>
      <c r="S26" s="92" t="s">
        <v>3</v>
      </c>
      <c r="T26" s="92" t="s">
        <v>3</v>
      </c>
      <c r="U26" s="92" t="s">
        <v>3</v>
      </c>
      <c r="V26" s="92" t="s">
        <v>3</v>
      </c>
      <c r="W26" s="92" t="s">
        <v>3</v>
      </c>
      <c r="X26" s="76" t="s">
        <v>3</v>
      </c>
      <c r="Y26" s="76" t="s">
        <v>3</v>
      </c>
      <c r="Z26" s="76" t="s">
        <v>3</v>
      </c>
      <c r="AA26" s="76">
        <v>1015.509</v>
      </c>
      <c r="AB26" s="76">
        <v>1000.774</v>
      </c>
      <c r="AC26" s="76">
        <v>1126.008</v>
      </c>
      <c r="AD26" s="76">
        <v>1049.421</v>
      </c>
      <c r="AE26" s="76">
        <v>975.01199999999994</v>
      </c>
      <c r="AF26" s="76" t="s">
        <v>3</v>
      </c>
      <c r="AG26" s="76" t="s">
        <v>3</v>
      </c>
      <c r="AH26" s="76" t="s">
        <v>3</v>
      </c>
      <c r="AI26" s="76">
        <v>877.78099999999995</v>
      </c>
      <c r="AJ26" s="76" t="s">
        <v>3</v>
      </c>
      <c r="AK26" s="76" t="s">
        <v>3</v>
      </c>
      <c r="AL26" s="76" t="s">
        <v>3</v>
      </c>
      <c r="AM26" s="76">
        <v>861.73400000000004</v>
      </c>
      <c r="AN26" s="92" t="s">
        <v>3</v>
      </c>
      <c r="AO26" s="76" t="s">
        <v>3</v>
      </c>
      <c r="AP26" s="76" t="s">
        <v>3</v>
      </c>
      <c r="AQ26" s="76">
        <f>BN26</f>
        <v>1165.5650000000001</v>
      </c>
      <c r="AR26" s="76">
        <v>1162.296</v>
      </c>
      <c r="AS26" s="76">
        <v>1160.097</v>
      </c>
      <c r="AT26" s="76">
        <v>1177.087</v>
      </c>
      <c r="AU26" s="76">
        <v>994.38499999999999</v>
      </c>
      <c r="AV26" s="76">
        <v>1637.7070000000001</v>
      </c>
      <c r="AW26" s="76">
        <v>1371.991</v>
      </c>
      <c r="AX26" s="311">
        <v>1403.22</v>
      </c>
      <c r="AY26" s="76">
        <v>1189.2449999999999</v>
      </c>
      <c r="AZ26" s="76">
        <v>1177.1849999999999</v>
      </c>
      <c r="BA26" s="76">
        <v>1003.85</v>
      </c>
      <c r="BB26" s="76">
        <v>1797.4190000000001</v>
      </c>
      <c r="BC26" s="76">
        <v>1558.3107178299999</v>
      </c>
      <c r="BD26" s="76">
        <v>2158</v>
      </c>
      <c r="BE26" s="76">
        <v>2161.5762943</v>
      </c>
      <c r="BF26" s="76">
        <v>2786.5833609799997</v>
      </c>
      <c r="BG26" s="76">
        <v>2902.2429999999999</v>
      </c>
      <c r="BH26" s="76">
        <v>2648.5610000000001</v>
      </c>
      <c r="BI26" s="190"/>
      <c r="BJ26" s="76">
        <v>1015.509</v>
      </c>
      <c r="BK26" s="76">
        <v>975.01199999999994</v>
      </c>
      <c r="BL26" s="76">
        <v>877.78099999999995</v>
      </c>
      <c r="BM26" s="76">
        <v>861.73400000000004</v>
      </c>
      <c r="BN26" s="76">
        <v>1165.5650000000001</v>
      </c>
      <c r="BO26" s="76">
        <v>994.38499999999999</v>
      </c>
      <c r="BP26" s="76">
        <v>1189.2449999999999</v>
      </c>
      <c r="BQ26" s="76">
        <v>1558.3107178299999</v>
      </c>
      <c r="BR26" s="76">
        <v>2902.2429999999999</v>
      </c>
    </row>
    <row r="27" spans="1:71" s="7" customFormat="1" ht="6.75" customHeight="1" outlineLevel="1" x14ac:dyDescent="0.35">
      <c r="A27" s="127"/>
      <c r="B27" s="56"/>
      <c r="C27" s="56"/>
      <c r="D27" s="56"/>
      <c r="E27" s="87"/>
      <c r="F27" s="56"/>
      <c r="G27" s="56"/>
      <c r="H27" s="56"/>
      <c r="I27" s="87"/>
      <c r="J27" s="56"/>
      <c r="K27" s="56"/>
      <c r="L27" s="56"/>
      <c r="M27" s="87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76"/>
      <c r="Y27" s="76"/>
      <c r="Z27" s="76"/>
      <c r="AA27" s="76"/>
      <c r="AB27" s="86"/>
      <c r="AC27" s="76"/>
      <c r="AD27" s="76"/>
      <c r="AE27" s="76"/>
      <c r="AF27" s="76"/>
      <c r="AG27" s="76"/>
      <c r="AH27" s="76"/>
      <c r="AI27" s="76"/>
      <c r="AJ27" s="86"/>
      <c r="AK27" s="76"/>
      <c r="AL27" s="76"/>
      <c r="AM27" s="76"/>
      <c r="AN27" s="8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190"/>
      <c r="BJ27" s="123"/>
      <c r="BK27" s="123"/>
      <c r="BL27" s="86"/>
      <c r="BM27" s="86"/>
      <c r="BN27" s="86"/>
      <c r="BO27" s="86"/>
      <c r="BP27" s="86"/>
      <c r="BQ27" s="86"/>
      <c r="BR27" s="76"/>
    </row>
    <row r="28" spans="1:71" s="80" customFormat="1" ht="14.5" outlineLevel="1" x14ac:dyDescent="0.35">
      <c r="A28" s="127"/>
      <c r="B28" s="56" t="str">
        <f>IF(Control!$D$5=1,"Depreciation and Amortization","Depreciação e Amortização")</f>
        <v>Depreciation and Amortization</v>
      </c>
      <c r="C28" s="92" t="s">
        <v>3</v>
      </c>
      <c r="D28" s="92" t="s">
        <v>3</v>
      </c>
      <c r="E28" s="92" t="s">
        <v>3</v>
      </c>
      <c r="F28" s="92" t="s">
        <v>3</v>
      </c>
      <c r="G28" s="92" t="s">
        <v>3</v>
      </c>
      <c r="H28" s="92" t="s">
        <v>3</v>
      </c>
      <c r="I28" s="92" t="s">
        <v>3</v>
      </c>
      <c r="J28" s="92" t="s">
        <v>3</v>
      </c>
      <c r="K28" s="92" t="s">
        <v>3</v>
      </c>
      <c r="L28" s="92" t="s">
        <v>3</v>
      </c>
      <c r="M28" s="92" t="s">
        <v>3</v>
      </c>
      <c r="N28" s="92" t="s">
        <v>3</v>
      </c>
      <c r="O28" s="92" t="s">
        <v>3</v>
      </c>
      <c r="P28" s="92" t="s">
        <v>3</v>
      </c>
      <c r="Q28" s="92" t="s">
        <v>3</v>
      </c>
      <c r="R28" s="92" t="s">
        <v>3</v>
      </c>
      <c r="S28" s="92" t="s">
        <v>3</v>
      </c>
      <c r="T28" s="92" t="s">
        <v>3</v>
      </c>
      <c r="U28" s="92" t="s">
        <v>3</v>
      </c>
      <c r="V28" s="92" t="s">
        <v>3</v>
      </c>
      <c r="W28" s="92" t="s">
        <v>3</v>
      </c>
      <c r="X28" s="76">
        <v>12.700000000000001</v>
      </c>
      <c r="Y28" s="76">
        <v>16.799999999999997</v>
      </c>
      <c r="Z28" s="76">
        <v>12.100000000000003</v>
      </c>
      <c r="AA28" s="76">
        <v>12.5</v>
      </c>
      <c r="AB28" s="92">
        <v>13.1</v>
      </c>
      <c r="AC28" s="76">
        <v>13.4</v>
      </c>
      <c r="AD28" s="76">
        <v>13.799999999999999</v>
      </c>
      <c r="AE28" s="76">
        <v>12.800000000000002</v>
      </c>
      <c r="AF28" s="76">
        <v>13.7</v>
      </c>
      <c r="AG28" s="76">
        <v>13.400000000000002</v>
      </c>
      <c r="AH28" s="76">
        <v>13.100000000000001</v>
      </c>
      <c r="AI28" s="76">
        <v>13.5</v>
      </c>
      <c r="AJ28" s="76">
        <v>13.8</v>
      </c>
      <c r="AK28" s="76">
        <v>13.78</v>
      </c>
      <c r="AL28" s="76">
        <v>11.368000000000002</v>
      </c>
      <c r="AM28" s="76">
        <v>15.594999999999999</v>
      </c>
      <c r="AN28" s="92">
        <v>13.9</v>
      </c>
      <c r="AO28" s="76">
        <v>14.8</v>
      </c>
      <c r="AP28" s="76">
        <v>12.968000000000004</v>
      </c>
      <c r="AQ28" s="76">
        <v>17.138999999999996</v>
      </c>
      <c r="AR28" s="76">
        <v>16.100000000000001</v>
      </c>
      <c r="AS28" s="76">
        <v>14.7</v>
      </c>
      <c r="AT28" s="76">
        <v>15.599999999999998</v>
      </c>
      <c r="AU28" s="76">
        <v>17.427</v>
      </c>
      <c r="AV28" s="76">
        <v>22</v>
      </c>
      <c r="AW28" s="76">
        <v>22.605</v>
      </c>
      <c r="AX28" s="76">
        <v>24.119</v>
      </c>
      <c r="AY28" s="76">
        <v>28.067</v>
      </c>
      <c r="AZ28" s="220">
        <v>26.207000000000001</v>
      </c>
      <c r="BA28" s="220">
        <v>26.753</v>
      </c>
      <c r="BB28" s="220">
        <v>25.92</v>
      </c>
      <c r="BC28" s="220">
        <v>22.169</v>
      </c>
      <c r="BD28" s="220">
        <v>28.2</v>
      </c>
      <c r="BE28" s="220">
        <v>29.473000000000003</v>
      </c>
      <c r="BF28" s="220">
        <f>BF35</f>
        <v>29.548999999999999</v>
      </c>
      <c r="BG28" s="220">
        <f>BG35</f>
        <v>36.139999999999986</v>
      </c>
      <c r="BH28" s="220">
        <f>BH35</f>
        <v>40.9</v>
      </c>
      <c r="BI28" s="190"/>
      <c r="BJ28" s="76">
        <v>54.951999999999998</v>
      </c>
      <c r="BK28" s="76">
        <v>53.143999999999998</v>
      </c>
      <c r="BL28" s="76">
        <v>54.753999999999998</v>
      </c>
      <c r="BM28" s="76">
        <v>56</v>
      </c>
      <c r="BN28" s="76">
        <v>58.826000000000001</v>
      </c>
      <c r="BO28" s="76">
        <v>63.826999999999998</v>
      </c>
      <c r="BP28" s="76">
        <v>96.790999999999997</v>
      </c>
      <c r="BQ28" s="76">
        <v>101.04899999999999</v>
      </c>
      <c r="BR28" s="220">
        <v>123.36199999999999</v>
      </c>
      <c r="BS28" s="265"/>
    </row>
    <row r="29" spans="1:71" s="80" customFormat="1" ht="14.5" outlineLevel="1" x14ac:dyDescent="0.35">
      <c r="A29" s="127"/>
      <c r="B29" s="56" t="str">
        <f>IF(Control!$D$5=1,"Capex","Capex")</f>
        <v>Capex</v>
      </c>
      <c r="C29" s="92" t="s">
        <v>3</v>
      </c>
      <c r="D29" s="92" t="s">
        <v>3</v>
      </c>
      <c r="E29" s="92" t="s">
        <v>3</v>
      </c>
      <c r="F29" s="92" t="s">
        <v>3</v>
      </c>
      <c r="G29" s="92" t="s">
        <v>3</v>
      </c>
      <c r="H29" s="92" t="s">
        <v>3</v>
      </c>
      <c r="I29" s="92" t="s">
        <v>3</v>
      </c>
      <c r="J29" s="92" t="s">
        <v>3</v>
      </c>
      <c r="K29" s="92" t="s">
        <v>3</v>
      </c>
      <c r="L29" s="92" t="s">
        <v>3</v>
      </c>
      <c r="M29" s="92" t="s">
        <v>3</v>
      </c>
      <c r="N29" s="92" t="s">
        <v>3</v>
      </c>
      <c r="O29" s="92" t="s">
        <v>3</v>
      </c>
      <c r="P29" s="92" t="s">
        <v>3</v>
      </c>
      <c r="Q29" s="92" t="s">
        <v>3</v>
      </c>
      <c r="R29" s="92" t="s">
        <v>3</v>
      </c>
      <c r="S29" s="92" t="s">
        <v>3</v>
      </c>
      <c r="T29" s="92" t="s">
        <v>3</v>
      </c>
      <c r="U29" s="92" t="s">
        <v>3</v>
      </c>
      <c r="V29" s="92" t="s">
        <v>3</v>
      </c>
      <c r="W29" s="92" t="s">
        <v>3</v>
      </c>
      <c r="X29" s="76" t="s">
        <v>3</v>
      </c>
      <c r="Y29" s="76" t="s">
        <v>3</v>
      </c>
      <c r="Z29" s="76" t="s">
        <v>3</v>
      </c>
      <c r="AA29" s="76" t="s">
        <v>3</v>
      </c>
      <c r="AB29" s="92" t="s">
        <v>3</v>
      </c>
      <c r="AC29" s="76" t="s">
        <v>3</v>
      </c>
      <c r="AD29" s="76" t="s">
        <v>3</v>
      </c>
      <c r="AE29" s="76" t="s">
        <v>2</v>
      </c>
      <c r="AF29" s="76" t="s">
        <v>3</v>
      </c>
      <c r="AG29" s="76" t="s">
        <v>3</v>
      </c>
      <c r="AH29" s="76" t="s">
        <v>3</v>
      </c>
      <c r="AI29" s="76">
        <v>41.707999999999998</v>
      </c>
      <c r="AJ29" s="76" t="s">
        <v>3</v>
      </c>
      <c r="AK29" s="76" t="s">
        <v>3</v>
      </c>
      <c r="AL29" s="76" t="s">
        <v>3</v>
      </c>
      <c r="AM29" s="70" t="s">
        <v>3</v>
      </c>
      <c r="AN29" s="92" t="s">
        <v>3</v>
      </c>
      <c r="AO29" s="76" t="s">
        <v>3</v>
      </c>
      <c r="AP29" s="70" t="s">
        <v>3</v>
      </c>
      <c r="AQ29" s="70" t="s">
        <v>3</v>
      </c>
      <c r="AR29" s="70" t="s">
        <v>3</v>
      </c>
      <c r="AS29" s="70" t="s">
        <v>3</v>
      </c>
      <c r="AT29" s="70" t="s">
        <v>3</v>
      </c>
      <c r="AU29" s="70" t="s">
        <v>3</v>
      </c>
      <c r="AV29" s="70" t="s">
        <v>3</v>
      </c>
      <c r="AW29" s="70" t="s">
        <v>3</v>
      </c>
      <c r="AX29" s="70" t="s">
        <v>3</v>
      </c>
      <c r="AY29" s="70" t="s">
        <v>3</v>
      </c>
      <c r="AZ29" s="70" t="s">
        <v>3</v>
      </c>
      <c r="BA29" s="70" t="s">
        <v>3</v>
      </c>
      <c r="BB29" s="70" t="s">
        <v>3</v>
      </c>
      <c r="BC29" s="70" t="s">
        <v>3</v>
      </c>
      <c r="BD29" s="70" t="s">
        <v>3</v>
      </c>
      <c r="BE29" s="70" t="s">
        <v>3</v>
      </c>
      <c r="BF29" s="70" t="s">
        <v>3</v>
      </c>
      <c r="BG29" s="70" t="s">
        <v>3</v>
      </c>
      <c r="BH29" s="70" t="s">
        <v>3</v>
      </c>
      <c r="BI29" s="190"/>
      <c r="BJ29" s="70" t="s">
        <v>3</v>
      </c>
      <c r="BK29" s="70" t="s">
        <v>2</v>
      </c>
      <c r="BL29" s="76">
        <v>41.707999999999998</v>
      </c>
      <c r="BM29" s="70" t="s">
        <v>3</v>
      </c>
      <c r="BN29" s="70" t="s">
        <v>3</v>
      </c>
      <c r="BO29" s="70" t="s">
        <v>3</v>
      </c>
      <c r="BP29" s="70" t="s">
        <v>3</v>
      </c>
      <c r="BQ29" s="70" t="s">
        <v>3</v>
      </c>
      <c r="BR29" s="70" t="s">
        <v>3</v>
      </c>
    </row>
    <row r="30" spans="1:71" s="7" customFormat="1" ht="6.75" customHeight="1" outlineLevel="1" x14ac:dyDescent="0.35">
      <c r="A30" s="80"/>
      <c r="B30" s="56"/>
      <c r="C30" s="87"/>
      <c r="D30" s="56"/>
      <c r="E30" s="87"/>
      <c r="F30" s="87"/>
      <c r="G30" s="87"/>
      <c r="H30" s="56"/>
      <c r="I30" s="87"/>
      <c r="J30" s="87"/>
      <c r="K30" s="87"/>
      <c r="L30" s="56"/>
      <c r="M30" s="87"/>
      <c r="N30" s="87"/>
      <c r="O30" s="87"/>
      <c r="P30" s="56"/>
      <c r="Q30" s="87"/>
      <c r="R30" s="87"/>
      <c r="S30" s="87"/>
      <c r="T30" s="56"/>
      <c r="U30" s="87"/>
      <c r="V30" s="87"/>
      <c r="W30" s="87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190"/>
      <c r="BJ30" s="123"/>
      <c r="BK30" s="123"/>
      <c r="BL30" s="86"/>
      <c r="BM30" s="86"/>
      <c r="BN30" s="86"/>
      <c r="BO30" s="86"/>
      <c r="BP30" s="86"/>
      <c r="BQ30" s="86"/>
      <c r="BR30" s="86"/>
    </row>
    <row r="31" spans="1:71" s="80" customFormat="1" ht="15" customHeight="1" x14ac:dyDescent="0.35">
      <c r="B31" s="129" t="str">
        <f>IF(Control!$D$5=1,"EBITDA Reconciliation","Reconciliação EBITDA")</f>
        <v>EBITDA Reconciliation</v>
      </c>
      <c r="C31" s="219"/>
      <c r="D31" s="129"/>
      <c r="E31" s="219"/>
      <c r="F31" s="219"/>
      <c r="G31" s="219"/>
      <c r="H31" s="129"/>
      <c r="I31" s="219"/>
      <c r="J31" s="219"/>
      <c r="K31" s="219"/>
      <c r="L31" s="129"/>
      <c r="M31" s="219"/>
      <c r="N31" s="219"/>
      <c r="O31" s="219"/>
      <c r="P31" s="129"/>
      <c r="Q31" s="219"/>
      <c r="R31" s="219"/>
      <c r="S31" s="219"/>
      <c r="T31" s="129"/>
      <c r="U31" s="219"/>
      <c r="V31" s="219"/>
      <c r="W31" s="219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90"/>
      <c r="BJ31" s="131"/>
      <c r="BK31" s="131"/>
      <c r="BL31" s="131"/>
      <c r="BM31" s="131"/>
      <c r="BN31" s="131"/>
      <c r="BO31" s="131"/>
      <c r="BP31" s="131"/>
      <c r="BQ31" s="131"/>
      <c r="BR31" s="131"/>
    </row>
    <row r="32" spans="1:71" s="7" customFormat="1" ht="15" customHeight="1" x14ac:dyDescent="0.35">
      <c r="A32" s="127"/>
      <c r="B32" s="56" t="str">
        <f>IF(Control!$D$5=1,"Net Income","Lucro Líquido")</f>
        <v>Net Income</v>
      </c>
      <c r="C32" s="87"/>
      <c r="D32" s="56"/>
      <c r="E32" s="87"/>
      <c r="F32" s="87"/>
      <c r="G32" s="87"/>
      <c r="H32" s="56"/>
      <c r="I32" s="87"/>
      <c r="J32" s="87"/>
      <c r="K32" s="87"/>
      <c r="L32" s="56"/>
      <c r="M32" s="87"/>
      <c r="N32" s="87"/>
      <c r="O32" s="87"/>
      <c r="P32" s="56"/>
      <c r="Q32" s="87"/>
      <c r="R32" s="87"/>
      <c r="S32" s="87"/>
      <c r="T32" s="56"/>
      <c r="U32" s="87"/>
      <c r="V32" s="87"/>
      <c r="W32" s="87"/>
      <c r="X32" s="94">
        <f>+X21</f>
        <v>35.326000000000008</v>
      </c>
      <c r="Y32" s="94">
        <f>+Y21</f>
        <v>21.571999999999971</v>
      </c>
      <c r="Z32" s="94">
        <f>+Z21</f>
        <v>20.283000000000051</v>
      </c>
      <c r="AA32" s="94">
        <f>+AA21</f>
        <v>15.527999999999942</v>
      </c>
      <c r="AB32" s="94">
        <f>+AB21</f>
        <v>27.434999999999988</v>
      </c>
      <c r="AC32" s="94">
        <f t="shared" ref="AC32:AN32" si="4">+AC21</f>
        <v>19.014000000000031</v>
      </c>
      <c r="AD32" s="94">
        <f t="shared" si="4"/>
        <v>10.460999999999951</v>
      </c>
      <c r="AE32" s="94">
        <f t="shared" si="4"/>
        <v>9.2290000000000507</v>
      </c>
      <c r="AF32" s="94">
        <f t="shared" si="4"/>
        <v>25.173000000000009</v>
      </c>
      <c r="AG32" s="94">
        <f t="shared" si="4"/>
        <v>12.979999999999988</v>
      </c>
      <c r="AH32" s="94">
        <f t="shared" si="4"/>
        <v>15.492999999999975</v>
      </c>
      <c r="AI32" s="94">
        <f t="shared" si="4"/>
        <v>20.930000000000035</v>
      </c>
      <c r="AJ32" s="94">
        <f t="shared" si="4"/>
        <v>37.234000000000009</v>
      </c>
      <c r="AK32" s="94">
        <f t="shared" si="4"/>
        <v>42.970000000000006</v>
      </c>
      <c r="AL32" s="94">
        <f t="shared" si="4"/>
        <v>47.919000000000054</v>
      </c>
      <c r="AM32" s="94">
        <f t="shared" si="4"/>
        <v>5.7569999999998558</v>
      </c>
      <c r="AN32" s="94">
        <f t="shared" si="4"/>
        <v>38.720000000000013</v>
      </c>
      <c r="AO32" s="94">
        <f t="shared" ref="AO32:AZ32" si="5">+AO21</f>
        <v>24.244999999999994</v>
      </c>
      <c r="AP32" s="94">
        <f t="shared" si="5"/>
        <v>48.521000000000015</v>
      </c>
      <c r="AQ32" s="94">
        <f t="shared" si="5"/>
        <v>62.213999999999999</v>
      </c>
      <c r="AR32" s="94">
        <f t="shared" si="5"/>
        <v>16.600000000000001</v>
      </c>
      <c r="AS32" s="94">
        <f t="shared" si="5"/>
        <v>42.50000000000005</v>
      </c>
      <c r="AT32" s="94">
        <f t="shared" si="5"/>
        <v>123.30000000000024</v>
      </c>
      <c r="AU32" s="94">
        <f t="shared" si="5"/>
        <v>78.5</v>
      </c>
      <c r="AV32" s="94">
        <f t="shared" si="5"/>
        <v>30.686999999999902</v>
      </c>
      <c r="AW32" s="94">
        <f t="shared" si="5"/>
        <v>25.348999999999997</v>
      </c>
      <c r="AX32" s="94">
        <f t="shared" si="5"/>
        <v>44.331999999999994</v>
      </c>
      <c r="AY32" s="94">
        <f t="shared" si="5"/>
        <v>60.270999999999979</v>
      </c>
      <c r="AZ32" s="94">
        <f t="shared" si="5"/>
        <v>68.305000000000149</v>
      </c>
      <c r="BA32" s="94">
        <v>98.143999999999949</v>
      </c>
      <c r="BB32" s="94">
        <f t="shared" ref="BB32:BG32" si="6">BB21</f>
        <v>100.53899999999997</v>
      </c>
      <c r="BC32" s="94">
        <f t="shared" si="6"/>
        <v>75.806356769999837</v>
      </c>
      <c r="BD32" s="94">
        <f t="shared" si="6"/>
        <v>73.118000000000009</v>
      </c>
      <c r="BE32" s="94">
        <f t="shared" si="6"/>
        <v>67.155623870000198</v>
      </c>
      <c r="BF32" s="94">
        <f t="shared" si="6"/>
        <v>82.957734729999586</v>
      </c>
      <c r="BG32" s="94">
        <f t="shared" si="6"/>
        <v>76.539581929999727</v>
      </c>
      <c r="BH32" s="94">
        <f t="shared" ref="BH32" si="7">BH21</f>
        <v>59.962267879999992</v>
      </c>
      <c r="BI32" s="190"/>
      <c r="BJ32" s="94">
        <f t="shared" ref="BJ32:BQ32" si="8">+BJ21</f>
        <v>92.708999999999975</v>
      </c>
      <c r="BK32" s="94">
        <f t="shared" si="8"/>
        <v>66.13900000000001</v>
      </c>
      <c r="BL32" s="94">
        <f t="shared" si="8"/>
        <v>74.576000000000008</v>
      </c>
      <c r="BM32" s="94">
        <f t="shared" si="8"/>
        <v>133.89400000000006</v>
      </c>
      <c r="BN32" s="94">
        <f t="shared" si="8"/>
        <v>173.70000000000002</v>
      </c>
      <c r="BO32" s="94">
        <f t="shared" si="8"/>
        <v>260.74799999999999</v>
      </c>
      <c r="BP32" s="94">
        <f t="shared" si="8"/>
        <v>160.6389999999999</v>
      </c>
      <c r="BQ32" s="94">
        <f t="shared" si="8"/>
        <v>342.79162388000037</v>
      </c>
      <c r="BR32" s="94">
        <f t="shared" ref="BR32" si="9">+BR21</f>
        <v>299.77094052999951</v>
      </c>
    </row>
    <row r="33" spans="1:70" s="80" customFormat="1" ht="15" customHeight="1" x14ac:dyDescent="0.35">
      <c r="A33" s="127"/>
      <c r="B33" s="132" t="str">
        <f>IF(Control!$D$5=1,"(+) Net Finacial Result","(+) Resultado Financeiro Líquido")</f>
        <v>(+) Net Finacial Result</v>
      </c>
      <c r="C33" s="87"/>
      <c r="D33" s="132"/>
      <c r="E33" s="87"/>
      <c r="F33" s="87"/>
      <c r="G33" s="87"/>
      <c r="H33" s="132"/>
      <c r="I33" s="87"/>
      <c r="J33" s="87"/>
      <c r="K33" s="87"/>
      <c r="L33" s="132"/>
      <c r="M33" s="87"/>
      <c r="N33" s="87"/>
      <c r="O33" s="87"/>
      <c r="P33" s="132"/>
      <c r="Q33" s="87"/>
      <c r="R33" s="87"/>
      <c r="S33" s="87"/>
      <c r="T33" s="132"/>
      <c r="U33" s="87"/>
      <c r="V33" s="87"/>
      <c r="W33" s="87"/>
      <c r="X33" s="116">
        <f>-X15</f>
        <v>15.826999999999998</v>
      </c>
      <c r="Y33" s="116">
        <f>-Y15</f>
        <v>24.542999999999999</v>
      </c>
      <c r="Z33" s="116">
        <f>-Z15</f>
        <v>28.551000000000009</v>
      </c>
      <c r="AA33" s="116">
        <f>-AA15</f>
        <v>26.127999999999993</v>
      </c>
      <c r="AB33" s="116">
        <f>-AB15</f>
        <v>26.817</v>
      </c>
      <c r="AC33" s="116">
        <f t="shared" ref="AC33:AN33" si="10">-AC15</f>
        <v>28.774000000000008</v>
      </c>
      <c r="AD33" s="116">
        <f t="shared" si="10"/>
        <v>29.690999999999988</v>
      </c>
      <c r="AE33" s="116">
        <f t="shared" si="10"/>
        <v>25.003</v>
      </c>
      <c r="AF33" s="116">
        <f t="shared" si="10"/>
        <v>22.105</v>
      </c>
      <c r="AG33" s="116">
        <f t="shared" si="10"/>
        <v>34.472999999999999</v>
      </c>
      <c r="AH33" s="116">
        <f t="shared" si="10"/>
        <v>35.441000000000003</v>
      </c>
      <c r="AI33" s="116">
        <f t="shared" si="10"/>
        <v>33.428999999999988</v>
      </c>
      <c r="AJ33" s="116">
        <f t="shared" si="10"/>
        <v>30.342999999999996</v>
      </c>
      <c r="AK33" s="116">
        <f t="shared" si="10"/>
        <v>47.518000000000001</v>
      </c>
      <c r="AL33" s="116">
        <f t="shared" si="10"/>
        <v>27.812000000000005</v>
      </c>
      <c r="AM33" s="116">
        <f t="shared" si="10"/>
        <v>36.832999999999991</v>
      </c>
      <c r="AN33" s="116">
        <f t="shared" si="10"/>
        <v>20.832000000000001</v>
      </c>
      <c r="AO33" s="116">
        <f>-AO15</f>
        <v>20.509000000000007</v>
      </c>
      <c r="AP33" s="116">
        <f>-AP15</f>
        <v>8.0180000000000007</v>
      </c>
      <c r="AQ33" s="116">
        <f>-AQ15</f>
        <v>8.4409999999999883</v>
      </c>
      <c r="AR33" s="116">
        <f>-AR15</f>
        <v>8.8000000000000043</v>
      </c>
      <c r="AS33" s="116">
        <f>-AS15</f>
        <v>-3.0000000000000071</v>
      </c>
      <c r="AT33" s="116">
        <f t="shared" ref="AT33:AY33" si="11">-AT15</f>
        <v>-22.700000000000003</v>
      </c>
      <c r="AU33" s="116">
        <f t="shared" si="11"/>
        <v>16.600000000000001</v>
      </c>
      <c r="AV33" s="116">
        <f t="shared" si="11"/>
        <v>10.083000000000006</v>
      </c>
      <c r="AW33" s="116">
        <f t="shared" si="11"/>
        <v>15.104000000000003</v>
      </c>
      <c r="AX33" s="116">
        <f t="shared" si="11"/>
        <v>15.196000000000005</v>
      </c>
      <c r="AY33" s="116">
        <f t="shared" si="11"/>
        <v>12.723000000000003</v>
      </c>
      <c r="AZ33" s="116">
        <f>-AZ15</f>
        <v>13.054000000000002</v>
      </c>
      <c r="BA33" s="116">
        <v>10.615000000000002</v>
      </c>
      <c r="BB33" s="116">
        <f t="shared" ref="BB33:BG33" si="12">-BB15</f>
        <v>27.894000000000005</v>
      </c>
      <c r="BC33" s="116">
        <f t="shared" si="12"/>
        <v>14.605059739999994</v>
      </c>
      <c r="BD33" s="116">
        <f t="shared" si="12"/>
        <v>22.3</v>
      </c>
      <c r="BE33" s="116">
        <f t="shared" si="12"/>
        <v>25.610630559999997</v>
      </c>
      <c r="BF33" s="116">
        <f t="shared" si="12"/>
        <v>22.339666149999985</v>
      </c>
      <c r="BG33" s="116">
        <f t="shared" si="12"/>
        <v>56.761999070000016</v>
      </c>
      <c r="BH33" s="116">
        <f t="shared" ref="BH33" si="13">-BH15</f>
        <v>86.94</v>
      </c>
      <c r="BI33" s="190"/>
      <c r="BJ33" s="116">
        <f t="shared" ref="BJ33:BQ33" si="14">-BJ15</f>
        <v>95.049000000000007</v>
      </c>
      <c r="BK33" s="116">
        <f t="shared" si="14"/>
        <v>110.285</v>
      </c>
      <c r="BL33" s="116">
        <f t="shared" si="14"/>
        <v>125.44799999999999</v>
      </c>
      <c r="BM33" s="116">
        <f t="shared" si="14"/>
        <v>142.5</v>
      </c>
      <c r="BN33" s="116">
        <f t="shared" si="14"/>
        <v>57.8</v>
      </c>
      <c r="BO33" s="116">
        <f t="shared" si="14"/>
        <v>-0.36700000000001864</v>
      </c>
      <c r="BP33" s="116">
        <f t="shared" si="14"/>
        <v>53.106000000000009</v>
      </c>
      <c r="BQ33" s="116">
        <f t="shared" si="14"/>
        <v>66.167999999999978</v>
      </c>
      <c r="BR33" s="116">
        <f t="shared" ref="BR33" si="15">-BR15</f>
        <v>127.01229578</v>
      </c>
    </row>
    <row r="34" spans="1:70" s="80" customFormat="1" ht="15" customHeight="1" x14ac:dyDescent="0.35">
      <c r="A34" s="130"/>
      <c r="B34" s="132" t="str">
        <f>IF(Control!$D$5=1,"(+) Income Taxes","(+) Imposto de Renda / CSLL")</f>
        <v>(+) Income Taxes</v>
      </c>
      <c r="C34" s="87"/>
      <c r="D34" s="132"/>
      <c r="E34" s="87"/>
      <c r="F34" s="87"/>
      <c r="G34" s="87"/>
      <c r="H34" s="132"/>
      <c r="I34" s="87"/>
      <c r="J34" s="87"/>
      <c r="K34" s="87"/>
      <c r="L34" s="132"/>
      <c r="M34" s="87"/>
      <c r="N34" s="87"/>
      <c r="O34" s="87"/>
      <c r="P34" s="132"/>
      <c r="Q34" s="87"/>
      <c r="R34" s="87"/>
      <c r="S34" s="87"/>
      <c r="T34" s="132"/>
      <c r="U34" s="87"/>
      <c r="V34" s="87"/>
      <c r="W34" s="87"/>
      <c r="X34" s="116">
        <f>-X20</f>
        <v>18.745999999999999</v>
      </c>
      <c r="Y34" s="116">
        <f>-Y20</f>
        <v>5.7320000000000029</v>
      </c>
      <c r="Z34" s="116">
        <f>-Z20</f>
        <v>7.9619999999999962</v>
      </c>
      <c r="AA34" s="116">
        <f>-AA20</f>
        <v>10.445</v>
      </c>
      <c r="AB34" s="116">
        <f>-AB20</f>
        <v>12.625999999999999</v>
      </c>
      <c r="AC34" s="116">
        <f t="shared" ref="AC34:AN34" si="16">-AC20</f>
        <v>4.4730000000000008</v>
      </c>
      <c r="AD34" s="116">
        <f t="shared" si="16"/>
        <v>10.761000000000001</v>
      </c>
      <c r="AE34" s="116">
        <f t="shared" si="16"/>
        <v>7.0459999999999976</v>
      </c>
      <c r="AF34" s="116">
        <f t="shared" si="16"/>
        <v>13.37</v>
      </c>
      <c r="AG34" s="116">
        <f t="shared" si="16"/>
        <v>8.5589999999999993</v>
      </c>
      <c r="AH34" s="116">
        <f t="shared" si="16"/>
        <v>6.1150000000000002</v>
      </c>
      <c r="AI34" s="116">
        <f t="shared" si="16"/>
        <v>21.784000000000006</v>
      </c>
      <c r="AJ34" s="116">
        <f t="shared" si="16"/>
        <v>18.271999999999998</v>
      </c>
      <c r="AK34" s="116">
        <f t="shared" si="16"/>
        <v>33.088000000000001</v>
      </c>
      <c r="AL34" s="116">
        <f t="shared" si="16"/>
        <v>21.114999999999995</v>
      </c>
      <c r="AM34" s="116">
        <f t="shared" si="16"/>
        <v>13.034000000000006</v>
      </c>
      <c r="AN34" s="116">
        <f t="shared" si="16"/>
        <v>23.477</v>
      </c>
      <c r="AO34" s="116">
        <f t="shared" ref="AO34:AZ34" si="17">-AO20</f>
        <v>17.389999999999997</v>
      </c>
      <c r="AP34" s="116">
        <f t="shared" si="17"/>
        <v>16.304000000000002</v>
      </c>
      <c r="AQ34" s="116">
        <f t="shared" si="17"/>
        <v>-7.0999999999997954E-2</v>
      </c>
      <c r="AR34" s="116">
        <f t="shared" si="17"/>
        <v>5.9</v>
      </c>
      <c r="AS34" s="116">
        <f t="shared" si="17"/>
        <v>18</v>
      </c>
      <c r="AT34" s="116">
        <f t="shared" si="17"/>
        <v>-7.9999999999999982</v>
      </c>
      <c r="AU34" s="116">
        <f t="shared" si="17"/>
        <v>-33.4</v>
      </c>
      <c r="AV34" s="116">
        <f t="shared" si="17"/>
        <v>-17.073</v>
      </c>
      <c r="AW34" s="116">
        <f t="shared" si="17"/>
        <v>-8.6590000000000007</v>
      </c>
      <c r="AX34" s="116">
        <f t="shared" si="17"/>
        <v>6.657</v>
      </c>
      <c r="AY34" s="116">
        <f t="shared" si="17"/>
        <v>-9.2490000000000006</v>
      </c>
      <c r="AZ34" s="116">
        <f t="shared" si="17"/>
        <v>20.440999999999999</v>
      </c>
      <c r="BA34" s="116">
        <v>1.78</v>
      </c>
      <c r="BB34" s="116">
        <f t="shared" ref="BB34:BG34" si="18">-BB20</f>
        <v>24.242000000000001</v>
      </c>
      <c r="BC34" s="116">
        <f t="shared" si="18"/>
        <v>-13.176960099999997</v>
      </c>
      <c r="BD34" s="116">
        <f t="shared" si="18"/>
        <v>1.36</v>
      </c>
      <c r="BE34" s="116">
        <f t="shared" si="18"/>
        <v>9.1315744300000006</v>
      </c>
      <c r="BF34" s="116">
        <f t="shared" si="18"/>
        <v>0.23600191000000087</v>
      </c>
      <c r="BG34" s="116">
        <f t="shared" si="18"/>
        <v>-26.160615130000007</v>
      </c>
      <c r="BH34" s="116">
        <f t="shared" ref="BH34" si="19">-BH20</f>
        <v>8.2460000000000004</v>
      </c>
      <c r="BI34" s="190"/>
      <c r="BJ34" s="116">
        <f t="shared" ref="BJ34:BQ34" si="20">-BJ20</f>
        <v>42.884999999999998</v>
      </c>
      <c r="BK34" s="116">
        <f t="shared" si="20"/>
        <v>34.905999999999999</v>
      </c>
      <c r="BL34" s="116">
        <f t="shared" si="20"/>
        <v>49.828000000000003</v>
      </c>
      <c r="BM34" s="116">
        <f t="shared" si="20"/>
        <v>85.5</v>
      </c>
      <c r="BN34" s="116">
        <f t="shared" si="20"/>
        <v>57.1</v>
      </c>
      <c r="BO34" s="116">
        <f t="shared" si="20"/>
        <v>-17.510000000000002</v>
      </c>
      <c r="BP34" s="116">
        <f t="shared" si="20"/>
        <v>-28.323999999999998</v>
      </c>
      <c r="BQ34" s="116">
        <f t="shared" si="20"/>
        <v>33.286999999999999</v>
      </c>
      <c r="BR34" s="116">
        <f t="shared" ref="BR34" si="21">-BR20</f>
        <v>-15.433038790000007</v>
      </c>
    </row>
    <row r="35" spans="1:70" s="7" customFormat="1" ht="15" customHeight="1" x14ac:dyDescent="0.35">
      <c r="B35" s="56" t="str">
        <f>IF(Control!$D$5=1,"(+) Depreciation and Amortization","(+) Depreciação e Amortização")</f>
        <v>(+) Depreciation and Amortization</v>
      </c>
      <c r="C35" s="87"/>
      <c r="D35" s="56"/>
      <c r="E35" s="87"/>
      <c r="F35" s="87"/>
      <c r="G35" s="87"/>
      <c r="H35" s="56"/>
      <c r="I35" s="87"/>
      <c r="J35" s="87"/>
      <c r="K35" s="87"/>
      <c r="L35" s="56"/>
      <c r="M35" s="87"/>
      <c r="N35" s="87"/>
      <c r="O35" s="87"/>
      <c r="P35" s="56"/>
      <c r="Q35" s="87"/>
      <c r="R35" s="87"/>
      <c r="S35" s="87"/>
      <c r="T35" s="56"/>
      <c r="U35" s="87"/>
      <c r="V35" s="87"/>
      <c r="W35" s="87"/>
      <c r="X35" s="220">
        <f>+X28</f>
        <v>12.700000000000001</v>
      </c>
      <c r="Y35" s="220">
        <f>+Y28</f>
        <v>16.799999999999997</v>
      </c>
      <c r="Z35" s="220">
        <f>+Z28</f>
        <v>12.100000000000003</v>
      </c>
      <c r="AA35" s="220">
        <f>+AA28</f>
        <v>12.5</v>
      </c>
      <c r="AB35" s="220">
        <f>+AB28</f>
        <v>13.1</v>
      </c>
      <c r="AC35" s="220">
        <f t="shared" ref="AC35:AN35" si="22">+AC28</f>
        <v>13.4</v>
      </c>
      <c r="AD35" s="220">
        <f t="shared" si="22"/>
        <v>13.799999999999999</v>
      </c>
      <c r="AE35" s="220">
        <f t="shared" si="22"/>
        <v>12.800000000000002</v>
      </c>
      <c r="AF35" s="220">
        <f t="shared" si="22"/>
        <v>13.7</v>
      </c>
      <c r="AG35" s="220">
        <f t="shared" si="22"/>
        <v>13.400000000000002</v>
      </c>
      <c r="AH35" s="220">
        <f t="shared" si="22"/>
        <v>13.100000000000001</v>
      </c>
      <c r="AI35" s="220">
        <f t="shared" si="22"/>
        <v>13.5</v>
      </c>
      <c r="AJ35" s="220">
        <f t="shared" si="22"/>
        <v>13.8</v>
      </c>
      <c r="AK35" s="220">
        <f t="shared" si="22"/>
        <v>13.78</v>
      </c>
      <c r="AL35" s="220">
        <f t="shared" si="22"/>
        <v>11.368000000000002</v>
      </c>
      <c r="AM35" s="220">
        <f t="shared" si="22"/>
        <v>15.594999999999999</v>
      </c>
      <c r="AN35" s="220">
        <f t="shared" si="22"/>
        <v>13.9</v>
      </c>
      <c r="AO35" s="220">
        <f t="shared" ref="AO35:AZ35" si="23">+AO28</f>
        <v>14.8</v>
      </c>
      <c r="AP35" s="220">
        <f t="shared" si="23"/>
        <v>12.968000000000004</v>
      </c>
      <c r="AQ35" s="220">
        <f t="shared" si="23"/>
        <v>17.138999999999996</v>
      </c>
      <c r="AR35" s="220">
        <f t="shared" si="23"/>
        <v>16.100000000000001</v>
      </c>
      <c r="AS35" s="220">
        <f t="shared" si="23"/>
        <v>14.7</v>
      </c>
      <c r="AT35" s="220">
        <f t="shared" si="23"/>
        <v>15.599999999999998</v>
      </c>
      <c r="AU35" s="220">
        <f t="shared" si="23"/>
        <v>17.427</v>
      </c>
      <c r="AV35" s="220">
        <f t="shared" si="23"/>
        <v>22</v>
      </c>
      <c r="AW35" s="220">
        <f t="shared" si="23"/>
        <v>22.605</v>
      </c>
      <c r="AX35" s="220">
        <f t="shared" si="23"/>
        <v>24.119</v>
      </c>
      <c r="AY35" s="220">
        <f t="shared" si="23"/>
        <v>28.067</v>
      </c>
      <c r="AZ35" s="220">
        <f t="shared" si="23"/>
        <v>26.207000000000001</v>
      </c>
      <c r="BA35" s="220">
        <v>26.753</v>
      </c>
      <c r="BB35" s="220">
        <f>BB28</f>
        <v>25.92</v>
      </c>
      <c r="BC35" s="220">
        <f>BC28</f>
        <v>22.169</v>
      </c>
      <c r="BD35" s="220">
        <f>BD28</f>
        <v>28.2</v>
      </c>
      <c r="BE35" s="220">
        <f>BE28</f>
        <v>29.473000000000003</v>
      </c>
      <c r="BF35" s="220">
        <v>29.548999999999999</v>
      </c>
      <c r="BG35" s="220">
        <f>123.362-BF35-BE35-BD35</f>
        <v>36.139999999999986</v>
      </c>
      <c r="BH35" s="220">
        <v>40.9</v>
      </c>
      <c r="BI35" s="190"/>
      <c r="BJ35" s="220">
        <f t="shared" ref="BJ35:BQ35" si="24">+BJ28</f>
        <v>54.951999999999998</v>
      </c>
      <c r="BK35" s="220">
        <f t="shared" si="24"/>
        <v>53.143999999999998</v>
      </c>
      <c r="BL35" s="220">
        <f t="shared" si="24"/>
        <v>54.753999999999998</v>
      </c>
      <c r="BM35" s="220">
        <f t="shared" si="24"/>
        <v>56</v>
      </c>
      <c r="BN35" s="220">
        <f t="shared" si="24"/>
        <v>58.826000000000001</v>
      </c>
      <c r="BO35" s="220">
        <f t="shared" si="24"/>
        <v>63.826999999999998</v>
      </c>
      <c r="BP35" s="220">
        <f t="shared" si="24"/>
        <v>96.790999999999997</v>
      </c>
      <c r="BQ35" s="220">
        <f t="shared" si="24"/>
        <v>101.04899999999999</v>
      </c>
      <c r="BR35" s="220">
        <f t="shared" ref="BR35" si="25">+BR28</f>
        <v>123.36199999999999</v>
      </c>
    </row>
    <row r="36" spans="1:70" s="80" customFormat="1" ht="15" customHeight="1" x14ac:dyDescent="0.35">
      <c r="A36" s="7"/>
      <c r="B36" s="221" t="str">
        <f>IF(Control!$D$5=1,"(=) EBITDA","(=) EBITDA")</f>
        <v>(=) EBITDA</v>
      </c>
      <c r="C36" s="224"/>
      <c r="D36" s="221"/>
      <c r="E36" s="224"/>
      <c r="F36" s="224"/>
      <c r="G36" s="224"/>
      <c r="H36" s="221"/>
      <c r="I36" s="224"/>
      <c r="J36" s="224"/>
      <c r="K36" s="224"/>
      <c r="L36" s="221"/>
      <c r="M36" s="224"/>
      <c r="N36" s="224"/>
      <c r="O36" s="224"/>
      <c r="P36" s="221"/>
      <c r="Q36" s="224"/>
      <c r="R36" s="224"/>
      <c r="S36" s="224"/>
      <c r="T36" s="221"/>
      <c r="U36" s="224"/>
      <c r="V36" s="224"/>
      <c r="W36" s="224"/>
      <c r="X36" s="175">
        <f t="shared" ref="X36:AK36" si="26">SUM(X32:X35)</f>
        <v>82.599000000000004</v>
      </c>
      <c r="Y36" s="175">
        <f t="shared" si="26"/>
        <v>68.646999999999963</v>
      </c>
      <c r="Z36" s="175">
        <f t="shared" si="26"/>
        <v>68.896000000000058</v>
      </c>
      <c r="AA36" s="175">
        <f t="shared" si="26"/>
        <v>64.600999999999942</v>
      </c>
      <c r="AB36" s="175">
        <f t="shared" si="26"/>
        <v>79.97799999999998</v>
      </c>
      <c r="AC36" s="175">
        <f t="shared" si="26"/>
        <v>65.661000000000044</v>
      </c>
      <c r="AD36" s="175">
        <f t="shared" si="26"/>
        <v>64.712999999999937</v>
      </c>
      <c r="AE36" s="175">
        <f t="shared" si="26"/>
        <v>54.078000000000053</v>
      </c>
      <c r="AF36" s="175">
        <f t="shared" si="26"/>
        <v>74.347999999999999</v>
      </c>
      <c r="AG36" s="175">
        <f t="shared" si="26"/>
        <v>69.411999999999992</v>
      </c>
      <c r="AH36" s="175">
        <f t="shared" si="26"/>
        <v>70.148999999999972</v>
      </c>
      <c r="AI36" s="175">
        <f t="shared" si="26"/>
        <v>89.643000000000029</v>
      </c>
      <c r="AJ36" s="175">
        <f t="shared" si="26"/>
        <v>99.648999999999987</v>
      </c>
      <c r="AK36" s="175">
        <f t="shared" si="26"/>
        <v>137.35599999999999</v>
      </c>
      <c r="AL36" s="175">
        <f t="shared" ref="AL36:AY36" si="27">SUM(AL32:AL35)</f>
        <v>108.21400000000006</v>
      </c>
      <c r="AM36" s="175">
        <f t="shared" si="27"/>
        <v>71.218999999999852</v>
      </c>
      <c r="AN36" s="175">
        <f t="shared" si="27"/>
        <v>96.929000000000016</v>
      </c>
      <c r="AO36" s="175">
        <f t="shared" si="27"/>
        <v>76.944000000000003</v>
      </c>
      <c r="AP36" s="175">
        <f t="shared" si="27"/>
        <v>85.811000000000021</v>
      </c>
      <c r="AQ36" s="175">
        <f t="shared" si="27"/>
        <v>87.722999999999985</v>
      </c>
      <c r="AR36" s="175">
        <f t="shared" si="27"/>
        <v>47.400000000000006</v>
      </c>
      <c r="AS36" s="175">
        <f t="shared" si="27"/>
        <v>72.200000000000045</v>
      </c>
      <c r="AT36" s="175">
        <f t="shared" si="27"/>
        <v>108.20000000000023</v>
      </c>
      <c r="AU36" s="175">
        <f t="shared" si="27"/>
        <v>79.126999999999995</v>
      </c>
      <c r="AV36" s="175">
        <f t="shared" si="27"/>
        <v>45.69699999999991</v>
      </c>
      <c r="AW36" s="175">
        <f t="shared" si="27"/>
        <v>54.399000000000001</v>
      </c>
      <c r="AX36" s="175">
        <f t="shared" si="27"/>
        <v>90.304000000000002</v>
      </c>
      <c r="AY36" s="175">
        <f t="shared" si="27"/>
        <v>91.811999999999983</v>
      </c>
      <c r="AZ36" s="175">
        <f t="shared" ref="AZ36:BF36" si="28">SUM(AZ32:AZ35)</f>
        <v>128.00700000000015</v>
      </c>
      <c r="BA36" s="175">
        <f t="shared" si="28"/>
        <v>137.29199999999997</v>
      </c>
      <c r="BB36" s="175">
        <f t="shared" si="28"/>
        <v>178.59499999999997</v>
      </c>
      <c r="BC36" s="175">
        <f t="shared" si="28"/>
        <v>99.403456409999833</v>
      </c>
      <c r="BD36" s="175">
        <f t="shared" si="28"/>
        <v>124.97800000000001</v>
      </c>
      <c r="BE36" s="175">
        <f t="shared" si="28"/>
        <v>131.37082886000022</v>
      </c>
      <c r="BF36" s="175">
        <f t="shared" si="28"/>
        <v>135.08240278999958</v>
      </c>
      <c r="BG36" s="175">
        <f>SUM(BG32:BG35)</f>
        <v>143.2809658699997</v>
      </c>
      <c r="BH36" s="175">
        <f>SUM(BH32:BH35)</f>
        <v>196.04826788</v>
      </c>
      <c r="BI36" s="190"/>
      <c r="BJ36" s="175">
        <f t="shared" ref="BJ36:BQ36" si="29">SUM(BJ32:BJ35)</f>
        <v>285.59499999999997</v>
      </c>
      <c r="BK36" s="175">
        <f t="shared" si="29"/>
        <v>264.47399999999999</v>
      </c>
      <c r="BL36" s="175">
        <f t="shared" si="29"/>
        <v>304.60599999999999</v>
      </c>
      <c r="BM36" s="175">
        <f t="shared" si="29"/>
        <v>417.89400000000006</v>
      </c>
      <c r="BN36" s="175">
        <f t="shared" si="29"/>
        <v>347.42600000000004</v>
      </c>
      <c r="BO36" s="175">
        <f t="shared" si="29"/>
        <v>306.69799999999998</v>
      </c>
      <c r="BP36" s="175">
        <f t="shared" si="29"/>
        <v>282.21199999999988</v>
      </c>
      <c r="BQ36" s="175">
        <f t="shared" si="29"/>
        <v>543.29562388000033</v>
      </c>
      <c r="BR36" s="175">
        <f t="shared" ref="BR36" si="30">SUM(BR32:BR35)</f>
        <v>534.71219751999945</v>
      </c>
    </row>
    <row r="37" spans="1:70" s="7" customFormat="1" ht="6" customHeight="1" x14ac:dyDescent="0.35">
      <c r="A37" s="130"/>
      <c r="B37" s="56"/>
      <c r="C37" s="87"/>
      <c r="D37" s="56"/>
      <c r="E37" s="87"/>
      <c r="F37" s="87"/>
      <c r="G37" s="87"/>
      <c r="H37" s="56"/>
      <c r="I37" s="87"/>
      <c r="J37" s="87"/>
      <c r="K37" s="87"/>
      <c r="L37" s="56"/>
      <c r="M37" s="87"/>
      <c r="N37" s="87"/>
      <c r="O37" s="87"/>
      <c r="P37" s="56"/>
      <c r="Q37" s="87"/>
      <c r="R37" s="87"/>
      <c r="S37" s="87"/>
      <c r="T37" s="56"/>
      <c r="U37" s="87"/>
      <c r="V37" s="87"/>
      <c r="W37" s="87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90"/>
      <c r="BJ37" s="123"/>
      <c r="BK37" s="123"/>
      <c r="BL37" s="123"/>
      <c r="BM37" s="123"/>
      <c r="BN37" s="123"/>
      <c r="BO37" s="123"/>
      <c r="BP37" s="123"/>
      <c r="BQ37" s="123"/>
      <c r="BR37" s="123"/>
    </row>
    <row r="38" spans="1:70" s="80" customFormat="1" ht="15" customHeight="1" x14ac:dyDescent="0.35">
      <c r="A38" s="7"/>
      <c r="B38" s="222" t="str">
        <f>IF(Control!$D$5=1,"Operating Metrics and Margins","Crescimento e Margens")</f>
        <v>Operating Metrics and Margins</v>
      </c>
      <c r="C38" s="133"/>
      <c r="D38" s="222"/>
      <c r="E38" s="133"/>
      <c r="F38" s="133"/>
      <c r="G38" s="133"/>
      <c r="H38" s="222"/>
      <c r="I38" s="133"/>
      <c r="J38" s="133"/>
      <c r="K38" s="133"/>
      <c r="L38" s="222"/>
      <c r="M38" s="133"/>
      <c r="N38" s="133"/>
      <c r="O38" s="133"/>
      <c r="P38" s="222"/>
      <c r="Q38" s="133"/>
      <c r="R38" s="133"/>
      <c r="S38" s="133"/>
      <c r="T38" s="222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90"/>
      <c r="BJ38" s="133"/>
      <c r="BK38" s="133"/>
      <c r="BL38" s="133"/>
      <c r="BM38" s="133"/>
      <c r="BN38" s="133"/>
      <c r="BO38" s="133"/>
      <c r="BP38" s="133"/>
      <c r="BQ38" s="133"/>
      <c r="BR38" s="133"/>
    </row>
    <row r="39" spans="1:70" s="7" customFormat="1" ht="15" customHeight="1" x14ac:dyDescent="0.35">
      <c r="B39" s="56" t="str">
        <f>IF(Control!$D$5=1,"Net Revenues Growth","Receita Líquida - Var. (%)")</f>
        <v>Net Revenues Growth</v>
      </c>
      <c r="C39" s="87"/>
      <c r="D39" s="56"/>
      <c r="E39" s="87"/>
      <c r="F39" s="87"/>
      <c r="G39" s="87"/>
      <c r="H39" s="56"/>
      <c r="I39" s="87"/>
      <c r="J39" s="87"/>
      <c r="K39" s="87"/>
      <c r="L39" s="56"/>
      <c r="M39" s="87"/>
      <c r="N39" s="87"/>
      <c r="O39" s="87"/>
      <c r="P39" s="56"/>
      <c r="Q39" s="87"/>
      <c r="R39" s="87"/>
      <c r="S39" s="87"/>
      <c r="T39" s="56"/>
      <c r="U39" s="87"/>
      <c r="V39" s="87"/>
      <c r="W39" s="87"/>
      <c r="X39" s="134" t="str">
        <f>IF(ISERROR(X9/U9-1),"--  ",X9/U9-1)</f>
        <v xml:space="preserve">--  </v>
      </c>
      <c r="Y39" s="134" t="str">
        <f>IF(ISERROR(Y9/V9-1),"--  ",Y9/V9-1)</f>
        <v xml:space="preserve">--  </v>
      </c>
      <c r="Z39" s="134" t="str">
        <f>IF(ISERROR(Z9/#REF!-1),"--  ",Z9/#REF!-1)</f>
        <v xml:space="preserve">--  </v>
      </c>
      <c r="AA39" s="134" t="str">
        <f t="shared" ref="AA39:AK39" si="31">IF(ISERROR(AA9/W9-1),"--  ",AA9/W9-1)</f>
        <v xml:space="preserve">--  </v>
      </c>
      <c r="AB39" s="134">
        <f t="shared" si="31"/>
        <v>1.0066236046161414E-2</v>
      </c>
      <c r="AC39" s="134">
        <f t="shared" si="31"/>
        <v>-5.2929327431118445E-2</v>
      </c>
      <c r="AD39" s="134">
        <f t="shared" si="31"/>
        <v>-1.5227174650142006E-3</v>
      </c>
      <c r="AE39" s="134">
        <f t="shared" si="31"/>
        <v>-1.5067794010054314E-2</v>
      </c>
      <c r="AF39" s="134">
        <f t="shared" si="31"/>
        <v>-5.5093431411087357E-3</v>
      </c>
      <c r="AG39" s="134">
        <f t="shared" si="31"/>
        <v>0.10756285743727156</v>
      </c>
      <c r="AH39" s="134">
        <f t="shared" si="31"/>
        <v>0.19396714064323328</v>
      </c>
      <c r="AI39" s="134">
        <f t="shared" si="31"/>
        <v>0.21850593286717057</v>
      </c>
      <c r="AJ39" s="134">
        <f t="shared" si="31"/>
        <v>0.21843087664034044</v>
      </c>
      <c r="AK39" s="134">
        <f t="shared" si="31"/>
        <v>0.4226421512616767</v>
      </c>
      <c r="AL39" s="134">
        <f>IF(ISERROR(AL9/AH9-1),"--  ",AL9/AH9-1)</f>
        <v>0.23825166706743506</v>
      </c>
      <c r="AM39" s="134">
        <f>IF(ISERROR(AM9/AI9-1),"--  ",AM9/AI9-1)</f>
        <v>0.15815698198917993</v>
      </c>
      <c r="AN39" s="134">
        <f>IF(ISERROR(AN9/AJ9-1),"--  ",AN9/AJ9-1)</f>
        <v>0.15721857070410783</v>
      </c>
      <c r="AO39" s="134">
        <f>IF(ISERROR(AO9/AK9-1),"--  ",AO9/AK9-1)</f>
        <v>-0.16777485190986974</v>
      </c>
      <c r="AP39" s="134">
        <f>IF(ISERROR(AP9/AL9-1),"--  ",AP9/AL9-1)</f>
        <v>-0.14497731793005864</v>
      </c>
      <c r="AQ39" s="134">
        <f t="shared" ref="AQ39:BF39" si="32">IF(ISERROR(AQ9/AM9-1),"--  ",AQ9/AM9-1)</f>
        <v>-0.18604332793520573</v>
      </c>
      <c r="AR39" s="134">
        <f t="shared" si="32"/>
        <v>-0.24771004829091414</v>
      </c>
      <c r="AS39" s="134">
        <f t="shared" si="32"/>
        <v>-1.662250533496723E-2</v>
      </c>
      <c r="AT39" s="134">
        <f t="shared" si="32"/>
        <v>4.7078863659952841E-2</v>
      </c>
      <c r="AU39" s="134">
        <f t="shared" si="32"/>
        <v>0.28762583230876948</v>
      </c>
      <c r="AV39" s="134">
        <f t="shared" si="32"/>
        <v>0.34418046830382631</v>
      </c>
      <c r="AW39" s="134">
        <f t="shared" si="32"/>
        <v>0.1067898614059184</v>
      </c>
      <c r="AX39" s="134">
        <f t="shared" si="32"/>
        <v>0.16875102040816281</v>
      </c>
      <c r="AY39" s="134">
        <f t="shared" si="32"/>
        <v>9.8255366545159983E-2</v>
      </c>
      <c r="AZ39" s="134">
        <f t="shared" si="32"/>
        <v>0.28549365668788207</v>
      </c>
      <c r="BA39" s="134">
        <f t="shared" si="32"/>
        <v>0.5144501301854183</v>
      </c>
      <c r="BB39" s="134">
        <f t="shared" si="32"/>
        <v>0.43818723533332538</v>
      </c>
      <c r="BC39" s="134">
        <f t="shared" si="32"/>
        <v>0.2541956433350514</v>
      </c>
      <c r="BD39" s="134">
        <f t="shared" si="32"/>
        <v>0.44948134511495996</v>
      </c>
      <c r="BE39" s="134">
        <f t="shared" si="32"/>
        <v>0.24385843505647498</v>
      </c>
      <c r="BF39" s="134">
        <f t="shared" si="32"/>
        <v>0.15340437196336487</v>
      </c>
      <c r="BG39" s="134">
        <f>IF(ISERROR(BG9/BC9-1),"--  ",BG9/BC9-1)</f>
        <v>0.20075297085229038</v>
      </c>
      <c r="BH39" s="134">
        <f>IF(ISERROR(BH9/BD9-1),"--  ",BH9/BD9-1)</f>
        <v>6.4455666848513005E-2</v>
      </c>
      <c r="BI39" s="190"/>
      <c r="BJ39" s="134" t="str">
        <f>IF(ISERROR(BJ9/#REF!-1),"--  ",BJ9/#REF!-1)</f>
        <v xml:space="preserve">--  </v>
      </c>
      <c r="BK39" s="134">
        <f>IF(ISERROR(BK9/BJ9-1),"--  ",BK9/BJ9-1)</f>
        <v>-1.4885672715206244E-2</v>
      </c>
      <c r="BL39" s="134">
        <f>IF(ISERROR(BL9/BK9-1),"--  ",BL9/BK9-1)</f>
        <v>0.12870411101335688</v>
      </c>
      <c r="BM39" s="134" t="str">
        <f t="shared" ref="BM39:BR39" si="33">IF(ISERROR(BM9/BI9-1),"--  ",BM9/BI9-1)</f>
        <v xml:space="preserve">--  </v>
      </c>
      <c r="BN39" s="134">
        <f t="shared" si="33"/>
        <v>0.26193170174410541</v>
      </c>
      <c r="BO39" s="134">
        <f t="shared" si="33"/>
        <v>0.28673772140840059</v>
      </c>
      <c r="BP39" s="134">
        <f t="shared" si="33"/>
        <v>0.33365799815012576</v>
      </c>
      <c r="BQ39" s="134">
        <f t="shared" si="33"/>
        <v>0.45369695653354314</v>
      </c>
      <c r="BR39" s="134">
        <f t="shared" si="33"/>
        <v>1.0171568010446057</v>
      </c>
    </row>
    <row r="40" spans="1:70" s="7" customFormat="1" ht="15" customHeight="1" x14ac:dyDescent="0.35">
      <c r="B40" s="56" t="str">
        <f>IF(Control!$D$5=1,"EBITDA Growth","EBITDA - Var. (%)")</f>
        <v>EBITDA Growth</v>
      </c>
      <c r="C40" s="87"/>
      <c r="D40" s="56"/>
      <c r="E40" s="87"/>
      <c r="F40" s="87"/>
      <c r="G40" s="87"/>
      <c r="H40" s="56"/>
      <c r="I40" s="87"/>
      <c r="J40" s="87"/>
      <c r="K40" s="87"/>
      <c r="L40" s="56"/>
      <c r="M40" s="87"/>
      <c r="N40" s="87"/>
      <c r="O40" s="87"/>
      <c r="P40" s="56"/>
      <c r="Q40" s="87"/>
      <c r="R40" s="87"/>
      <c r="S40" s="87"/>
      <c r="T40" s="56"/>
      <c r="U40" s="87"/>
      <c r="V40" s="87"/>
      <c r="W40" s="87"/>
      <c r="X40" s="134" t="str">
        <f>IF(ISERROR(X36/U36-1),"--  ",X36/U36-1)</f>
        <v xml:space="preserve">--  </v>
      </c>
      <c r="Y40" s="134" t="str">
        <f>IF(ISERROR(Y36/V36-1),"--  ",Y36/V36-1)</f>
        <v xml:space="preserve">--  </v>
      </c>
      <c r="Z40" s="134" t="str">
        <f>IF(ISERROR(Z36/#REF!-1),"--  ",Z36/#REF!-1)</f>
        <v xml:space="preserve">--  </v>
      </c>
      <c r="AA40" s="134" t="str">
        <f t="shared" ref="AA40:AK40" si="34">IF(ISERROR(AA36/W36-1),"--  ",AA36/W36-1)</f>
        <v xml:space="preserve">--  </v>
      </c>
      <c r="AB40" s="134">
        <f t="shared" si="34"/>
        <v>-3.1731619026865054E-2</v>
      </c>
      <c r="AC40" s="134">
        <f t="shared" si="34"/>
        <v>-4.3497895028186573E-2</v>
      </c>
      <c r="AD40" s="134">
        <f t="shared" si="34"/>
        <v>-6.0714700418023071E-2</v>
      </c>
      <c r="AE40" s="134">
        <f t="shared" si="34"/>
        <v>-0.16289221529078346</v>
      </c>
      <c r="AF40" s="134">
        <f t="shared" si="34"/>
        <v>-7.0394358448573113E-2</v>
      </c>
      <c r="AG40" s="134">
        <f t="shared" si="34"/>
        <v>5.7126757131325201E-2</v>
      </c>
      <c r="AH40" s="134">
        <f t="shared" si="34"/>
        <v>8.4001668907329963E-2</v>
      </c>
      <c r="AI40" s="134">
        <f t="shared" si="34"/>
        <v>0.65766115610784315</v>
      </c>
      <c r="AJ40" s="134">
        <f t="shared" si="34"/>
        <v>0.34030505191800708</v>
      </c>
      <c r="AK40" s="134">
        <f t="shared" si="34"/>
        <v>0.97885091914942679</v>
      </c>
      <c r="AL40" s="134">
        <f>IF(ISERROR(AL36/AH36-1),"--  ",AL36/AH36-1)</f>
        <v>0.54263068611099374</v>
      </c>
      <c r="AM40" s="134">
        <f>IF(ISERROR(AM36/AI36-1),"--  ",AM36/AI36-1)</f>
        <v>-0.20552636569503668</v>
      </c>
      <c r="AN40" s="134">
        <f>IF(ISERROR(AN36/AJ36-1),"--  ",AN36/AJ36-1)</f>
        <v>-2.7295808287087331E-2</v>
      </c>
      <c r="AO40" s="134">
        <f>IF(ISERROR(AO36/AK36-1),"--  ",AO36/AK36-1)</f>
        <v>-0.43982061213197821</v>
      </c>
      <c r="AP40" s="134">
        <f>IF(ISERROR(AP36/AL36-1),"--  ",AP36/AL36-1)</f>
        <v>-0.20702496904282275</v>
      </c>
      <c r="AQ40" s="134">
        <f t="shared" ref="AQ40:BF40" si="35">IF(ISERROR(AQ36/AM36-1),"--  ",AQ36/AM36-1)</f>
        <v>0.23173591316924091</v>
      </c>
      <c r="AR40" s="134">
        <f t="shared" si="35"/>
        <v>-0.51098226536949731</v>
      </c>
      <c r="AS40" s="134">
        <f t="shared" si="35"/>
        <v>-6.1655229777499931E-2</v>
      </c>
      <c r="AT40" s="134">
        <f t="shared" si="35"/>
        <v>0.26091060586638304</v>
      </c>
      <c r="AU40" s="134">
        <f t="shared" si="35"/>
        <v>-9.7990264810824845E-2</v>
      </c>
      <c r="AV40" s="134">
        <f t="shared" si="35"/>
        <v>-3.592827004219612E-2</v>
      </c>
      <c r="AW40" s="134">
        <f t="shared" si="35"/>
        <v>-0.24655124653739657</v>
      </c>
      <c r="AX40" s="134">
        <f t="shared" si="35"/>
        <v>-0.16539741219963211</v>
      </c>
      <c r="AY40" s="134">
        <f t="shared" si="35"/>
        <v>0.16031190364856474</v>
      </c>
      <c r="AZ40" s="134">
        <f t="shared" si="35"/>
        <v>1.8012123334135808</v>
      </c>
      <c r="BA40" s="134">
        <f t="shared" si="35"/>
        <v>1.523796393316053</v>
      </c>
      <c r="BB40" s="134">
        <f t="shared" si="35"/>
        <v>0.97770862863217545</v>
      </c>
      <c r="BC40" s="134">
        <f t="shared" si="35"/>
        <v>8.2684795124818633E-2</v>
      </c>
      <c r="BD40" s="134">
        <f t="shared" si="35"/>
        <v>-2.3662768442351823E-2</v>
      </c>
      <c r="BE40" s="134">
        <f t="shared" si="35"/>
        <v>-4.3128304198349232E-2</v>
      </c>
      <c r="BF40" s="134">
        <f t="shared" si="35"/>
        <v>-0.24363838410929983</v>
      </c>
      <c r="BG40" s="134">
        <f>IF(ISERROR(BG36/BC36-1),"--  ",BG36/BC36-1)</f>
        <v>0.44140828744447824</v>
      </c>
      <c r="BH40" s="134">
        <f>IF(ISERROR(BH36/BD36-1),"--  ",BH36/BD36-1)</f>
        <v>0.56866222759205609</v>
      </c>
      <c r="BI40" s="190"/>
      <c r="BJ40" s="134" t="str">
        <f>IF(ISERROR(BJ36/#REF!-1),"--  ",BJ36/#REF!-1)</f>
        <v xml:space="preserve">--  </v>
      </c>
      <c r="BK40" s="134">
        <f>IF(ISERROR(BK36/BJ36-1),"--  ",BK36/BJ36-1)</f>
        <v>-7.3954375951959861E-2</v>
      </c>
      <c r="BL40" s="134">
        <f>IF(ISERROR(BL36/BK36-1),"--  ",BL36/BK36-1)</f>
        <v>0.15174270438682069</v>
      </c>
      <c r="BM40" s="134" t="str">
        <f t="shared" ref="BM40:BR40" si="36">IF(ISERROR(BM36/BI36-1),"--  ",BM36/BI36-1)</f>
        <v xml:space="preserve">--  </v>
      </c>
      <c r="BN40" s="134">
        <f t="shared" si="36"/>
        <v>0.21649888828585961</v>
      </c>
      <c r="BO40" s="134">
        <f t="shared" si="36"/>
        <v>0.15965274469324009</v>
      </c>
      <c r="BP40" s="134">
        <f t="shared" si="36"/>
        <v>-7.3517921511723761E-2</v>
      </c>
      <c r="BQ40" s="134">
        <f t="shared" si="36"/>
        <v>0.30007998171785255</v>
      </c>
      <c r="BR40" s="134">
        <f t="shared" si="36"/>
        <v>0.53906788069977307</v>
      </c>
    </row>
    <row r="41" spans="1:70" s="7" customFormat="1" ht="15" customHeight="1" x14ac:dyDescent="0.35">
      <c r="B41" s="223" t="str">
        <f>IF(Control!$D$5=1,"EBIT Growth","Lucro Operacional (EBIT) - Var. (%)")</f>
        <v>EBIT Growth</v>
      </c>
      <c r="C41" s="225"/>
      <c r="D41" s="223"/>
      <c r="E41" s="225"/>
      <c r="F41" s="225"/>
      <c r="G41" s="225"/>
      <c r="H41" s="223"/>
      <c r="I41" s="225"/>
      <c r="J41" s="225"/>
      <c r="K41" s="225"/>
      <c r="L41" s="223"/>
      <c r="M41" s="225"/>
      <c r="N41" s="225"/>
      <c r="O41" s="225"/>
      <c r="P41" s="223"/>
      <c r="Q41" s="225"/>
      <c r="R41" s="225"/>
      <c r="S41" s="225"/>
      <c r="T41" s="223"/>
      <c r="U41" s="225"/>
      <c r="V41" s="225"/>
      <c r="W41" s="225"/>
      <c r="X41" s="135" t="str">
        <f>IF(ISERROR(X14/U14-1),"--  ",X14/U14-1)</f>
        <v xml:space="preserve">--  </v>
      </c>
      <c r="Y41" s="135" t="str">
        <f>IF(ISERROR(Y14/V14-1),"--  ",Y14/V14-1)</f>
        <v xml:space="preserve">--  </v>
      </c>
      <c r="Z41" s="135" t="str">
        <f>IF(ISERROR(Z14/#REF!-1),"--  ",Z14/#REF!-1)</f>
        <v xml:space="preserve">--  </v>
      </c>
      <c r="AA41" s="135" t="str">
        <f t="shared" ref="AA41:AK41" si="37">IF(ISERROR(AA14/W14-1),"--  ",AA14/W14-1)</f>
        <v xml:space="preserve">--  </v>
      </c>
      <c r="AB41" s="135">
        <f t="shared" si="37"/>
        <v>-4.3219502424927558E-2</v>
      </c>
      <c r="AC41" s="135">
        <f t="shared" si="37"/>
        <v>7.9850328852213437E-3</v>
      </c>
      <c r="AD41" s="135">
        <f t="shared" si="37"/>
        <v>-0.10358123811536202</v>
      </c>
      <c r="AE41" s="135">
        <f t="shared" si="37"/>
        <v>-0.20773113759812467</v>
      </c>
      <c r="AF41" s="135">
        <f t="shared" si="37"/>
        <v>-9.3154699602260527E-2</v>
      </c>
      <c r="AG41" s="135">
        <f t="shared" si="37"/>
        <v>7.1774363291937426E-2</v>
      </c>
      <c r="AH41" s="135">
        <f t="shared" si="37"/>
        <v>0.12051931726671072</v>
      </c>
      <c r="AI41" s="135">
        <f t="shared" si="37"/>
        <v>0.84463879063907954</v>
      </c>
      <c r="AJ41" s="135">
        <f t="shared" si="37"/>
        <v>0.41552895396385692</v>
      </c>
      <c r="AK41" s="135">
        <f t="shared" si="37"/>
        <v>1.2062415196743563</v>
      </c>
      <c r="AL41" s="135">
        <f>IF(ISERROR(AL14/AH14-1),"--  ",AL14/AH14-1)</f>
        <v>0.69759329699030803</v>
      </c>
      <c r="AM41" s="135">
        <f>IF(ISERROR(AM14/AI14-1),"--  ",AM14/AI14-1)</f>
        <v>-0.26947979459701077</v>
      </c>
      <c r="AN41" s="135">
        <f>IF(ISERROR(AN14/AJ14-1),"--  ",AN14/AJ14-1)</f>
        <v>-3.2848373306619716E-2</v>
      </c>
      <c r="AO41" s="135">
        <f>IF(ISERROR(AO14/AK14-1),"--  ",AO14/AK14-1)</f>
        <v>-0.49711918171813296</v>
      </c>
      <c r="AP41" s="135">
        <f>IF(ISERROR(AP14/AL14-1),"--  ",AP14/AL14-1)</f>
        <v>-0.24784709745368982</v>
      </c>
      <c r="AQ41" s="135">
        <f t="shared" ref="AQ41:BF41" si="38">IF(ISERROR(AQ14/AM14-1),"--  ",AQ14/AM14-1)</f>
        <v>0.26894865525672795</v>
      </c>
      <c r="AR41" s="135">
        <f t="shared" si="38"/>
        <v>-0.62302328102229343</v>
      </c>
      <c r="AS41" s="135">
        <f t="shared" si="38"/>
        <v>-7.4729660144180587E-2</v>
      </c>
      <c r="AT41" s="135">
        <f t="shared" si="38"/>
        <v>0.2712271597820004</v>
      </c>
      <c r="AU41" s="135">
        <f t="shared" si="38"/>
        <v>-0.12586421851977825</v>
      </c>
      <c r="AV41" s="135">
        <f t="shared" si="38"/>
        <v>-0.24290734824281457</v>
      </c>
      <c r="AW41" s="135">
        <f t="shared" si="38"/>
        <v>-0.44706086956521784</v>
      </c>
      <c r="AX41" s="135">
        <f t="shared" si="38"/>
        <v>-0.28525917926566013</v>
      </c>
      <c r="AY41" s="135">
        <f t="shared" si="38"/>
        <v>3.3144246353322249E-2</v>
      </c>
      <c r="AZ41" s="135">
        <f t="shared" si="38"/>
        <v>3.2959024349073953</v>
      </c>
      <c r="BA41" s="135">
        <f t="shared" si="38"/>
        <v>2.4767251682707414</v>
      </c>
      <c r="BB41" s="135">
        <f t="shared" si="38"/>
        <v>1.3067915690866494</v>
      </c>
      <c r="BC41" s="135">
        <f t="shared" si="38"/>
        <v>0.21161591356184584</v>
      </c>
      <c r="BD41" s="135">
        <f t="shared" si="38"/>
        <v>-4.9656188605109342E-2</v>
      </c>
      <c r="BE41" s="135">
        <f t="shared" si="38"/>
        <v>-7.8173053311498819E-2</v>
      </c>
      <c r="BF41" s="135">
        <f t="shared" si="38"/>
        <v>-0.30877090034387045</v>
      </c>
      <c r="BG41" s="135">
        <f>IF(ISERROR(BG14/BC14-1),"--  ",BG14/BC14-1)</f>
        <v>0.38721719359609286</v>
      </c>
      <c r="BH41" s="135">
        <f>IF(ISERROR(BH14/BD14-1),"--  ",BH14/BD14-1)</f>
        <v>0.60368254566127399</v>
      </c>
      <c r="BI41" s="190"/>
      <c r="BJ41" s="135" t="str">
        <f>IF(ISERROR(BJ14/#REF!-1),"--  ",BJ14/#REF!-1)</f>
        <v xml:space="preserve">--  </v>
      </c>
      <c r="BK41" s="135">
        <f>IF(ISERROR(BK14/BJ14-1),"--  ",BK14/BJ14-1)</f>
        <v>-8.3735469968739373E-2</v>
      </c>
      <c r="BL41" s="135">
        <f>IF(ISERROR(BL14/BK14-1),"--  ",BL14/BK14-1)</f>
        <v>0.18228363223394695</v>
      </c>
      <c r="BM41" s="135" t="str">
        <f t="shared" ref="BM41:BR41" si="39">IF(ISERROR(BM14/BI14-1),"--  ",BM14/BI14-1)</f>
        <v xml:space="preserve">--  </v>
      </c>
      <c r="BN41" s="135">
        <f t="shared" si="39"/>
        <v>0.25128445259556997</v>
      </c>
      <c r="BO41" s="135">
        <f t="shared" si="39"/>
        <v>0.14924998817016033</v>
      </c>
      <c r="BP41" s="135">
        <f t="shared" si="39"/>
        <v>-0.25787666298448708</v>
      </c>
      <c r="BQ41" s="135">
        <f t="shared" si="39"/>
        <v>0.22203358961463926</v>
      </c>
      <c r="BR41" s="135">
        <f t="shared" si="39"/>
        <v>0.42521551462231266</v>
      </c>
    </row>
    <row r="42" spans="1:70" s="7" customFormat="1" ht="15" customHeight="1" x14ac:dyDescent="0.35">
      <c r="B42" s="56" t="str">
        <f>IF(Control!$D$5=1,"Gross Margin","Margem Bruta")</f>
        <v>Gross Margin</v>
      </c>
      <c r="C42" s="87"/>
      <c r="D42" s="56"/>
      <c r="E42" s="87"/>
      <c r="F42" s="87"/>
      <c r="G42" s="87"/>
      <c r="H42" s="56"/>
      <c r="I42" s="87"/>
      <c r="J42" s="87"/>
      <c r="K42" s="87"/>
      <c r="L42" s="56"/>
      <c r="M42" s="87"/>
      <c r="N42" s="87"/>
      <c r="O42" s="87"/>
      <c r="P42" s="56"/>
      <c r="Q42" s="87"/>
      <c r="R42" s="87"/>
      <c r="S42" s="87"/>
      <c r="T42" s="56"/>
      <c r="U42" s="87"/>
      <c r="V42" s="87"/>
      <c r="W42" s="87"/>
      <c r="X42" s="134">
        <f t="shared" ref="X42:AK42" si="40">IF(ISERROR(X11/X$9),"--  ",X11/X$9)</f>
        <v>0.28265023290626246</v>
      </c>
      <c r="Y42" s="134">
        <f t="shared" si="40"/>
        <v>0.25244015315668367</v>
      </c>
      <c r="Z42" s="134">
        <f t="shared" si="40"/>
        <v>0.23120183712471493</v>
      </c>
      <c r="AA42" s="134">
        <f t="shared" si="40"/>
        <v>0.228222133062708</v>
      </c>
      <c r="AB42" s="134">
        <f t="shared" si="40"/>
        <v>0.26902553304928134</v>
      </c>
      <c r="AC42" s="134">
        <f t="shared" si="40"/>
        <v>0.24990822556545939</v>
      </c>
      <c r="AD42" s="134">
        <f t="shared" si="40"/>
        <v>0.22714755839296619</v>
      </c>
      <c r="AE42" s="134">
        <f t="shared" si="40"/>
        <v>0.19987389942805464</v>
      </c>
      <c r="AF42" s="134">
        <f t="shared" si="40"/>
        <v>0.24983151725339051</v>
      </c>
      <c r="AG42" s="134">
        <f t="shared" si="40"/>
        <v>0.24059084684558954</v>
      </c>
      <c r="AH42" s="134">
        <f t="shared" si="40"/>
        <v>0.24695868465212004</v>
      </c>
      <c r="AI42" s="134">
        <f t="shared" si="40"/>
        <v>0.25390291806268772</v>
      </c>
      <c r="AJ42" s="134">
        <f t="shared" si="40"/>
        <v>0.27205992025217024</v>
      </c>
      <c r="AK42" s="134">
        <f t="shared" si="40"/>
        <v>0.27125861027746018</v>
      </c>
      <c r="AL42" s="134">
        <f t="shared" ref="AL42:AQ42" si="41">IF(ISERROR(AL11/AL$9),"--  ",AL11/AL$9)</f>
        <v>0.22238973486252425</v>
      </c>
      <c r="AM42" s="134">
        <f t="shared" si="41"/>
        <v>0.2077295813868589</v>
      </c>
      <c r="AN42" s="134">
        <f t="shared" si="41"/>
        <v>0.23946428878310333</v>
      </c>
      <c r="AO42" s="134">
        <f t="shared" si="41"/>
        <v>0.23554279147092841</v>
      </c>
      <c r="AP42" s="134">
        <f t="shared" si="41"/>
        <v>0.23520505040021006</v>
      </c>
      <c r="AQ42" s="134">
        <f t="shared" si="41"/>
        <v>0.25006486369497505</v>
      </c>
      <c r="AR42" s="134">
        <f t="shared" ref="AR42:BE42" si="42">IF(ISERROR(AR11/AR$9),"--  ",AR11/AR$9)</f>
        <v>0.25342661336379213</v>
      </c>
      <c r="AS42" s="134">
        <f t="shared" si="42"/>
        <v>0.26495192907978532</v>
      </c>
      <c r="AT42" s="134">
        <f t="shared" si="42"/>
        <v>0.24431486880466494</v>
      </c>
      <c r="AU42" s="134">
        <f t="shared" si="42"/>
        <v>0.2287363304981774</v>
      </c>
      <c r="AV42" s="134">
        <f t="shared" si="42"/>
        <v>0.21475807890689386</v>
      </c>
      <c r="AW42" s="134">
        <f t="shared" si="42"/>
        <v>0.21820497547460144</v>
      </c>
      <c r="AX42" s="134">
        <f t="shared" si="42"/>
        <v>0.23071051402708437</v>
      </c>
      <c r="AY42" s="134">
        <f t="shared" si="42"/>
        <v>0.21505443756759171</v>
      </c>
      <c r="AZ42" s="134">
        <f t="shared" si="42"/>
        <v>0.21990405256452006</v>
      </c>
      <c r="BA42" s="134">
        <f t="shared" si="42"/>
        <v>0.20618257202683746</v>
      </c>
      <c r="BB42" s="134">
        <f t="shared" si="42"/>
        <v>0.22554162501032016</v>
      </c>
      <c r="BC42" s="134">
        <f t="shared" si="42"/>
        <v>0.16899598741350541</v>
      </c>
      <c r="BD42" s="134">
        <f t="shared" si="42"/>
        <v>0.18002210657787551</v>
      </c>
      <c r="BE42" s="134">
        <f t="shared" si="42"/>
        <v>0.17976794168110447</v>
      </c>
      <c r="BF42" s="134">
        <f t="shared" ref="BF42:BG42" si="43">IF(ISERROR(BF11/BF$9),"--  ",BF11/BF$9)</f>
        <v>0.18951968074260778</v>
      </c>
      <c r="BG42" s="134">
        <f t="shared" si="43"/>
        <v>0.15991899708861954</v>
      </c>
      <c r="BH42" s="134">
        <f t="shared" ref="BH42" si="44">IF(ISERROR(BH11/BH$9),"--  ",BH11/BH$9)</f>
        <v>0.21675211093670591</v>
      </c>
      <c r="BI42" s="190"/>
      <c r="BJ42" s="134">
        <f t="shared" ref="BJ42:BQ42" si="45">IF(ISERROR(BJ11/BJ$9),"--  ",BJ11/BJ$9)</f>
        <v>0.2485233459637618</v>
      </c>
      <c r="BK42" s="134">
        <f t="shared" si="45"/>
        <v>0.23627252536314364</v>
      </c>
      <c r="BL42" s="134">
        <f t="shared" si="45"/>
        <v>0.24803744717383194</v>
      </c>
      <c r="BM42" s="134">
        <f t="shared" si="45"/>
        <v>0.24247278255911817</v>
      </c>
      <c r="BN42" s="134">
        <f t="shared" si="45"/>
        <v>0.2398991415020712</v>
      </c>
      <c r="BO42" s="134">
        <f t="shared" si="45"/>
        <v>0.24653940850265113</v>
      </c>
      <c r="BP42" s="134">
        <f t="shared" si="45"/>
        <v>0.21970463886042804</v>
      </c>
      <c r="BQ42" s="134">
        <f t="shared" si="45"/>
        <v>0.20504773455560496</v>
      </c>
      <c r="BR42" s="134">
        <f t="shared" ref="BR42" si="46">IF(ISERROR(BR11/BR$9),"--  ",BR11/BR$9)</f>
        <v>0.17742205411322878</v>
      </c>
    </row>
    <row r="43" spans="1:70" s="7" customFormat="1" ht="15" customHeight="1" x14ac:dyDescent="0.35">
      <c r="A43" s="80"/>
      <c r="B43" s="56" t="str">
        <f>IF(Control!$D$5=1,"EBITDA Margin","Margem EBITDA")</f>
        <v>EBITDA Margin</v>
      </c>
      <c r="C43" s="87"/>
      <c r="D43" s="56"/>
      <c r="E43" s="87"/>
      <c r="F43" s="87"/>
      <c r="G43" s="87"/>
      <c r="H43" s="56"/>
      <c r="I43" s="87"/>
      <c r="J43" s="87"/>
      <c r="K43" s="87"/>
      <c r="L43" s="56"/>
      <c r="M43" s="87"/>
      <c r="N43" s="87"/>
      <c r="O43" s="87"/>
      <c r="P43" s="56"/>
      <c r="Q43" s="87"/>
      <c r="R43" s="87"/>
      <c r="S43" s="87"/>
      <c r="T43" s="56"/>
      <c r="U43" s="87"/>
      <c r="V43" s="87"/>
      <c r="W43" s="87"/>
      <c r="X43" s="134">
        <f t="shared" ref="X43:AK43" si="47">IF(ISERROR(X36/X$9),"--  ",X36/X$9)</f>
        <v>0.12565528656141514</v>
      </c>
      <c r="Y43" s="134">
        <f t="shared" si="47"/>
        <v>0.10467689032767656</v>
      </c>
      <c r="Z43" s="134">
        <f t="shared" si="47"/>
        <v>0.10618334258060549</v>
      </c>
      <c r="AA43" s="134">
        <f t="shared" si="47"/>
        <v>9.5290705907342219E-2</v>
      </c>
      <c r="AB43" s="134">
        <f t="shared" si="47"/>
        <v>0.12045550730989525</v>
      </c>
      <c r="AC43" s="134">
        <f t="shared" si="47"/>
        <v>0.10571931835746311</v>
      </c>
      <c r="AD43" s="134">
        <f t="shared" si="47"/>
        <v>9.9888554793378617E-2</v>
      </c>
      <c r="AE43" s="134">
        <f t="shared" si="47"/>
        <v>8.0988916029299765E-2</v>
      </c>
      <c r="AF43" s="134">
        <f t="shared" si="47"/>
        <v>0.11259645163977254</v>
      </c>
      <c r="AG43" s="134">
        <f t="shared" si="47"/>
        <v>0.10090508130613143</v>
      </c>
      <c r="AH43" s="134">
        <f t="shared" si="47"/>
        <v>9.0688727030150684E-2</v>
      </c>
      <c r="AI43" s="134">
        <f t="shared" si="47"/>
        <v>0.11017769922642218</v>
      </c>
      <c r="AJ43" s="134">
        <f t="shared" si="47"/>
        <v>0.12385896964212911</v>
      </c>
      <c r="AK43" s="134">
        <f t="shared" si="47"/>
        <v>0.14035582504876729</v>
      </c>
      <c r="AL43" s="134">
        <f t="shared" ref="AL43:AQ43" si="48">IF(ISERROR(AL36/AL$9),"--  ",AL36/AL$9)</f>
        <v>0.11298124357254354</v>
      </c>
      <c r="AM43" s="134">
        <f t="shared" si="48"/>
        <v>7.557980350248629E-2</v>
      </c>
      <c r="AN43" s="134">
        <f t="shared" si="48"/>
        <v>0.10411009812851228</v>
      </c>
      <c r="AO43" s="134">
        <f t="shared" si="48"/>
        <v>9.447496310339154E-2</v>
      </c>
      <c r="AP43" s="134">
        <f t="shared" si="48"/>
        <v>0.10478237244259384</v>
      </c>
      <c r="AQ43" s="134">
        <f t="shared" si="48"/>
        <v>0.11437262139289406</v>
      </c>
      <c r="AR43" s="134">
        <f t="shared" ref="AR43:BE43" si="49">IF(ISERROR(AR36/AR$9),"--  ",AR36/AR$9)</f>
        <v>6.7675613934894352E-2</v>
      </c>
      <c r="AS43" s="134">
        <f t="shared" si="49"/>
        <v>9.0148582844300218E-2</v>
      </c>
      <c r="AT43" s="134">
        <f t="shared" si="49"/>
        <v>0.12618075801749296</v>
      </c>
      <c r="AU43" s="134">
        <f t="shared" si="49"/>
        <v>8.0120494127176992E-2</v>
      </c>
      <c r="AV43" s="134">
        <f t="shared" si="49"/>
        <v>4.8538234069491676E-2</v>
      </c>
      <c r="AW43" s="134">
        <f t="shared" si="49"/>
        <v>6.1368774452070556E-2</v>
      </c>
      <c r="AX43" s="134">
        <f t="shared" si="49"/>
        <v>9.0105407681470046E-2</v>
      </c>
      <c r="AY43" s="134">
        <f t="shared" si="49"/>
        <v>8.4647674752013791E-2</v>
      </c>
      <c r="AZ43" s="134">
        <f t="shared" si="49"/>
        <v>0.10576940555886996</v>
      </c>
      <c r="BA43" s="134">
        <f t="shared" si="49"/>
        <v>0.10226965453487685</v>
      </c>
      <c r="BB43" s="134">
        <f t="shared" si="49"/>
        <v>0.12390753990857226</v>
      </c>
      <c r="BC43" s="134">
        <f t="shared" si="49"/>
        <v>7.3072132632335599E-2</v>
      </c>
      <c r="BD43" s="134">
        <f t="shared" si="49"/>
        <v>7.1243834185844609E-2</v>
      </c>
      <c r="BE43" s="134">
        <f t="shared" si="49"/>
        <v>7.8673693891373991E-2</v>
      </c>
      <c r="BF43" s="134">
        <f t="shared" ref="BF43:BG43" si="50">IF(ISERROR(BF36/BF$9),"--  ",BF36/BF$9)</f>
        <v>8.125416322703681E-2</v>
      </c>
      <c r="BG43" s="134">
        <f t="shared" si="50"/>
        <v>8.7717274172330426E-2</v>
      </c>
      <c r="BH43" s="134">
        <f t="shared" ref="BH43" si="51">IF(ISERROR(BH36/BH$9),"--  ",BH36/BH$9)</f>
        <v>0.10499029233132991</v>
      </c>
      <c r="BI43" s="190"/>
      <c r="BJ43" s="134">
        <f t="shared" ref="BJ43:BQ43" si="52">IF(ISERROR(BJ36/BJ$9),"--  ",BJ36/BJ$9)</f>
        <v>0.10818316154157644</v>
      </c>
      <c r="BK43" s="134">
        <f t="shared" si="52"/>
        <v>0.1016963621038643</v>
      </c>
      <c r="BL43" s="134">
        <f t="shared" si="52"/>
        <v>0.10377214185093013</v>
      </c>
      <c r="BM43" s="134">
        <f t="shared" si="52"/>
        <v>0.11345641137023865</v>
      </c>
      <c r="BN43" s="134">
        <f t="shared" si="52"/>
        <v>0.10428828720657983</v>
      </c>
      <c r="BO43" s="134">
        <f t="shared" si="52"/>
        <v>9.1652295162358899E-2</v>
      </c>
      <c r="BP43" s="134">
        <f t="shared" si="52"/>
        <v>7.208971850698373E-2</v>
      </c>
      <c r="BQ43" s="134">
        <f t="shared" si="52"/>
        <v>0.10146709639657245</v>
      </c>
      <c r="BR43" s="134">
        <f t="shared" ref="BR43" si="53">IF(ISERROR(BR36/BR$9),"--  ",BR36/BR$9)</f>
        <v>7.9570786509863767E-2</v>
      </c>
    </row>
    <row r="44" spans="1:70" s="7" customFormat="1" ht="15" customHeight="1" x14ac:dyDescent="0.35">
      <c r="B44" s="56" t="str">
        <f>IF(Control!$D$5=1,"EBIT Margin","Margem EBIT")</f>
        <v>EBIT Margin</v>
      </c>
      <c r="C44" s="87"/>
      <c r="D44" s="56"/>
      <c r="E44" s="87"/>
      <c r="F44" s="87"/>
      <c r="G44" s="87"/>
      <c r="H44" s="56"/>
      <c r="I44" s="87"/>
      <c r="J44" s="87"/>
      <c r="K44" s="87"/>
      <c r="L44" s="56"/>
      <c r="M44" s="87"/>
      <c r="N44" s="87"/>
      <c r="O44" s="87"/>
      <c r="P44" s="56"/>
      <c r="Q44" s="87"/>
      <c r="R44" s="87"/>
      <c r="S44" s="87"/>
      <c r="T44" s="56"/>
      <c r="U44" s="87"/>
      <c r="V44" s="87"/>
      <c r="W44" s="87"/>
      <c r="X44" s="134">
        <f t="shared" ref="X44:AK44" si="54">IF(ISERROR(X14/X$9),"--  ",X14/X$9)</f>
        <v>0.10633517204029537</v>
      </c>
      <c r="Y44" s="134">
        <f t="shared" si="54"/>
        <v>7.9059284933340815E-2</v>
      </c>
      <c r="Z44" s="134">
        <f t="shared" si="54"/>
        <v>8.7534677270205377E-2</v>
      </c>
      <c r="AA44" s="134">
        <f t="shared" si="54"/>
        <v>7.685238724599365E-2</v>
      </c>
      <c r="AB44" s="134">
        <f t="shared" si="54"/>
        <v>0.10072549223375397</v>
      </c>
      <c r="AC44" s="134">
        <f t="shared" si="54"/>
        <v>8.4144275851409212E-2</v>
      </c>
      <c r="AD44" s="134">
        <f t="shared" si="54"/>
        <v>7.85873934170149E-2</v>
      </c>
      <c r="AE44" s="134">
        <f t="shared" si="54"/>
        <v>6.1819232883195338E-2</v>
      </c>
      <c r="AF44" s="134">
        <f t="shared" si="54"/>
        <v>9.1848463967409019E-2</v>
      </c>
      <c r="AG44" s="134">
        <f t="shared" si="54"/>
        <v>8.1425335880237329E-2</v>
      </c>
      <c r="AH44" s="134">
        <f t="shared" si="54"/>
        <v>7.3753028387333622E-2</v>
      </c>
      <c r="AI44" s="134">
        <f t="shared" si="54"/>
        <v>9.3585227538095173E-2</v>
      </c>
      <c r="AJ44" s="134">
        <f t="shared" si="54"/>
        <v>0.10670622570027943</v>
      </c>
      <c r="AK44" s="134">
        <f t="shared" si="54"/>
        <v>0.12627487285758518</v>
      </c>
      <c r="AL44" s="134">
        <f t="shared" ref="AL44:AQ44" si="55">IF(ISERROR(AL14/AL$9),"--  ",AL14/AL$9)</f>
        <v>0.10111243937962325</v>
      </c>
      <c r="AM44" s="134">
        <f t="shared" si="55"/>
        <v>5.9029907609237618E-2</v>
      </c>
      <c r="AN44" s="134">
        <f t="shared" si="55"/>
        <v>8.9180300400419341E-2</v>
      </c>
      <c r="AO44" s="134">
        <f t="shared" si="55"/>
        <v>7.6302922997207895E-2</v>
      </c>
      <c r="AP44" s="134">
        <f t="shared" si="55"/>
        <v>8.8947365207675697E-2</v>
      </c>
      <c r="AQ44" s="134">
        <f t="shared" si="55"/>
        <v>9.2026915499880749E-2</v>
      </c>
      <c r="AR44" s="134">
        <f t="shared" ref="AR44:BE44" si="56">IF(ISERROR(AR14/AR$9),"--  ",AR14/AR$9)</f>
        <v>4.4688749286122223E-2</v>
      </c>
      <c r="AS44" s="134">
        <f t="shared" si="56"/>
        <v>7.1794231489574284E-2</v>
      </c>
      <c r="AT44" s="134">
        <f t="shared" si="56"/>
        <v>0.10798833819242007</v>
      </c>
      <c r="AU44" s="134">
        <f t="shared" si="56"/>
        <v>6.2474686107735926E-2</v>
      </c>
      <c r="AV44" s="134">
        <f t="shared" si="56"/>
        <v>2.5170372951063353E-2</v>
      </c>
      <c r="AW44" s="134">
        <f t="shared" si="56"/>
        <v>3.5867549310265472E-2</v>
      </c>
      <c r="AX44" s="134">
        <f t="shared" si="56"/>
        <v>6.603944905428441E-2</v>
      </c>
      <c r="AY44" s="134">
        <f t="shared" si="56"/>
        <v>5.8770814567454352E-2</v>
      </c>
      <c r="AZ44" s="134">
        <f t="shared" si="56"/>
        <v>8.4115130312349837E-2</v>
      </c>
      <c r="BA44" s="134">
        <f t="shared" si="56"/>
        <v>8.2341180422972574E-2</v>
      </c>
      <c r="BB44" s="134">
        <f t="shared" si="56"/>
        <v>0.10592448643882119</v>
      </c>
      <c r="BC44" s="134">
        <f t="shared" si="56"/>
        <v>5.6775555361977377E-2</v>
      </c>
      <c r="BD44" s="134">
        <f t="shared" si="56"/>
        <v>5.5149584233301366E-2</v>
      </c>
      <c r="BE44" s="134">
        <f t="shared" si="56"/>
        <v>6.1023277888202367E-2</v>
      </c>
      <c r="BF44" s="134">
        <f t="shared" ref="BF44:BG44" si="57">IF(ISERROR(BF14/BF$9),"--  ",BF14/BF$9)</f>
        <v>6.3479980805005887E-2</v>
      </c>
      <c r="BG44" s="134">
        <f t="shared" si="57"/>
        <v>6.559219796741228E-2</v>
      </c>
      <c r="BH44" s="134">
        <f t="shared" ref="BH44" si="58">IF(ISERROR(BH14/BH$9),"--  ",BH14/BH$9)</f>
        <v>8.3086997786642622E-2</v>
      </c>
      <c r="BI44" s="190"/>
      <c r="BJ44" s="134">
        <f t="shared" ref="BJ44:BQ44" si="59">IF(ISERROR(BJ14/BJ$9),"--  ",BJ14/BJ$9)</f>
        <v>8.7367387130145177E-2</v>
      </c>
      <c r="BK44" s="134">
        <f t="shared" si="59"/>
        <v>8.1261266526802808E-2</v>
      </c>
      <c r="BL44" s="134">
        <f t="shared" si="59"/>
        <v>8.511873431822943E-2</v>
      </c>
      <c r="BM44" s="134">
        <f t="shared" si="59"/>
        <v>9.8252653870170778E-2</v>
      </c>
      <c r="BN44" s="134">
        <f t="shared" si="59"/>
        <v>8.6630245542414608E-2</v>
      </c>
      <c r="BO44" s="134">
        <f t="shared" si="59"/>
        <v>7.2578512342360471E-2</v>
      </c>
      <c r="BP44" s="134">
        <f t="shared" si="59"/>
        <v>4.7364916074736127E-2</v>
      </c>
      <c r="BQ44" s="134">
        <f t="shared" si="59"/>
        <v>8.2594960908799961E-2</v>
      </c>
      <c r="BR44" s="134">
        <f t="shared" ref="BR44" si="60">IF(ISERROR(BR14/BR$9),"--  ",BR14/BR$9)</f>
        <v>6.1208315545252197E-2</v>
      </c>
    </row>
    <row r="45" spans="1:70" s="7" customFormat="1" ht="15" customHeight="1" x14ac:dyDescent="0.35">
      <c r="A45" s="80"/>
      <c r="B45" s="215" t="str">
        <f>IF(Control!$D$5=1,"Net Margin","Margem Líquida")</f>
        <v>Net Margin</v>
      </c>
      <c r="C45" s="191"/>
      <c r="D45" s="215"/>
      <c r="E45" s="191"/>
      <c r="F45" s="191"/>
      <c r="G45" s="191"/>
      <c r="H45" s="215"/>
      <c r="I45" s="191"/>
      <c r="J45" s="191"/>
      <c r="K45" s="191"/>
      <c r="L45" s="215"/>
      <c r="M45" s="191"/>
      <c r="N45" s="191"/>
      <c r="O45" s="191"/>
      <c r="P45" s="215"/>
      <c r="Q45" s="191"/>
      <c r="R45" s="191"/>
      <c r="S45" s="191"/>
      <c r="T45" s="215"/>
      <c r="U45" s="191"/>
      <c r="V45" s="191"/>
      <c r="W45" s="191"/>
      <c r="X45" s="136">
        <f t="shared" ref="X45:AK45" si="61">IF(ISERROR(X21/X$9),"--  ",X21/X$9)</f>
        <v>5.3740343745911599E-2</v>
      </c>
      <c r="Y45" s="136">
        <f t="shared" si="61"/>
        <v>3.2894225212298234E-2</v>
      </c>
      <c r="Z45" s="136">
        <f t="shared" si="61"/>
        <v>3.1260403181061672E-2</v>
      </c>
      <c r="AA45" s="136">
        <f t="shared" si="61"/>
        <v>2.2904816973873556E-2</v>
      </c>
      <c r="AB45" s="136">
        <f t="shared" si="61"/>
        <v>4.1320073558315733E-2</v>
      </c>
      <c r="AC45" s="136">
        <f t="shared" si="61"/>
        <v>3.0614019269411149E-2</v>
      </c>
      <c r="AD45" s="136">
        <f t="shared" si="61"/>
        <v>1.6147206460734781E-2</v>
      </c>
      <c r="AE45" s="136">
        <f t="shared" si="61"/>
        <v>1.3821641074640536E-2</v>
      </c>
      <c r="AF45" s="136">
        <f t="shared" si="61"/>
        <v>3.812329150922681E-2</v>
      </c>
      <c r="AG45" s="136">
        <f t="shared" si="61"/>
        <v>1.8869186240903373E-2</v>
      </c>
      <c r="AH45" s="136">
        <f t="shared" si="61"/>
        <v>2.0029372448333159E-2</v>
      </c>
      <c r="AI45" s="136">
        <f t="shared" si="61"/>
        <v>2.5724476476791484E-2</v>
      </c>
      <c r="AJ45" s="136">
        <f t="shared" si="61"/>
        <v>4.6280091879045825E-2</v>
      </c>
      <c r="AK45" s="136">
        <f t="shared" si="61"/>
        <v>4.3908455417641247E-2</v>
      </c>
      <c r="AL45" s="136">
        <f t="shared" ref="AL45:AQ45" si="62">IF(ISERROR(AL21/AL$9),"--  ",AL21/AL$9)</f>
        <v>5.003001654825362E-2</v>
      </c>
      <c r="AM45" s="136">
        <f t="shared" si="62"/>
        <v>6.1095062941603166E-3</v>
      </c>
      <c r="AN45" s="136">
        <f t="shared" si="62"/>
        <v>4.1588616405162503E-2</v>
      </c>
      <c r="AO45" s="136">
        <f t="shared" si="62"/>
        <v>2.9768994079352872E-2</v>
      </c>
      <c r="AP45" s="136">
        <f t="shared" si="62"/>
        <v>5.9248179059643816E-2</v>
      </c>
      <c r="AQ45" s="136">
        <f t="shared" si="62"/>
        <v>8.1114169229706143E-2</v>
      </c>
      <c r="AR45" s="136">
        <f t="shared" ref="AR45:BE45" si="63">IF(ISERROR(AR21/AR$9),"--  ",AR21/AR$9)</f>
        <v>2.3700742432895491E-2</v>
      </c>
      <c r="AS45" s="136">
        <f t="shared" si="63"/>
        <v>5.3065301535772318E-2</v>
      </c>
      <c r="AT45" s="136">
        <f t="shared" si="63"/>
        <v>0.14379008746355709</v>
      </c>
      <c r="AU45" s="136">
        <f t="shared" si="63"/>
        <v>7.9485621709194001E-2</v>
      </c>
      <c r="AV45" s="136">
        <f t="shared" si="63"/>
        <v>3.2594979733691257E-2</v>
      </c>
      <c r="AW45" s="136">
        <f t="shared" si="63"/>
        <v>2.8596795227587572E-2</v>
      </c>
      <c r="AX45" s="136">
        <f t="shared" si="63"/>
        <v>4.4234507146249664E-2</v>
      </c>
      <c r="AY45" s="136">
        <f t="shared" si="63"/>
        <v>5.5567899675190852E-2</v>
      </c>
      <c r="AZ45" s="136">
        <f t="shared" si="63"/>
        <v>5.6438938860364045E-2</v>
      </c>
      <c r="BA45" s="136">
        <f t="shared" si="63"/>
        <v>7.3108068748877944E-2</v>
      </c>
      <c r="BB45" s="136">
        <f t="shared" si="63"/>
        <v>6.9753017468954584E-2</v>
      </c>
      <c r="BC45" s="136">
        <f t="shared" si="63"/>
        <v>5.5725749952034179E-2</v>
      </c>
      <c r="BD45" s="136">
        <f t="shared" si="63"/>
        <v>4.1680989198103556E-2</v>
      </c>
      <c r="BE45" s="136">
        <f t="shared" si="63"/>
        <v>4.0217307306959736E-2</v>
      </c>
      <c r="BF45" s="136">
        <f t="shared" ref="BF45:BG45" si="64">IF(ISERROR(BF21/BF$9),"--  ",BF21/BF$9)</f>
        <v>4.9900365846880179E-2</v>
      </c>
      <c r="BG45" s="136">
        <f t="shared" si="64"/>
        <v>4.685788829257944E-2</v>
      </c>
      <c r="BH45" s="136">
        <f t="shared" ref="BH45" si="65">IF(ISERROR(BH21/BH$9),"--  ",BH21/BH$9)</f>
        <v>3.2111765646530094E-2</v>
      </c>
      <c r="BI45" s="190"/>
      <c r="BJ45" s="136">
        <f t="shared" ref="BJ45:BQ45" si="66">IF(ISERROR(BJ21/BJ$9),"--  ",BJ21/BJ$9)</f>
        <v>3.5118096336973714E-2</v>
      </c>
      <c r="BK45" s="136">
        <f t="shared" si="66"/>
        <v>2.5431973249497048E-2</v>
      </c>
      <c r="BL45" s="136">
        <f t="shared" si="66"/>
        <v>2.5406299451340309E-2</v>
      </c>
      <c r="BM45" s="136">
        <f t="shared" si="66"/>
        <v>3.6351641191323017E-2</v>
      </c>
      <c r="BN45" s="136">
        <f t="shared" si="66"/>
        <v>5.2140241339977189E-2</v>
      </c>
      <c r="BO45" s="136">
        <f t="shared" si="66"/>
        <v>7.7920797197877908E-2</v>
      </c>
      <c r="BP45" s="136">
        <f t="shared" si="66"/>
        <v>4.1034471571879852E-2</v>
      </c>
      <c r="BQ45" s="136">
        <f t="shared" si="66"/>
        <v>6.4020524398429618E-2</v>
      </c>
      <c r="BR45" s="136">
        <f t="shared" ref="BR45" si="67">IF(ISERROR(BR21/BR$9),"--  ",BR21/BR$9)</f>
        <v>4.4609061886757319E-2</v>
      </c>
    </row>
    <row r="46" spans="1:70" s="7" customFormat="1" ht="14.5" x14ac:dyDescent="0.35">
      <c r="A46" s="80"/>
      <c r="B46" s="56"/>
      <c r="C46" s="87"/>
      <c r="D46" s="56"/>
      <c r="E46" s="87"/>
      <c r="F46" s="87"/>
      <c r="G46" s="87"/>
      <c r="H46" s="56"/>
      <c r="I46" s="87"/>
      <c r="J46" s="87"/>
      <c r="K46" s="87"/>
      <c r="L46" s="56"/>
      <c r="M46" s="87"/>
      <c r="N46" s="87"/>
      <c r="O46" s="87"/>
      <c r="P46" s="56"/>
      <c r="Q46" s="87"/>
      <c r="R46" s="87"/>
      <c r="S46" s="87"/>
      <c r="T46" s="56"/>
      <c r="U46" s="87"/>
      <c r="V46" s="87"/>
      <c r="W46" s="87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0"/>
      <c r="BJ46" s="192"/>
      <c r="BK46" s="192"/>
      <c r="BL46" s="192"/>
      <c r="BM46" s="192"/>
      <c r="BN46" s="192"/>
      <c r="BO46" s="192"/>
      <c r="BP46" s="192"/>
      <c r="BQ46" s="192"/>
      <c r="BR46" s="192"/>
    </row>
    <row r="47" spans="1:70" s="23" customFormat="1" ht="14.5" x14ac:dyDescent="0.35">
      <c r="A47" s="80"/>
      <c r="B47" s="30" t="str">
        <f>IF(Control!$D$5=1,"Food Products International","Alimentício Internacional")</f>
        <v>Food Products International</v>
      </c>
      <c r="C47" s="106"/>
      <c r="D47" s="106"/>
      <c r="E47" s="106"/>
      <c r="F47" s="106"/>
      <c r="G47" s="106"/>
      <c r="H47" s="106"/>
      <c r="I47" s="106"/>
      <c r="J47" s="107"/>
      <c r="K47" s="106"/>
      <c r="L47" s="106"/>
      <c r="M47" s="106"/>
      <c r="N47" s="107"/>
      <c r="O47" s="106"/>
      <c r="P47" s="106"/>
      <c r="Q47" s="106"/>
      <c r="R47" s="107"/>
      <c r="S47" s="106"/>
      <c r="T47" s="106"/>
      <c r="U47" s="106"/>
      <c r="V47" s="107"/>
      <c r="W47" s="106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90"/>
      <c r="BJ47" s="74"/>
      <c r="BK47" s="74"/>
      <c r="BL47" s="74"/>
      <c r="BM47" s="74"/>
      <c r="BN47" s="74"/>
      <c r="BO47" s="74"/>
      <c r="BP47" s="74"/>
      <c r="BQ47" s="74"/>
      <c r="BR47" s="74"/>
    </row>
    <row r="48" spans="1:70" s="23" customFormat="1" ht="14.5" x14ac:dyDescent="0.35">
      <c r="A48" s="80"/>
      <c r="B48" s="30" t="str">
        <f>IF(Control!$D$4=1,"In "&amp;TEXT(Control!$D$8,0)&amp;" "&amp;TEXT(Control!$D$9,0)&amp;", except where noted","Em "&amp;TEXT(Control!$D$8,0)&amp;" "&amp;TEXT(Control!$D$7,0)&amp;", exceto se especificado")</f>
        <v>Em millions R$, exceto se especificado</v>
      </c>
      <c r="C48" s="106"/>
      <c r="D48" s="106"/>
      <c r="E48" s="106"/>
      <c r="F48" s="106"/>
      <c r="G48" s="106"/>
      <c r="H48" s="106"/>
      <c r="I48" s="106"/>
      <c r="J48" s="107"/>
      <c r="K48" s="106"/>
      <c r="L48" s="106"/>
      <c r="M48" s="106"/>
      <c r="N48" s="107"/>
      <c r="O48" s="106"/>
      <c r="P48" s="106"/>
      <c r="Q48" s="106"/>
      <c r="R48" s="107"/>
      <c r="S48" s="106"/>
      <c r="T48" s="106"/>
      <c r="U48" s="106"/>
      <c r="V48" s="107"/>
      <c r="W48" s="106"/>
      <c r="X48" s="74" t="str">
        <f>X6</f>
        <v>1Q13</v>
      </c>
      <c r="Y48" s="111" t="str">
        <f t="shared" ref="Y48:AN48" si="68">Y6</f>
        <v>2Q13</v>
      </c>
      <c r="Z48" s="111" t="str">
        <f t="shared" si="68"/>
        <v>3Q13</v>
      </c>
      <c r="AA48" s="111" t="str">
        <f t="shared" si="68"/>
        <v>4Q13</v>
      </c>
      <c r="AB48" s="74" t="str">
        <f t="shared" si="68"/>
        <v>1Q14</v>
      </c>
      <c r="AC48" s="74" t="str">
        <f t="shared" si="68"/>
        <v>2Q14</v>
      </c>
      <c r="AD48" s="74" t="str">
        <f t="shared" si="68"/>
        <v>3Q14</v>
      </c>
      <c r="AE48" s="74" t="str">
        <f t="shared" si="68"/>
        <v>4Q14</v>
      </c>
      <c r="AF48" s="111" t="str">
        <f t="shared" si="68"/>
        <v>1Q15</v>
      </c>
      <c r="AG48" s="111" t="str">
        <f t="shared" si="68"/>
        <v>2Q15</v>
      </c>
      <c r="AH48" s="111" t="str">
        <f t="shared" si="68"/>
        <v>3Q15</v>
      </c>
      <c r="AI48" s="111" t="str">
        <f t="shared" si="68"/>
        <v>4Q15</v>
      </c>
      <c r="AJ48" s="111" t="str">
        <f t="shared" si="68"/>
        <v>1Q16</v>
      </c>
      <c r="AK48" s="111" t="str">
        <f t="shared" si="68"/>
        <v>2Q16</v>
      </c>
      <c r="AL48" s="111" t="str">
        <f t="shared" si="68"/>
        <v>3Q16</v>
      </c>
      <c r="AM48" s="111" t="str">
        <f t="shared" si="68"/>
        <v>4Q16</v>
      </c>
      <c r="AN48" s="111" t="str">
        <f t="shared" si="68"/>
        <v>1Q17</v>
      </c>
      <c r="AO48" s="111" t="str">
        <f t="shared" ref="AO48:AS49" si="69">AO6</f>
        <v>2Q17</v>
      </c>
      <c r="AP48" s="111" t="str">
        <f t="shared" si="69"/>
        <v>3Q17</v>
      </c>
      <c r="AQ48" s="111" t="str">
        <f t="shared" si="69"/>
        <v>4Q17</v>
      </c>
      <c r="AR48" s="111" t="str">
        <f t="shared" si="69"/>
        <v>1Q18</v>
      </c>
      <c r="AS48" s="111" t="str">
        <f t="shared" si="69"/>
        <v>2Q18</v>
      </c>
      <c r="AT48" s="111" t="str">
        <f t="shared" ref="AT48:AW49" si="70">AT6</f>
        <v>3Q18</v>
      </c>
      <c r="AU48" s="111" t="str">
        <f t="shared" si="70"/>
        <v>4Q18</v>
      </c>
      <c r="AV48" s="111" t="str">
        <f t="shared" si="70"/>
        <v>1Q19</v>
      </c>
      <c r="AW48" s="111" t="str">
        <f t="shared" si="70"/>
        <v>2Q19</v>
      </c>
      <c r="AX48" s="111" t="str">
        <f t="shared" ref="AX48:BB49" si="71">AX6</f>
        <v>3Q19</v>
      </c>
      <c r="AY48" s="111" t="str">
        <f t="shared" si="71"/>
        <v>4Q19</v>
      </c>
      <c r="AZ48" s="111" t="str">
        <f t="shared" si="71"/>
        <v>1Q20</v>
      </c>
      <c r="BA48" s="111" t="str">
        <f t="shared" si="71"/>
        <v>2Q20</v>
      </c>
      <c r="BB48" s="111" t="str">
        <f t="shared" si="71"/>
        <v>3Q20</v>
      </c>
      <c r="BC48" s="111" t="str">
        <f>IF(Control!$D$5=1,"4Q20","4T20")</f>
        <v>4Q20</v>
      </c>
      <c r="BD48" s="111" t="str">
        <f>IF(Control!$D$5=1,"1Q21","1T21")</f>
        <v>1Q21</v>
      </c>
      <c r="BE48" s="111" t="str">
        <f>IF(Control!$D$5=1,"2Q21","2T21")</f>
        <v>2Q21</v>
      </c>
      <c r="BF48" s="111" t="str">
        <f>IF(Control!$D$5=1,"3Q21","3T21")</f>
        <v>3Q21</v>
      </c>
      <c r="BG48" s="111" t="str">
        <f>IF(Control!$D$5=1,"4Q21","4T21")</f>
        <v>4Q21</v>
      </c>
      <c r="BH48" s="111" t="str">
        <f>IF(Control!$D$5=1,"1Q22","1T22")</f>
        <v>1Q22</v>
      </c>
      <c r="BI48" s="190"/>
      <c r="BJ48" s="111" t="str">
        <f t="shared" ref="BJ48:BP48" si="72">BJ6</f>
        <v>12M13</v>
      </c>
      <c r="BK48" s="111" t="str">
        <f t="shared" si="72"/>
        <v>12M14</v>
      </c>
      <c r="BL48" s="111" t="str">
        <f t="shared" si="72"/>
        <v>12M15</v>
      </c>
      <c r="BM48" s="111" t="str">
        <f t="shared" si="72"/>
        <v>12M16</v>
      </c>
      <c r="BN48" s="111" t="str">
        <f t="shared" si="72"/>
        <v>12M17</v>
      </c>
      <c r="BO48" s="111" t="str">
        <f t="shared" si="72"/>
        <v>12M18</v>
      </c>
      <c r="BP48" s="111" t="str">
        <f t="shared" si="72"/>
        <v>12M19</v>
      </c>
      <c r="BQ48" s="111" t="s">
        <v>17</v>
      </c>
      <c r="BR48" s="111" t="s">
        <v>20</v>
      </c>
    </row>
    <row r="49" spans="1:70" s="79" customFormat="1" ht="14.5" x14ac:dyDescent="0.35">
      <c r="A49" s="7"/>
      <c r="B49" s="30" t="str">
        <f>IF(Control!$D$5=1,"Closing Date","Data Fechamento")</f>
        <v>Closing Date</v>
      </c>
      <c r="C49" s="67">
        <v>39506</v>
      </c>
      <c r="D49" s="67">
        <v>39599</v>
      </c>
      <c r="E49" s="31">
        <v>39691</v>
      </c>
      <c r="F49" s="31">
        <v>39782</v>
      </c>
      <c r="G49" s="67">
        <v>39872</v>
      </c>
      <c r="H49" s="67">
        <v>39964</v>
      </c>
      <c r="I49" s="31">
        <v>40056</v>
      </c>
      <c r="J49" s="31">
        <v>40147</v>
      </c>
      <c r="K49" s="67">
        <v>40237</v>
      </c>
      <c r="L49" s="67">
        <v>40329</v>
      </c>
      <c r="M49" s="31">
        <v>40421</v>
      </c>
      <c r="N49" s="31">
        <v>40512</v>
      </c>
      <c r="O49" s="67">
        <v>40602</v>
      </c>
      <c r="P49" s="67">
        <v>40694</v>
      </c>
      <c r="Q49" s="31">
        <v>40786</v>
      </c>
      <c r="R49" s="31">
        <v>40877</v>
      </c>
      <c r="S49" s="67">
        <v>40967</v>
      </c>
      <c r="T49" s="67">
        <v>41060</v>
      </c>
      <c r="U49" s="31">
        <v>41152</v>
      </c>
      <c r="V49" s="31">
        <v>41243</v>
      </c>
      <c r="W49" s="74">
        <v>41333</v>
      </c>
      <c r="X49" s="74">
        <f t="shared" ref="X49:AN49" si="73">X7</f>
        <v>41425</v>
      </c>
      <c r="Y49" s="74">
        <f t="shared" si="73"/>
        <v>41517</v>
      </c>
      <c r="Z49" s="74">
        <f t="shared" si="73"/>
        <v>41608</v>
      </c>
      <c r="AA49" s="74">
        <f t="shared" si="73"/>
        <v>41698</v>
      </c>
      <c r="AB49" s="74">
        <f t="shared" si="73"/>
        <v>41790</v>
      </c>
      <c r="AC49" s="74">
        <f t="shared" si="73"/>
        <v>41882</v>
      </c>
      <c r="AD49" s="74">
        <f t="shared" si="73"/>
        <v>41973</v>
      </c>
      <c r="AE49" s="74">
        <f t="shared" si="73"/>
        <v>42063</v>
      </c>
      <c r="AF49" s="74">
        <f t="shared" si="73"/>
        <v>42155</v>
      </c>
      <c r="AG49" s="74">
        <f t="shared" si="73"/>
        <v>42247</v>
      </c>
      <c r="AH49" s="74">
        <f t="shared" si="73"/>
        <v>42338</v>
      </c>
      <c r="AI49" s="74">
        <f t="shared" si="73"/>
        <v>42429</v>
      </c>
      <c r="AJ49" s="74">
        <f t="shared" si="73"/>
        <v>42521</v>
      </c>
      <c r="AK49" s="74">
        <f t="shared" si="73"/>
        <v>42613</v>
      </c>
      <c r="AL49" s="74">
        <f t="shared" si="73"/>
        <v>42704</v>
      </c>
      <c r="AM49" s="74">
        <f t="shared" si="73"/>
        <v>42794</v>
      </c>
      <c r="AN49" s="74">
        <f t="shared" si="73"/>
        <v>42886</v>
      </c>
      <c r="AO49" s="74">
        <f t="shared" si="69"/>
        <v>42978</v>
      </c>
      <c r="AP49" s="74">
        <f t="shared" si="69"/>
        <v>43069</v>
      </c>
      <c r="AQ49" s="74">
        <f t="shared" si="69"/>
        <v>43159</v>
      </c>
      <c r="AR49" s="74">
        <f t="shared" si="69"/>
        <v>43251</v>
      </c>
      <c r="AS49" s="74">
        <f t="shared" si="69"/>
        <v>43343</v>
      </c>
      <c r="AT49" s="74">
        <f>AT7</f>
        <v>43434</v>
      </c>
      <c r="AU49" s="111">
        <f t="shared" si="70"/>
        <v>43524</v>
      </c>
      <c r="AV49" s="111">
        <f t="shared" si="70"/>
        <v>43616</v>
      </c>
      <c r="AW49" s="111">
        <f t="shared" si="70"/>
        <v>43708</v>
      </c>
      <c r="AX49" s="111">
        <f t="shared" si="71"/>
        <v>43799</v>
      </c>
      <c r="AY49" s="111">
        <f t="shared" si="71"/>
        <v>43890</v>
      </c>
      <c r="AZ49" s="111">
        <f t="shared" si="71"/>
        <v>43982</v>
      </c>
      <c r="BA49" s="111">
        <f t="shared" si="71"/>
        <v>44074</v>
      </c>
      <c r="BB49" s="111">
        <f t="shared" si="71"/>
        <v>44165</v>
      </c>
      <c r="BC49" s="111">
        <v>44255</v>
      </c>
      <c r="BD49" s="74">
        <v>44347</v>
      </c>
      <c r="BE49" s="74">
        <v>44439</v>
      </c>
      <c r="BF49" s="74">
        <v>44530</v>
      </c>
      <c r="BG49" s="74">
        <v>44620</v>
      </c>
      <c r="BH49" s="74">
        <v>44712</v>
      </c>
      <c r="BI49" s="190"/>
      <c r="BJ49" s="111">
        <f t="shared" ref="BJ49:BP49" si="74">BJ7</f>
        <v>41698</v>
      </c>
      <c r="BK49" s="111">
        <f t="shared" si="74"/>
        <v>42063</v>
      </c>
      <c r="BL49" s="111">
        <f t="shared" si="74"/>
        <v>42429</v>
      </c>
      <c r="BM49" s="111">
        <f t="shared" si="74"/>
        <v>42794</v>
      </c>
      <c r="BN49" s="111">
        <f t="shared" si="74"/>
        <v>43159</v>
      </c>
      <c r="BO49" s="111">
        <f t="shared" si="74"/>
        <v>43524</v>
      </c>
      <c r="BP49" s="111">
        <f t="shared" si="74"/>
        <v>43890</v>
      </c>
      <c r="BQ49" s="74">
        <v>44255</v>
      </c>
      <c r="BR49" s="74">
        <v>44620</v>
      </c>
    </row>
    <row r="50" spans="1:70" s="7" customFormat="1" ht="5.25" customHeight="1" x14ac:dyDescent="0.35">
      <c r="A50" s="80"/>
      <c r="B50" s="56"/>
      <c r="C50" s="87"/>
      <c r="D50" s="56"/>
      <c r="E50" s="87"/>
      <c r="F50" s="87"/>
      <c r="G50" s="87"/>
      <c r="H50" s="56"/>
      <c r="I50" s="87"/>
      <c r="J50" s="87"/>
      <c r="K50" s="87"/>
      <c r="L50" s="56"/>
      <c r="M50" s="87"/>
      <c r="N50" s="87"/>
      <c r="O50" s="87"/>
      <c r="P50" s="56"/>
      <c r="Q50" s="87"/>
      <c r="R50" s="87"/>
      <c r="S50" s="87"/>
      <c r="T50" s="56"/>
      <c r="U50" s="87"/>
      <c r="V50" s="87"/>
      <c r="W50" s="87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190"/>
      <c r="BJ50" s="123"/>
      <c r="BK50" s="123"/>
      <c r="BL50" s="86"/>
      <c r="BM50" s="86"/>
      <c r="BN50" s="86"/>
      <c r="BO50" s="86"/>
      <c r="BP50" s="86"/>
      <c r="BQ50" s="86"/>
      <c r="BR50" s="86"/>
    </row>
    <row r="51" spans="1:70" s="7" customFormat="1" ht="14.5" x14ac:dyDescent="0.35">
      <c r="A51" s="250"/>
      <c r="B51" s="96" t="str">
        <f>IF(Control!$D$5=1,"Net Revenues","Receita Líquida")</f>
        <v>Net Revenues</v>
      </c>
      <c r="C51" s="92" t="s">
        <v>3</v>
      </c>
      <c r="D51" s="92" t="s">
        <v>3</v>
      </c>
      <c r="E51" s="92" t="s">
        <v>3</v>
      </c>
      <c r="F51" s="92" t="s">
        <v>3</v>
      </c>
      <c r="G51" s="92" t="s">
        <v>3</v>
      </c>
      <c r="H51" s="92" t="s">
        <v>3</v>
      </c>
      <c r="I51" s="92" t="s">
        <v>3</v>
      </c>
      <c r="J51" s="92" t="s">
        <v>3</v>
      </c>
      <c r="K51" s="92" t="s">
        <v>3</v>
      </c>
      <c r="L51" s="92" t="s">
        <v>3</v>
      </c>
      <c r="M51" s="92" t="s">
        <v>3</v>
      </c>
      <c r="N51" s="92" t="s">
        <v>3</v>
      </c>
      <c r="O51" s="92" t="s">
        <v>3</v>
      </c>
      <c r="P51" s="92" t="s">
        <v>3</v>
      </c>
      <c r="Q51" s="92" t="s">
        <v>3</v>
      </c>
      <c r="R51" s="92" t="s">
        <v>3</v>
      </c>
      <c r="S51" s="92" t="s">
        <v>3</v>
      </c>
      <c r="T51" s="92" t="s">
        <v>3</v>
      </c>
      <c r="U51" s="92" t="s">
        <v>3</v>
      </c>
      <c r="V51" s="92" t="s">
        <v>3</v>
      </c>
      <c r="W51" s="92" t="s">
        <v>3</v>
      </c>
      <c r="X51" s="124">
        <v>195.74</v>
      </c>
      <c r="Y51" s="124">
        <v>237.03199999999998</v>
      </c>
      <c r="Z51" s="124">
        <v>265.60999999999996</v>
      </c>
      <c r="AA51" s="124">
        <v>243.26000000000016</v>
      </c>
      <c r="AB51" s="124">
        <v>261.19200000000001</v>
      </c>
      <c r="AC51" s="124">
        <v>274.255</v>
      </c>
      <c r="AD51" s="124">
        <v>282.83500000000004</v>
      </c>
      <c r="AE51" s="124">
        <v>256.87599999999986</v>
      </c>
      <c r="AF51" s="124">
        <v>301.43700000000001</v>
      </c>
      <c r="AG51" s="124">
        <v>336.58100000000002</v>
      </c>
      <c r="AH51" s="124">
        <v>370.29199999999992</v>
      </c>
      <c r="AI51" s="124">
        <v>285.30400000000009</v>
      </c>
      <c r="AJ51" s="124">
        <v>331.68099999999998</v>
      </c>
      <c r="AK51" s="124">
        <v>294.44400000000002</v>
      </c>
      <c r="AL51" s="124">
        <v>318.32700000000006</v>
      </c>
      <c r="AM51" s="124">
        <v>320.0080000000001</v>
      </c>
      <c r="AN51" s="124">
        <v>294.53500000000003</v>
      </c>
      <c r="AO51" s="93">
        <v>347.44699999999995</v>
      </c>
      <c r="AP51" s="124">
        <v>340.21800000000007</v>
      </c>
      <c r="AQ51" s="124">
        <v>349.29999999999995</v>
      </c>
      <c r="AR51" s="124">
        <v>304</v>
      </c>
      <c r="AS51" s="124">
        <v>344.70000000000005</v>
      </c>
      <c r="AT51" s="124">
        <v>409.29999999999995</v>
      </c>
      <c r="AU51" s="124">
        <v>344.4</v>
      </c>
      <c r="AV51" s="124">
        <v>295.60000000000002</v>
      </c>
      <c r="AW51" s="124">
        <v>337.12700000000001</v>
      </c>
      <c r="AX51" s="124">
        <v>441.30499999999984</v>
      </c>
      <c r="AY51" s="124">
        <v>407.28399999999999</v>
      </c>
      <c r="AZ51" s="124">
        <v>518.73699999999997</v>
      </c>
      <c r="BA51" s="124">
        <v>570.15700000000004</v>
      </c>
      <c r="BB51" s="124">
        <v>552.46199999999999</v>
      </c>
      <c r="BC51" s="124">
        <v>470.22</v>
      </c>
      <c r="BD51" s="124">
        <v>502.93599999999998</v>
      </c>
      <c r="BE51" s="124">
        <v>548.70600000000002</v>
      </c>
      <c r="BF51" s="124">
        <v>610.49159322874129</v>
      </c>
      <c r="BG51" s="124">
        <v>633.76673705981955</v>
      </c>
      <c r="BH51" s="124">
        <v>529.32600000000002</v>
      </c>
      <c r="BI51" s="190"/>
      <c r="BJ51" s="124">
        <v>941.64200000000005</v>
      </c>
      <c r="BK51" s="124">
        <v>1075.1579999999999</v>
      </c>
      <c r="BL51" s="124">
        <v>1293.614</v>
      </c>
      <c r="BM51" s="124">
        <v>1264.5</v>
      </c>
      <c r="BN51" s="124">
        <v>1331.5</v>
      </c>
      <c r="BO51" s="124">
        <v>1402.5039999999999</v>
      </c>
      <c r="BP51" s="124">
        <v>1481.3159999999998</v>
      </c>
      <c r="BQ51" s="124">
        <v>2111.5770000000002</v>
      </c>
      <c r="BR51" s="124">
        <v>2295.9003302885608</v>
      </c>
    </row>
    <row r="52" spans="1:70" s="7" customFormat="1" ht="14.5" x14ac:dyDescent="0.35">
      <c r="B52" s="126" t="str">
        <f>IF(Control!$D$5=1,"(-) Cost of Sales and Services","(-) Custo das Vendas e Serviços")</f>
        <v>(-) Cost of Sales and Services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76">
        <f t="shared" ref="X52:AP52" si="75">X53-X51</f>
        <v>-139.857</v>
      </c>
      <c r="Y52" s="76">
        <f t="shared" si="75"/>
        <v>-178.226</v>
      </c>
      <c r="Z52" s="76">
        <f t="shared" si="75"/>
        <v>-217.42999999999995</v>
      </c>
      <c r="AA52" s="76">
        <f t="shared" si="75"/>
        <v>-183.10200000000017</v>
      </c>
      <c r="AB52" s="76">
        <f t="shared" si="75"/>
        <v>-203.34300000000002</v>
      </c>
      <c r="AC52" s="76">
        <f t="shared" si="75"/>
        <v>-212.38299999999998</v>
      </c>
      <c r="AD52" s="76">
        <f t="shared" si="75"/>
        <v>-222.96400000000003</v>
      </c>
      <c r="AE52" s="76">
        <f t="shared" si="75"/>
        <v>-199.50699999999986</v>
      </c>
      <c r="AF52" s="76">
        <f t="shared" si="75"/>
        <v>-232.685</v>
      </c>
      <c r="AG52" s="76">
        <f t="shared" si="75"/>
        <v>-254.464</v>
      </c>
      <c r="AH52" s="76">
        <f t="shared" si="75"/>
        <v>-282.71099999999996</v>
      </c>
      <c r="AI52" s="76">
        <f t="shared" si="75"/>
        <v>-217.67800000000005</v>
      </c>
      <c r="AJ52" s="76">
        <f t="shared" si="75"/>
        <v>-256.70499999999998</v>
      </c>
      <c r="AK52" s="76">
        <f t="shared" si="75"/>
        <v>-206.97900000000001</v>
      </c>
      <c r="AL52" s="76">
        <f t="shared" si="75"/>
        <v>-237.38700000000006</v>
      </c>
      <c r="AM52" s="76">
        <f t="shared" si="75"/>
        <v>-235.34400000000008</v>
      </c>
      <c r="AN52" s="76">
        <f t="shared" si="75"/>
        <v>-220.08200000000002</v>
      </c>
      <c r="AO52" s="94">
        <f t="shared" si="75"/>
        <v>-257.02699999999993</v>
      </c>
      <c r="AP52" s="76">
        <f t="shared" si="75"/>
        <v>-246.89600000000007</v>
      </c>
      <c r="AQ52" s="76">
        <v>-256.19499999999994</v>
      </c>
      <c r="AR52" s="76">
        <v>-218.2</v>
      </c>
      <c r="AS52" s="76">
        <v>-240.8</v>
      </c>
      <c r="AT52" s="76">
        <v>-298.89999999999998</v>
      </c>
      <c r="AU52" s="76">
        <v>-247.9</v>
      </c>
      <c r="AV52" s="76">
        <v>-211</v>
      </c>
      <c r="AW52" s="76">
        <v>-246.89</v>
      </c>
      <c r="AX52" s="76">
        <v>-329.82399999999996</v>
      </c>
      <c r="AY52" s="76">
        <v>-302.87099999999998</v>
      </c>
      <c r="AZ52" s="76">
        <v>-371.28300000000002</v>
      </c>
      <c r="BA52" s="76">
        <v>-412.47699999999998</v>
      </c>
      <c r="BB52" s="76">
        <v>-408.447</v>
      </c>
      <c r="BC52" s="76">
        <v>-356.29261650784781</v>
      </c>
      <c r="BD52" s="76">
        <v>-371.07900000000001</v>
      </c>
      <c r="BE52" s="76">
        <v>-415.93777963906115</v>
      </c>
      <c r="BF52" s="76">
        <v>-453.85271355748722</v>
      </c>
      <c r="BG52" s="76">
        <v>-469.1256046216921</v>
      </c>
      <c r="BH52" s="76">
        <v>-386.67700000000002</v>
      </c>
      <c r="BI52" s="189"/>
      <c r="BJ52" s="76">
        <f>BJ53-BJ51</f>
        <v>-718.61500000000001</v>
      </c>
      <c r="BK52" s="76">
        <f>BK53-BK51</f>
        <v>-838.19699999999989</v>
      </c>
      <c r="BL52" s="76">
        <f>BL53-BL51</f>
        <v>-987.53800000000001</v>
      </c>
      <c r="BM52" s="76">
        <v>-936.4</v>
      </c>
      <c r="BN52" s="76">
        <v>-980.2</v>
      </c>
      <c r="BO52" s="76">
        <v>-1005.747</v>
      </c>
      <c r="BP52" s="76">
        <v>-1090.585</v>
      </c>
      <c r="BQ52" s="76">
        <v>-1548.5</v>
      </c>
      <c r="BR52" s="76">
        <v>-1709.9950978182405</v>
      </c>
    </row>
    <row r="53" spans="1:70" s="7" customFormat="1" ht="14.5" x14ac:dyDescent="0.35">
      <c r="B53" s="96" t="str">
        <f>IF(Control!$D$5=1,"Gross Profit","Lucro Bruto")</f>
        <v>Gross Profit</v>
      </c>
      <c r="C53" s="92" t="s">
        <v>3</v>
      </c>
      <c r="D53" s="92" t="s">
        <v>3</v>
      </c>
      <c r="E53" s="92" t="s">
        <v>3</v>
      </c>
      <c r="F53" s="92" t="s">
        <v>3</v>
      </c>
      <c r="G53" s="92" t="s">
        <v>3</v>
      </c>
      <c r="H53" s="92" t="s">
        <v>3</v>
      </c>
      <c r="I53" s="92" t="s">
        <v>3</v>
      </c>
      <c r="J53" s="92" t="s">
        <v>3</v>
      </c>
      <c r="K53" s="92" t="s">
        <v>3</v>
      </c>
      <c r="L53" s="92" t="s">
        <v>3</v>
      </c>
      <c r="M53" s="92" t="s">
        <v>3</v>
      </c>
      <c r="N53" s="92" t="s">
        <v>3</v>
      </c>
      <c r="O53" s="92" t="s">
        <v>3</v>
      </c>
      <c r="P53" s="92" t="s">
        <v>3</v>
      </c>
      <c r="Q53" s="92" t="s">
        <v>3</v>
      </c>
      <c r="R53" s="92" t="s">
        <v>3</v>
      </c>
      <c r="S53" s="92" t="s">
        <v>3</v>
      </c>
      <c r="T53" s="92" t="s">
        <v>3</v>
      </c>
      <c r="U53" s="92" t="s">
        <v>3</v>
      </c>
      <c r="V53" s="92" t="s">
        <v>3</v>
      </c>
      <c r="W53" s="92" t="s">
        <v>3</v>
      </c>
      <c r="X53" s="124">
        <v>55.883000000000003</v>
      </c>
      <c r="Y53" s="124">
        <v>58.80599999999999</v>
      </c>
      <c r="Z53" s="124">
        <v>48.180000000000014</v>
      </c>
      <c r="AA53" s="124">
        <v>60.157999999999994</v>
      </c>
      <c r="AB53" s="124">
        <v>57.848999999999997</v>
      </c>
      <c r="AC53" s="124">
        <v>61.872000000000007</v>
      </c>
      <c r="AD53" s="124">
        <v>59.871000000000002</v>
      </c>
      <c r="AE53" s="124">
        <v>57.368999999999993</v>
      </c>
      <c r="AF53" s="124">
        <v>68.751999999999995</v>
      </c>
      <c r="AG53" s="124">
        <v>82.117000000000004</v>
      </c>
      <c r="AH53" s="124">
        <v>87.580999999999975</v>
      </c>
      <c r="AI53" s="124">
        <v>67.626000000000047</v>
      </c>
      <c r="AJ53" s="124">
        <v>74.975999999999999</v>
      </c>
      <c r="AK53" s="124">
        <v>87.465000000000003</v>
      </c>
      <c r="AL53" s="124">
        <v>80.94</v>
      </c>
      <c r="AM53" s="124">
        <v>84.664000000000016</v>
      </c>
      <c r="AN53" s="124">
        <v>74.453000000000003</v>
      </c>
      <c r="AO53" s="93">
        <v>90.419999999999987</v>
      </c>
      <c r="AP53" s="124">
        <v>93.322000000000003</v>
      </c>
      <c r="AQ53" s="124">
        <f>AQ51+AQ52</f>
        <v>93.105000000000018</v>
      </c>
      <c r="AR53" s="124">
        <f>SUM(AR51:AR52)</f>
        <v>85.800000000000011</v>
      </c>
      <c r="AS53" s="124">
        <f>SUM(AS51:AS52)</f>
        <v>103.90000000000003</v>
      </c>
      <c r="AT53" s="124">
        <v>110.39999999999998</v>
      </c>
      <c r="AU53" s="124">
        <v>96.5</v>
      </c>
      <c r="AV53" s="124">
        <v>84.600000000000023</v>
      </c>
      <c r="AW53" s="124">
        <v>90.237000000000023</v>
      </c>
      <c r="AX53" s="124">
        <v>111.48099999999988</v>
      </c>
      <c r="AY53" s="124">
        <v>104.41300000000001</v>
      </c>
      <c r="AZ53" s="124">
        <v>147.45399999999995</v>
      </c>
      <c r="BA53" s="124">
        <v>157.68000000000006</v>
      </c>
      <c r="BB53" s="124">
        <v>144.01499999999999</v>
      </c>
      <c r="BC53" s="124">
        <v>113.92738349215222</v>
      </c>
      <c r="BD53" s="124">
        <v>131.85699999999997</v>
      </c>
      <c r="BE53" s="124">
        <v>132.76822036093887</v>
      </c>
      <c r="BF53" s="124">
        <v>156.63887987308163</v>
      </c>
      <c r="BG53" s="124">
        <v>164.64113243812744</v>
      </c>
      <c r="BH53" s="124">
        <v>142.649</v>
      </c>
      <c r="BI53" s="190"/>
      <c r="BJ53" s="124">
        <v>223.02699999999999</v>
      </c>
      <c r="BK53" s="124">
        <v>236.96100000000001</v>
      </c>
      <c r="BL53" s="124">
        <v>306.07600000000002</v>
      </c>
      <c r="BM53" s="124">
        <v>328.1</v>
      </c>
      <c r="BN53" s="124">
        <v>351.29999999999995</v>
      </c>
      <c r="BO53" s="124">
        <v>396.75700000000001</v>
      </c>
      <c r="BP53" s="124">
        <v>390.73099999999994</v>
      </c>
      <c r="BQ53" s="124">
        <v>563.07700000000023</v>
      </c>
      <c r="BR53" s="124">
        <v>585.90523267214792</v>
      </c>
    </row>
    <row r="54" spans="1:70" s="7" customFormat="1" ht="14.5" x14ac:dyDescent="0.35">
      <c r="B54" s="126" t="str">
        <f>IF(Control!$D$5=1,"(-) SG&amp;A Expenses","(-) Despesas com Vendas, Gerais e Administrativas")</f>
        <v>(-) SG&amp;A Expenses</v>
      </c>
      <c r="C54" s="92" t="s">
        <v>3</v>
      </c>
      <c r="D54" s="92" t="s">
        <v>3</v>
      </c>
      <c r="E54" s="92" t="s">
        <v>3</v>
      </c>
      <c r="F54" s="92" t="s">
        <v>3</v>
      </c>
      <c r="G54" s="92" t="s">
        <v>3</v>
      </c>
      <c r="H54" s="92" t="s">
        <v>3</v>
      </c>
      <c r="I54" s="92" t="s">
        <v>3</v>
      </c>
      <c r="J54" s="92" t="s">
        <v>3</v>
      </c>
      <c r="K54" s="92" t="s">
        <v>3</v>
      </c>
      <c r="L54" s="92" t="s">
        <v>3</v>
      </c>
      <c r="M54" s="92" t="s">
        <v>3</v>
      </c>
      <c r="N54" s="92" t="s">
        <v>3</v>
      </c>
      <c r="O54" s="92" t="s">
        <v>3</v>
      </c>
      <c r="P54" s="92" t="s">
        <v>3</v>
      </c>
      <c r="Q54" s="92" t="s">
        <v>3</v>
      </c>
      <c r="R54" s="92" t="s">
        <v>3</v>
      </c>
      <c r="S54" s="92" t="s">
        <v>3</v>
      </c>
      <c r="T54" s="92" t="s">
        <v>3</v>
      </c>
      <c r="U54" s="92" t="s">
        <v>3</v>
      </c>
      <c r="V54" s="92" t="s">
        <v>3</v>
      </c>
      <c r="W54" s="92" t="s">
        <v>3</v>
      </c>
      <c r="X54" s="76">
        <v>-36.408000000000001</v>
      </c>
      <c r="Y54" s="76">
        <v>-50.981999999999999</v>
      </c>
      <c r="Z54" s="76">
        <v>-41.614999999999995</v>
      </c>
      <c r="AA54" s="76">
        <v>-40.677999999999983</v>
      </c>
      <c r="AB54" s="76">
        <v>-41.448</v>
      </c>
      <c r="AC54" s="76">
        <v>-44.198</v>
      </c>
      <c r="AD54" s="76">
        <v>-42.856000000000002</v>
      </c>
      <c r="AE54" s="76">
        <v>-44.434000000000005</v>
      </c>
      <c r="AF54" s="76">
        <v>-48.314999999999998</v>
      </c>
      <c r="AG54" s="76">
        <v>-52.356000000000009</v>
      </c>
      <c r="AH54" s="76">
        <v>-59.14</v>
      </c>
      <c r="AI54" s="76">
        <v>-53.472999999999999</v>
      </c>
      <c r="AJ54" s="76">
        <v>-56.871000000000002</v>
      </c>
      <c r="AK54" s="76">
        <v>-56.112999999999992</v>
      </c>
      <c r="AL54" s="76">
        <v>-63.085999999999991</v>
      </c>
      <c r="AM54" s="76">
        <v>-62.81600000000001</v>
      </c>
      <c r="AN54" s="76">
        <v>-54.177999999999997</v>
      </c>
      <c r="AO54" s="94">
        <v>-60.868000000000009</v>
      </c>
      <c r="AP54" s="76">
        <v>-60.112999999999985</v>
      </c>
      <c r="AQ54" s="76">
        <v>-67.540999999999997</v>
      </c>
      <c r="AR54" s="76">
        <v>-57.9</v>
      </c>
      <c r="AS54" s="76">
        <v>-69</v>
      </c>
      <c r="AT54" s="76">
        <v>-74.900000000000006</v>
      </c>
      <c r="AU54" s="76">
        <v>-72.2</v>
      </c>
      <c r="AV54" s="76">
        <v>-59.300000000000004</v>
      </c>
      <c r="AW54" s="76">
        <v>-66.134</v>
      </c>
      <c r="AX54" s="76">
        <v>-79.22199999999998</v>
      </c>
      <c r="AY54" s="76">
        <v>-73.965999999999994</v>
      </c>
      <c r="AZ54" s="76">
        <v>-94.100000000000009</v>
      </c>
      <c r="BA54" s="76">
        <v>-102.003</v>
      </c>
      <c r="BB54" s="76">
        <v>-99.138999999999982</v>
      </c>
      <c r="BC54" s="76">
        <v>-87.753729975000141</v>
      </c>
      <c r="BD54" s="76">
        <v>-86.114999999999995</v>
      </c>
      <c r="BE54" s="76">
        <v>-91.058492310614653</v>
      </c>
      <c r="BF54" s="76">
        <v>-110.30203120634592</v>
      </c>
      <c r="BG54" s="76">
        <v>-128.93515676266315</v>
      </c>
      <c r="BH54" s="76">
        <v>-110.93129305411969</v>
      </c>
      <c r="BI54" s="190"/>
      <c r="BJ54" s="76">
        <v>-169.68299999999999</v>
      </c>
      <c r="BK54" s="76">
        <v>-172.93600000000001</v>
      </c>
      <c r="BL54" s="76">
        <v>-213.28399999999999</v>
      </c>
      <c r="BM54" s="76">
        <v>-238.9</v>
      </c>
      <c r="BN54" s="76">
        <v>-242.7</v>
      </c>
      <c r="BO54" s="76">
        <f>-236.438-37.589</f>
        <v>-274.02699999999999</v>
      </c>
      <c r="BP54" s="76">
        <v>-278.62199999999996</v>
      </c>
      <c r="BQ54" s="76">
        <v>-382.99623351551497</v>
      </c>
      <c r="BR54" s="76">
        <v>-416.4106802796237</v>
      </c>
    </row>
    <row r="55" spans="1:70" s="7" customFormat="1" ht="14.5" x14ac:dyDescent="0.35">
      <c r="B55" s="126" t="str">
        <f>IF(Control!$D$5=1,"(+/-) Other operating income (expenses) and Equity (Earnings)/Losses in Uncons. Subs.","(+/-) Outras receitas (despesas) operacionais e Resultado da Equivalência Patrimonial")</f>
        <v>(+/-) Other operating income (expenses) and Equity (Earnings)/Losses in Uncons. Subs.</v>
      </c>
      <c r="C55" s="92" t="s">
        <v>3</v>
      </c>
      <c r="D55" s="92" t="s">
        <v>3</v>
      </c>
      <c r="E55" s="92" t="s">
        <v>3</v>
      </c>
      <c r="F55" s="92" t="s">
        <v>3</v>
      </c>
      <c r="G55" s="92" t="s">
        <v>3</v>
      </c>
      <c r="H55" s="92" t="s">
        <v>3</v>
      </c>
      <c r="I55" s="92" t="s">
        <v>3</v>
      </c>
      <c r="J55" s="92" t="s">
        <v>3</v>
      </c>
      <c r="K55" s="92" t="s">
        <v>3</v>
      </c>
      <c r="L55" s="92" t="s">
        <v>3</v>
      </c>
      <c r="M55" s="92" t="s">
        <v>3</v>
      </c>
      <c r="N55" s="92" t="s">
        <v>3</v>
      </c>
      <c r="O55" s="92" t="s">
        <v>3</v>
      </c>
      <c r="P55" s="92" t="s">
        <v>3</v>
      </c>
      <c r="Q55" s="92" t="s">
        <v>3</v>
      </c>
      <c r="R55" s="92" t="s">
        <v>3</v>
      </c>
      <c r="S55" s="92" t="s">
        <v>3</v>
      </c>
      <c r="T55" s="92" t="s">
        <v>3</v>
      </c>
      <c r="U55" s="92" t="s">
        <v>3</v>
      </c>
      <c r="V55" s="92" t="s">
        <v>3</v>
      </c>
      <c r="W55" s="92" t="s">
        <v>3</v>
      </c>
      <c r="X55" s="76">
        <v>0.44500000000000001</v>
      </c>
      <c r="Y55" s="76">
        <v>10.328999999999999</v>
      </c>
      <c r="Z55" s="76">
        <v>2.5430000000000015</v>
      </c>
      <c r="AA55" s="76">
        <v>1.587</v>
      </c>
      <c r="AB55" s="76">
        <v>2.3650000000000002</v>
      </c>
      <c r="AC55" s="76">
        <v>2.7629999999999999</v>
      </c>
      <c r="AD55" s="76">
        <v>2.3019999999999996</v>
      </c>
      <c r="AE55" s="76">
        <v>2.2390000000000008</v>
      </c>
      <c r="AF55" s="76">
        <v>1.1559999999999999</v>
      </c>
      <c r="AG55" s="76">
        <v>-0.7669999999999999</v>
      </c>
      <c r="AH55" s="76">
        <v>1.5810000000000002</v>
      </c>
      <c r="AI55" s="76">
        <v>-7.4580000000000011</v>
      </c>
      <c r="AJ55" s="76">
        <v>-0.58499999999999996</v>
      </c>
      <c r="AK55" s="76">
        <v>0.68399999999999994</v>
      </c>
      <c r="AL55" s="76">
        <v>9.7570000000000014</v>
      </c>
      <c r="AM55" s="76">
        <v>-0.51800000000000224</v>
      </c>
      <c r="AN55" s="76">
        <v>2.7469999999999999</v>
      </c>
      <c r="AO55" s="94">
        <v>5.8000000000000274E-2</v>
      </c>
      <c r="AP55" s="76">
        <v>-0.38800000000000034</v>
      </c>
      <c r="AQ55" s="76">
        <v>-1.6999999999999904E-2</v>
      </c>
      <c r="AR55" s="76">
        <v>-1.9</v>
      </c>
      <c r="AS55" s="76">
        <v>16.599999999999998</v>
      </c>
      <c r="AT55" s="76">
        <v>-0.39999999999999858</v>
      </c>
      <c r="AU55" s="76">
        <v>2</v>
      </c>
      <c r="AV55" s="76">
        <v>0.3</v>
      </c>
      <c r="AW55" s="76">
        <v>-0.92200000000000004</v>
      </c>
      <c r="AX55" s="76">
        <v>-1.466</v>
      </c>
      <c r="AY55" s="76">
        <v>2.855</v>
      </c>
      <c r="AZ55" s="76">
        <v>0.47899999999999998</v>
      </c>
      <c r="BA55" s="76">
        <v>6.6000000000000003E-2</v>
      </c>
      <c r="BB55" s="76">
        <v>-1.694</v>
      </c>
      <c r="BC55" s="76">
        <v>1.0138597302790422</v>
      </c>
      <c r="BD55" s="76">
        <v>0.27700000000000002</v>
      </c>
      <c r="BE55" s="76">
        <v>6.8785076056442165</v>
      </c>
      <c r="BF55" s="76">
        <v>6.9534016727595507</v>
      </c>
      <c r="BG55" s="76">
        <v>42.007497608811242</v>
      </c>
      <c r="BH55" s="76">
        <v>3.1429999999999998</v>
      </c>
      <c r="BI55" s="190"/>
      <c r="BJ55" s="76">
        <v>14.904</v>
      </c>
      <c r="BK55" s="76">
        <v>9.6690000000000005</v>
      </c>
      <c r="BL55" s="76">
        <v>-5.4880000000000004</v>
      </c>
      <c r="BM55" s="76">
        <v>9.3000000000000007</v>
      </c>
      <c r="BN55" s="76">
        <v>2.4</v>
      </c>
      <c r="BO55" s="76">
        <v>16.38</v>
      </c>
      <c r="BP55" s="76">
        <v>0.7669999999999999</v>
      </c>
      <c r="BQ55" s="76">
        <v>-0.13600000000000001</v>
      </c>
      <c r="BR55" s="76">
        <v>56.116406887215007</v>
      </c>
    </row>
    <row r="56" spans="1:70" s="7" customFormat="1" ht="14.5" x14ac:dyDescent="0.35">
      <c r="B56" s="96" t="str">
        <f>IF(Control!$D$5=1,"EBIT","Lucro Operacional (EBIT)")</f>
        <v>EBIT</v>
      </c>
      <c r="C56" s="92" t="s">
        <v>3</v>
      </c>
      <c r="D56" s="92" t="s">
        <v>3</v>
      </c>
      <c r="E56" s="92" t="s">
        <v>3</v>
      </c>
      <c r="F56" s="92" t="s">
        <v>3</v>
      </c>
      <c r="G56" s="92" t="s">
        <v>3</v>
      </c>
      <c r="H56" s="92" t="s">
        <v>3</v>
      </c>
      <c r="I56" s="92" t="s">
        <v>3</v>
      </c>
      <c r="J56" s="92" t="s">
        <v>3</v>
      </c>
      <c r="K56" s="92" t="s">
        <v>3</v>
      </c>
      <c r="L56" s="92" t="s">
        <v>3</v>
      </c>
      <c r="M56" s="92" t="s">
        <v>3</v>
      </c>
      <c r="N56" s="92" t="s">
        <v>3</v>
      </c>
      <c r="O56" s="92" t="s">
        <v>3</v>
      </c>
      <c r="P56" s="92" t="s">
        <v>3</v>
      </c>
      <c r="Q56" s="92" t="s">
        <v>3</v>
      </c>
      <c r="R56" s="92" t="s">
        <v>3</v>
      </c>
      <c r="S56" s="92" t="s">
        <v>3</v>
      </c>
      <c r="T56" s="92" t="s">
        <v>3</v>
      </c>
      <c r="U56" s="92" t="s">
        <v>3</v>
      </c>
      <c r="V56" s="92" t="s">
        <v>3</v>
      </c>
      <c r="W56" s="92" t="s">
        <v>3</v>
      </c>
      <c r="X56" s="124">
        <v>19.920000000000002</v>
      </c>
      <c r="Y56" s="124">
        <v>18.152999999999992</v>
      </c>
      <c r="Z56" s="124">
        <v>9.1080000000000112</v>
      </c>
      <c r="AA56" s="124">
        <v>21.066999999999986</v>
      </c>
      <c r="AB56" s="124">
        <v>18.765999999999998</v>
      </c>
      <c r="AC56" s="124">
        <v>20.437000000000005</v>
      </c>
      <c r="AD56" s="124">
        <v>19.317</v>
      </c>
      <c r="AE56" s="124">
        <v>15.173999999999999</v>
      </c>
      <c r="AF56" s="124">
        <v>21.592999999999996</v>
      </c>
      <c r="AG56" s="124">
        <v>28.993999999999996</v>
      </c>
      <c r="AH56" s="124">
        <v>30.021999999999984</v>
      </c>
      <c r="AI56" s="124">
        <v>6.6950000000000536</v>
      </c>
      <c r="AJ56" s="124">
        <v>17.519999999999996</v>
      </c>
      <c r="AK56" s="124">
        <v>32.036000000000008</v>
      </c>
      <c r="AL56" s="124">
        <v>27.610999999999997</v>
      </c>
      <c r="AM56" s="124">
        <v>21.33000000000002</v>
      </c>
      <c r="AN56" s="124">
        <v>23.022000000000006</v>
      </c>
      <c r="AO56" s="93">
        <v>29.609999999999978</v>
      </c>
      <c r="AP56" s="124">
        <v>32.821000000000019</v>
      </c>
      <c r="AQ56" s="124">
        <v>25.547000000000025</v>
      </c>
      <c r="AR56" s="124">
        <f>SUM(AR53:AR55)</f>
        <v>26.000000000000014</v>
      </c>
      <c r="AS56" s="124">
        <f>SUM(AS53:AS55)</f>
        <v>51.500000000000028</v>
      </c>
      <c r="AT56" s="124">
        <v>35.099999999999973</v>
      </c>
      <c r="AU56" s="124">
        <v>26.3</v>
      </c>
      <c r="AV56" s="124">
        <v>25.600000000000019</v>
      </c>
      <c r="AW56" s="124">
        <v>23.181000000000022</v>
      </c>
      <c r="AX56" s="124">
        <v>30.7929999999999</v>
      </c>
      <c r="AY56" s="124">
        <v>33.302000000000014</v>
      </c>
      <c r="AZ56" s="124">
        <v>53.832999999999942</v>
      </c>
      <c r="BA56" s="124">
        <v>55.743000000000066</v>
      </c>
      <c r="BB56" s="124">
        <v>43.182000000000002</v>
      </c>
      <c r="BC56" s="124">
        <v>27.187513247431117</v>
      </c>
      <c r="BD56" s="124">
        <v>46.018999999999977</v>
      </c>
      <c r="BE56" s="124">
        <v>48.588235655968433</v>
      </c>
      <c r="BF56" s="124">
        <v>53.290250339495273</v>
      </c>
      <c r="BG56" s="124">
        <v>77.713473284275523</v>
      </c>
      <c r="BH56" s="124">
        <v>34.86070694588031</v>
      </c>
      <c r="BI56" s="190"/>
      <c r="BJ56" s="124">
        <v>68.24799999999999</v>
      </c>
      <c r="BK56" s="124">
        <v>73.694000000000003</v>
      </c>
      <c r="BL56" s="124">
        <v>87.30400000000003</v>
      </c>
      <c r="BM56" s="124">
        <v>98.399999999999991</v>
      </c>
      <c r="BN56" s="124">
        <v>111.00000000000003</v>
      </c>
      <c r="BO56" s="124">
        <v>139.11000000000001</v>
      </c>
      <c r="BP56" s="124">
        <v>112.87599999999995</v>
      </c>
      <c r="BQ56" s="124">
        <v>179.94476648448526</v>
      </c>
      <c r="BR56" s="124">
        <v>225.61095927973921</v>
      </c>
    </row>
    <row r="57" spans="1:70" s="7" customFormat="1" ht="14.5" x14ac:dyDescent="0.35">
      <c r="B57" s="126" t="str">
        <f>IF(Control!$D$5=1,"(+/-) Finacial Result","(+/-) Resultado Financeiro")</f>
        <v>(+/-) Finacial Result</v>
      </c>
      <c r="C57" s="92" t="s">
        <v>3</v>
      </c>
      <c r="D57" s="92" t="s">
        <v>3</v>
      </c>
      <c r="E57" s="92" t="s">
        <v>3</v>
      </c>
      <c r="F57" s="92" t="s">
        <v>3</v>
      </c>
      <c r="G57" s="92" t="s">
        <v>3</v>
      </c>
      <c r="H57" s="92" t="s">
        <v>3</v>
      </c>
      <c r="I57" s="92" t="s">
        <v>3</v>
      </c>
      <c r="J57" s="92" t="s">
        <v>3</v>
      </c>
      <c r="K57" s="92" t="s">
        <v>3</v>
      </c>
      <c r="L57" s="92" t="s">
        <v>3</v>
      </c>
      <c r="M57" s="92" t="s">
        <v>3</v>
      </c>
      <c r="N57" s="92" t="s">
        <v>3</v>
      </c>
      <c r="O57" s="92" t="s">
        <v>3</v>
      </c>
      <c r="P57" s="92" t="s">
        <v>3</v>
      </c>
      <c r="Q57" s="92" t="s">
        <v>3</v>
      </c>
      <c r="R57" s="92" t="s">
        <v>3</v>
      </c>
      <c r="S57" s="92" t="s">
        <v>3</v>
      </c>
      <c r="T57" s="92" t="s">
        <v>3</v>
      </c>
      <c r="U57" s="92" t="s">
        <v>3</v>
      </c>
      <c r="V57" s="92" t="s">
        <v>3</v>
      </c>
      <c r="W57" s="92" t="s">
        <v>3</v>
      </c>
      <c r="X57" s="76">
        <v>-5.3979999999999997</v>
      </c>
      <c r="Y57" s="76">
        <v>-9.4559999999999995</v>
      </c>
      <c r="Z57" s="76">
        <v>-3.7390000000000008</v>
      </c>
      <c r="AA57" s="76">
        <v>-5.9499999999999993</v>
      </c>
      <c r="AB57" s="76">
        <v>-2.8479999999999999</v>
      </c>
      <c r="AC57" s="76">
        <v>-4.2320000000000011</v>
      </c>
      <c r="AD57" s="76">
        <v>-4.9379999999999997</v>
      </c>
      <c r="AE57" s="76">
        <v>-5.9653</v>
      </c>
      <c r="AF57" s="76">
        <v>-5.1700000000000008</v>
      </c>
      <c r="AG57" s="76">
        <v>-7.9349999999999987</v>
      </c>
      <c r="AH57" s="76">
        <v>-8.8689999999999998</v>
      </c>
      <c r="AI57" s="76">
        <v>-8.5230000000000032</v>
      </c>
      <c r="AJ57" s="76">
        <v>-2.37</v>
      </c>
      <c r="AK57" s="76">
        <v>-5.137999999999999</v>
      </c>
      <c r="AL57" s="76">
        <v>-5.5039999999999996</v>
      </c>
      <c r="AM57" s="76">
        <v>-2.4959999999999969</v>
      </c>
      <c r="AN57" s="76">
        <v>-1.9639999999999995</v>
      </c>
      <c r="AO57" s="94">
        <v>-5.52</v>
      </c>
      <c r="AP57" s="76">
        <v>-4.5390000000000024</v>
      </c>
      <c r="AQ57" s="76">
        <v>-4.3769999999999971</v>
      </c>
      <c r="AR57" s="76">
        <f>SUM(AR58:AR59)</f>
        <v>-3.2</v>
      </c>
      <c r="AS57" s="76">
        <f>SUM(AS58:AS59)</f>
        <v>-9.1170000000000009</v>
      </c>
      <c r="AT57" s="76">
        <v>-3.8999999999999968</v>
      </c>
      <c r="AU57" s="76">
        <v>0</v>
      </c>
      <c r="AV57" s="76">
        <v>-0.70000000000000018</v>
      </c>
      <c r="AW57" s="76">
        <v>-3.1020000000000003</v>
      </c>
      <c r="AX57" s="76">
        <v>-4.2090000000000014</v>
      </c>
      <c r="AY57" s="76">
        <v>-0.9480000000000004</v>
      </c>
      <c r="AZ57" s="76">
        <v>-3.7440000000000007</v>
      </c>
      <c r="BA57" s="76">
        <v>-3.7530000000000001</v>
      </c>
      <c r="BB57" s="76">
        <v>-1.5380000000000011</v>
      </c>
      <c r="BC57" s="76">
        <v>-9.8262848908613076</v>
      </c>
      <c r="BD57" s="76">
        <v>-2.7549999999999999</v>
      </c>
      <c r="BE57" s="76">
        <v>1.1333261305350897</v>
      </c>
      <c r="BF57" s="76">
        <v>-3.0589252365954893</v>
      </c>
      <c r="BG57" s="76">
        <v>4.0701409405267333</v>
      </c>
      <c r="BH57" s="76">
        <v>2.0180000000000007</v>
      </c>
      <c r="BI57" s="190"/>
      <c r="BJ57" s="76">
        <v>-24.542999999999999</v>
      </c>
      <c r="BK57" s="76">
        <v>-17.9833</v>
      </c>
      <c r="BL57" s="76">
        <v>-30.497000000000003</v>
      </c>
      <c r="BM57" s="76">
        <v>-15.499999999999996</v>
      </c>
      <c r="BN57" s="76">
        <v>-16.399999999999999</v>
      </c>
      <c r="BO57" s="76">
        <f>+BO58+BO59</f>
        <v>-16.335999999999999</v>
      </c>
      <c r="BP57" s="76">
        <v>-8.9590000000000032</v>
      </c>
      <c r="BQ57" s="76">
        <v>-18.861000000000001</v>
      </c>
      <c r="BR57" s="76">
        <v>-0.61045816553366627</v>
      </c>
    </row>
    <row r="58" spans="1:70" s="7" customFormat="1" ht="14.5" x14ac:dyDescent="0.35">
      <c r="A58" s="216"/>
      <c r="B58" s="128" t="str">
        <f>IF(Control!$D$5=1,"(-) Debt Interest Expense","(-) Despesas Financeiras")</f>
        <v>(-) Debt Interest Expense</v>
      </c>
      <c r="C58" s="92" t="s">
        <v>3</v>
      </c>
      <c r="D58" s="92" t="s">
        <v>3</v>
      </c>
      <c r="E58" s="92" t="s">
        <v>3</v>
      </c>
      <c r="F58" s="92" t="s">
        <v>3</v>
      </c>
      <c r="G58" s="92" t="s">
        <v>3</v>
      </c>
      <c r="H58" s="92" t="s">
        <v>3</v>
      </c>
      <c r="I58" s="92" t="s">
        <v>3</v>
      </c>
      <c r="J58" s="92" t="s">
        <v>3</v>
      </c>
      <c r="K58" s="92" t="s">
        <v>3</v>
      </c>
      <c r="L58" s="92" t="s">
        <v>3</v>
      </c>
      <c r="M58" s="92" t="s">
        <v>3</v>
      </c>
      <c r="N58" s="92" t="s">
        <v>3</v>
      </c>
      <c r="O58" s="92" t="s">
        <v>3</v>
      </c>
      <c r="P58" s="92" t="s">
        <v>3</v>
      </c>
      <c r="Q58" s="92" t="s">
        <v>3</v>
      </c>
      <c r="R58" s="92" t="s">
        <v>3</v>
      </c>
      <c r="S58" s="92" t="s">
        <v>3</v>
      </c>
      <c r="T58" s="92" t="s">
        <v>3</v>
      </c>
      <c r="U58" s="92" t="s">
        <v>3</v>
      </c>
      <c r="V58" s="92" t="s">
        <v>3</v>
      </c>
      <c r="W58" s="92" t="s">
        <v>3</v>
      </c>
      <c r="X58" s="76">
        <v>-8.0579999999999998</v>
      </c>
      <c r="Y58" s="76">
        <v>-12.242999999999999</v>
      </c>
      <c r="Z58" s="76">
        <v>-5.9260000000000019</v>
      </c>
      <c r="AA58" s="76">
        <v>-8.4539999999999971</v>
      </c>
      <c r="AB58" s="76">
        <v>-4.7949999999999999</v>
      </c>
      <c r="AC58" s="76">
        <v>-7.9730000000000008</v>
      </c>
      <c r="AD58" s="76">
        <v>-6.5289999999999999</v>
      </c>
      <c r="AE58" s="76">
        <v>-8.7639999999999993</v>
      </c>
      <c r="AF58" s="76">
        <v>-8.2710000000000008</v>
      </c>
      <c r="AG58" s="76">
        <v>-10.675999999999998</v>
      </c>
      <c r="AH58" s="76">
        <v>-12.376000000000001</v>
      </c>
      <c r="AI58" s="76">
        <v>-15.661000000000005</v>
      </c>
      <c r="AJ58" s="76">
        <v>-7.7469999999999999</v>
      </c>
      <c r="AK58" s="76">
        <v>-9.2139999999999986</v>
      </c>
      <c r="AL58" s="76">
        <v>-8.4920000000000009</v>
      </c>
      <c r="AM58" s="76">
        <v>-8.8319999999999972</v>
      </c>
      <c r="AN58" s="76">
        <v>-6.4909999999999997</v>
      </c>
      <c r="AO58" s="94">
        <v>-8.1669999999999998</v>
      </c>
      <c r="AP58" s="76">
        <v>-6.9590000000000014</v>
      </c>
      <c r="AQ58" s="76">
        <v>-8.3829999999999991</v>
      </c>
      <c r="AR58" s="76">
        <v>-8.4</v>
      </c>
      <c r="AS58" s="76">
        <v>-17.016999999999999</v>
      </c>
      <c r="AT58" s="76">
        <v>-6.8999999999999986</v>
      </c>
      <c r="AU58" s="76">
        <v>-4.5</v>
      </c>
      <c r="AV58" s="76">
        <v>-5.7</v>
      </c>
      <c r="AW58" s="76">
        <v>-7.1890000000000001</v>
      </c>
      <c r="AX58" s="76">
        <v>-7.9600000000000009</v>
      </c>
      <c r="AY58" s="76">
        <v>-6.83</v>
      </c>
      <c r="AZ58" s="76">
        <v>-10.666</v>
      </c>
      <c r="BA58" s="76">
        <v>-12.260999999999999</v>
      </c>
      <c r="BB58" s="76">
        <v>-8.5980000000000008</v>
      </c>
      <c r="BC58" s="76">
        <v>-12.887791634310997</v>
      </c>
      <c r="BD58" s="76">
        <v>-6.7850000000000001</v>
      </c>
      <c r="BE58" s="76">
        <v>-6.4941160415659542</v>
      </c>
      <c r="BF58" s="76">
        <v>-8.3731144408487896</v>
      </c>
      <c r="BG58" s="76">
        <v>-5.8015363060648957</v>
      </c>
      <c r="BH58" s="76">
        <v>-12.449</v>
      </c>
      <c r="BI58" s="190"/>
      <c r="BJ58" s="76">
        <v>-34.680999999999997</v>
      </c>
      <c r="BK58" s="76">
        <v>-28.061</v>
      </c>
      <c r="BL58" s="76">
        <v>-46.984000000000002</v>
      </c>
      <c r="BM58" s="76">
        <v>-34.299999999999997</v>
      </c>
      <c r="BN58" s="76">
        <v>-30</v>
      </c>
      <c r="BO58" s="76">
        <v>-36.878999999999998</v>
      </c>
      <c r="BP58" s="76">
        <v>-27.679000000000002</v>
      </c>
      <c r="BQ58" s="76">
        <v>-44.411999999999999</v>
      </c>
      <c r="BR58" s="76">
        <v>-27.453766788479641</v>
      </c>
    </row>
    <row r="59" spans="1:70" s="7" customFormat="1" ht="14.5" x14ac:dyDescent="0.35">
      <c r="B59" s="128" t="str">
        <f>IF(Control!$D$5=1,"(+) Interest Income","(+) Receitas Financeiras")</f>
        <v>(+) Interest Income</v>
      </c>
      <c r="C59" s="92" t="s">
        <v>3</v>
      </c>
      <c r="D59" s="92" t="s">
        <v>3</v>
      </c>
      <c r="E59" s="92" t="s">
        <v>3</v>
      </c>
      <c r="F59" s="92" t="s">
        <v>3</v>
      </c>
      <c r="G59" s="92" t="s">
        <v>3</v>
      </c>
      <c r="H59" s="92" t="s">
        <v>3</v>
      </c>
      <c r="I59" s="92" t="s">
        <v>3</v>
      </c>
      <c r="J59" s="92" t="s">
        <v>3</v>
      </c>
      <c r="K59" s="92" t="s">
        <v>3</v>
      </c>
      <c r="L59" s="92" t="s">
        <v>3</v>
      </c>
      <c r="M59" s="92" t="s">
        <v>3</v>
      </c>
      <c r="N59" s="92" t="s">
        <v>3</v>
      </c>
      <c r="O59" s="92" t="s">
        <v>3</v>
      </c>
      <c r="P59" s="92" t="s">
        <v>3</v>
      </c>
      <c r="Q59" s="92" t="s">
        <v>3</v>
      </c>
      <c r="R59" s="92" t="s">
        <v>3</v>
      </c>
      <c r="S59" s="92" t="s">
        <v>3</v>
      </c>
      <c r="T59" s="92" t="s">
        <v>3</v>
      </c>
      <c r="U59" s="92" t="s">
        <v>3</v>
      </c>
      <c r="V59" s="92" t="s">
        <v>3</v>
      </c>
      <c r="W59" s="92" t="s">
        <v>3</v>
      </c>
      <c r="X59" s="76">
        <v>2.66</v>
      </c>
      <c r="Y59" s="76">
        <v>2.7869999999999999</v>
      </c>
      <c r="Z59" s="76">
        <v>2.1870000000000003</v>
      </c>
      <c r="AA59" s="76">
        <v>2.5039999999999996</v>
      </c>
      <c r="AB59" s="76">
        <v>1.9470000000000001</v>
      </c>
      <c r="AC59" s="76">
        <v>3.7409999999999997</v>
      </c>
      <c r="AD59" s="76">
        <v>1.5910000000000002</v>
      </c>
      <c r="AE59" s="76">
        <v>2.7986999999999993</v>
      </c>
      <c r="AF59" s="76">
        <v>3.101</v>
      </c>
      <c r="AG59" s="76">
        <v>2.7409999999999997</v>
      </c>
      <c r="AH59" s="76">
        <v>3.5070000000000006</v>
      </c>
      <c r="AI59" s="76">
        <v>7.1379999999999972</v>
      </c>
      <c r="AJ59" s="76">
        <v>5.3769999999999998</v>
      </c>
      <c r="AK59" s="76">
        <v>4.0759999999999996</v>
      </c>
      <c r="AL59" s="76">
        <v>2.9880000000000022</v>
      </c>
      <c r="AM59" s="76">
        <v>6.3359999999999976</v>
      </c>
      <c r="AN59" s="76">
        <v>4.5270000000000001</v>
      </c>
      <c r="AO59" s="94">
        <v>2.6470000000000002</v>
      </c>
      <c r="AP59" s="76">
        <v>2.419999999999999</v>
      </c>
      <c r="AQ59" s="76">
        <v>4.0060000000000002</v>
      </c>
      <c r="AR59" s="76">
        <v>5.2</v>
      </c>
      <c r="AS59" s="76">
        <v>7.8999999999999995</v>
      </c>
      <c r="AT59" s="76">
        <v>3.0000000000000018</v>
      </c>
      <c r="AU59" s="76">
        <v>4.5</v>
      </c>
      <c r="AV59" s="76">
        <v>5</v>
      </c>
      <c r="AW59" s="76">
        <v>4.0869999999999997</v>
      </c>
      <c r="AX59" s="76">
        <v>3.7509999999999994</v>
      </c>
      <c r="AY59" s="76">
        <v>5.8819999999999997</v>
      </c>
      <c r="AZ59" s="76">
        <v>6.9219999999999997</v>
      </c>
      <c r="BA59" s="76">
        <v>8.5079999999999991</v>
      </c>
      <c r="BB59" s="76">
        <v>7.06</v>
      </c>
      <c r="BC59" s="76">
        <v>3.0615067434496885</v>
      </c>
      <c r="BD59" s="76">
        <v>4.03</v>
      </c>
      <c r="BE59" s="76">
        <v>7.6274421721010439</v>
      </c>
      <c r="BF59" s="76">
        <v>5.3141892042533003</v>
      </c>
      <c r="BG59" s="76">
        <v>9.8716772465916289</v>
      </c>
      <c r="BH59" s="76">
        <v>14.467000000000001</v>
      </c>
      <c r="BI59" s="190"/>
      <c r="BJ59" s="76">
        <v>10.138</v>
      </c>
      <c r="BK59" s="76">
        <v>10.0777</v>
      </c>
      <c r="BL59" s="76">
        <v>16.486999999999998</v>
      </c>
      <c r="BM59" s="76">
        <v>18.8</v>
      </c>
      <c r="BN59" s="76">
        <v>13.6</v>
      </c>
      <c r="BO59" s="76">
        <v>20.542999999999999</v>
      </c>
      <c r="BP59" s="76">
        <v>18.72</v>
      </c>
      <c r="BQ59" s="76">
        <v>25.550999999999998</v>
      </c>
      <c r="BR59" s="76">
        <v>26.843308622945976</v>
      </c>
    </row>
    <row r="60" spans="1:70" s="7" customFormat="1" ht="15" hidden="1" customHeight="1" outlineLevel="1" x14ac:dyDescent="0.35">
      <c r="B60" s="126" t="str">
        <f>IF(Control!$D$5=1,"(-) Other Non-Operating Expenses/(Income)","(-) Outras Desp./(Receitas) Não Operacionais")</f>
        <v>(-) Other Non-Operating Expenses/(Income)</v>
      </c>
      <c r="C60" s="92" t="s">
        <v>3</v>
      </c>
      <c r="D60" s="92" t="s">
        <v>3</v>
      </c>
      <c r="E60" s="92" t="s">
        <v>3</v>
      </c>
      <c r="F60" s="92" t="s">
        <v>3</v>
      </c>
      <c r="G60" s="92" t="s">
        <v>3</v>
      </c>
      <c r="H60" s="92" t="s">
        <v>3</v>
      </c>
      <c r="I60" s="92" t="s">
        <v>3</v>
      </c>
      <c r="J60" s="92" t="s">
        <v>3</v>
      </c>
      <c r="K60" s="92" t="s">
        <v>3</v>
      </c>
      <c r="L60" s="92" t="s">
        <v>3</v>
      </c>
      <c r="M60" s="92" t="s">
        <v>3</v>
      </c>
      <c r="N60" s="92" t="s">
        <v>3</v>
      </c>
      <c r="O60" s="92" t="s">
        <v>3</v>
      </c>
      <c r="P60" s="92" t="s">
        <v>3</v>
      </c>
      <c r="Q60" s="92" t="s">
        <v>3</v>
      </c>
      <c r="R60" s="92" t="s">
        <v>3</v>
      </c>
      <c r="S60" s="92" t="s">
        <v>3</v>
      </c>
      <c r="T60" s="92" t="s">
        <v>3</v>
      </c>
      <c r="U60" s="92" t="s">
        <v>3</v>
      </c>
      <c r="V60" s="92" t="s">
        <v>3</v>
      </c>
      <c r="W60" s="92" t="s">
        <v>3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/>
      <c r="AD60" s="76">
        <v>0</v>
      </c>
      <c r="AE60" s="76">
        <v>0</v>
      </c>
      <c r="AF60" s="76">
        <v>0</v>
      </c>
      <c r="AG60" s="76"/>
      <c r="AH60" s="76">
        <v>0</v>
      </c>
      <c r="AI60" s="76">
        <v>0</v>
      </c>
      <c r="AJ60" s="76">
        <v>0</v>
      </c>
      <c r="AK60" s="94">
        <v>0</v>
      </c>
      <c r="AL60" s="76">
        <v>0</v>
      </c>
      <c r="AM60" s="76">
        <v>0</v>
      </c>
      <c r="AN60" s="76">
        <v>0</v>
      </c>
      <c r="AO60" s="94">
        <v>0</v>
      </c>
      <c r="AP60" s="94">
        <v>0</v>
      </c>
      <c r="AQ60" s="76">
        <v>0</v>
      </c>
      <c r="AR60" s="76"/>
      <c r="AS60" s="76"/>
      <c r="AT60" s="76"/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v>0</v>
      </c>
      <c r="BA60" s="76">
        <v>0</v>
      </c>
      <c r="BB60" s="76">
        <v>0</v>
      </c>
      <c r="BC60" s="76">
        <v>0</v>
      </c>
      <c r="BD60" s="76">
        <v>0</v>
      </c>
      <c r="BE60" s="76">
        <v>0</v>
      </c>
      <c r="BF60" s="76">
        <v>0</v>
      </c>
      <c r="BG60" s="76">
        <v>0</v>
      </c>
      <c r="BH60" s="76"/>
      <c r="BI60" s="190"/>
      <c r="BJ60" s="76">
        <v>0</v>
      </c>
      <c r="BK60" s="76">
        <v>0</v>
      </c>
      <c r="BL60" s="76">
        <v>0</v>
      </c>
      <c r="BM60" s="76">
        <v>0</v>
      </c>
      <c r="BN60" s="76">
        <v>0</v>
      </c>
      <c r="BO60" s="76">
        <v>0</v>
      </c>
      <c r="BP60" s="76">
        <v>0</v>
      </c>
      <c r="BQ60" s="76">
        <v>0</v>
      </c>
      <c r="BR60" s="76">
        <v>0</v>
      </c>
    </row>
    <row r="61" spans="1:70" s="7" customFormat="1" ht="14.5" collapsed="1" x14ac:dyDescent="0.35">
      <c r="B61" s="96" t="str">
        <f>IF(Control!$D$5=1,"Pre-Tax Income","Resultado antes Impostos")</f>
        <v>Pre-Tax Income</v>
      </c>
      <c r="C61" s="92" t="s">
        <v>3</v>
      </c>
      <c r="D61" s="92" t="s">
        <v>3</v>
      </c>
      <c r="E61" s="92" t="s">
        <v>3</v>
      </c>
      <c r="F61" s="92" t="s">
        <v>3</v>
      </c>
      <c r="G61" s="92" t="s">
        <v>3</v>
      </c>
      <c r="H61" s="92" t="s">
        <v>3</v>
      </c>
      <c r="I61" s="92" t="s">
        <v>3</v>
      </c>
      <c r="J61" s="92" t="s">
        <v>3</v>
      </c>
      <c r="K61" s="92" t="s">
        <v>3</v>
      </c>
      <c r="L61" s="92" t="s">
        <v>3</v>
      </c>
      <c r="M61" s="92" t="s">
        <v>3</v>
      </c>
      <c r="N61" s="92" t="s">
        <v>3</v>
      </c>
      <c r="O61" s="92" t="s">
        <v>3</v>
      </c>
      <c r="P61" s="92" t="s">
        <v>3</v>
      </c>
      <c r="Q61" s="92" t="s">
        <v>3</v>
      </c>
      <c r="R61" s="92" t="s">
        <v>3</v>
      </c>
      <c r="S61" s="92" t="s">
        <v>3</v>
      </c>
      <c r="T61" s="92" t="s">
        <v>3</v>
      </c>
      <c r="U61" s="92" t="s">
        <v>3</v>
      </c>
      <c r="V61" s="92" t="s">
        <v>3</v>
      </c>
      <c r="W61" s="92" t="s">
        <v>3</v>
      </c>
      <c r="X61" s="93">
        <v>14.522000000000002</v>
      </c>
      <c r="Y61" s="93">
        <v>8.6969999999999921</v>
      </c>
      <c r="Z61" s="93">
        <v>5.3690000000000104</v>
      </c>
      <c r="AA61" s="93">
        <v>15.11699999999999</v>
      </c>
      <c r="AB61" s="93">
        <v>15.917999999999999</v>
      </c>
      <c r="AC61" s="93">
        <v>16.205000000000005</v>
      </c>
      <c r="AD61" s="93">
        <v>14.378999999999998</v>
      </c>
      <c r="AE61" s="93">
        <v>9.2087000000000003</v>
      </c>
      <c r="AF61" s="93">
        <v>16.422999999999995</v>
      </c>
      <c r="AG61" s="93">
        <v>21.058999999999997</v>
      </c>
      <c r="AH61" s="93">
        <v>21.152999999999984</v>
      </c>
      <c r="AI61" s="93">
        <v>-1.8279999999999461</v>
      </c>
      <c r="AJ61" s="93">
        <v>15.149999999999995</v>
      </c>
      <c r="AK61" s="93">
        <v>26.89800000000001</v>
      </c>
      <c r="AL61" s="93">
        <v>22.106999999999996</v>
      </c>
      <c r="AM61" s="93">
        <v>18.834000000000014</v>
      </c>
      <c r="AN61" s="93">
        <v>21.058000000000007</v>
      </c>
      <c r="AO61" s="93">
        <v>24.089999999999979</v>
      </c>
      <c r="AP61" s="93">
        <v>28.282000000000025</v>
      </c>
      <c r="AQ61" s="93">
        <f>AQ56+AQ57</f>
        <v>21.17000000000003</v>
      </c>
      <c r="AR61" s="93">
        <f>SUM(AR56:AR57)</f>
        <v>22.800000000000015</v>
      </c>
      <c r="AS61" s="93">
        <f>SUM(AS56:AS57)</f>
        <v>42.383000000000024</v>
      </c>
      <c r="AT61" s="93">
        <f>SUM(AT56:AT57)</f>
        <v>31.199999999999974</v>
      </c>
      <c r="AU61" s="93">
        <v>26.3</v>
      </c>
      <c r="AV61" s="93">
        <v>24.90000000000002</v>
      </c>
      <c r="AW61" s="93">
        <v>20.079000000000022</v>
      </c>
      <c r="AX61" s="93">
        <v>26.583999999999897</v>
      </c>
      <c r="AY61" s="93">
        <v>32.354000000000013</v>
      </c>
      <c r="AZ61" s="93">
        <v>50.088999999999942</v>
      </c>
      <c r="BA61" s="93">
        <v>51.990000000000066</v>
      </c>
      <c r="BB61" s="93">
        <v>41.643999999999998</v>
      </c>
      <c r="BC61" s="93">
        <v>17.361228356569811</v>
      </c>
      <c r="BD61" s="93">
        <v>43.263999999999974</v>
      </c>
      <c r="BE61" s="93">
        <v>49.721561786503521</v>
      </c>
      <c r="BF61" s="93">
        <v>50.231325102899781</v>
      </c>
      <c r="BG61" s="93">
        <v>81.78361422480225</v>
      </c>
      <c r="BH61" s="93">
        <v>36.87870694588031</v>
      </c>
      <c r="BI61" s="190"/>
      <c r="BJ61" s="93">
        <v>43.704999999999991</v>
      </c>
      <c r="BK61" s="93">
        <v>55.710700000000003</v>
      </c>
      <c r="BL61" s="93">
        <v>56.807000000000031</v>
      </c>
      <c r="BM61" s="93">
        <v>82.899999999999991</v>
      </c>
      <c r="BN61" s="93">
        <v>94.600000000000023</v>
      </c>
      <c r="BO61" s="93">
        <v>122.774</v>
      </c>
      <c r="BP61" s="93">
        <v>103.91699999999994</v>
      </c>
      <c r="BQ61" s="93">
        <v>161.08376648448527</v>
      </c>
      <c r="BR61" s="93">
        <v>225.00050111420552</v>
      </c>
    </row>
    <row r="62" spans="1:70" s="7" customFormat="1" ht="14.5" x14ac:dyDescent="0.35">
      <c r="B62" s="56" t="str">
        <f>IF(Control!$D$5=1,"Total Income Taxes","Total Imposto de Renda / CSLL")</f>
        <v>Total Income Taxes</v>
      </c>
      <c r="C62" s="92" t="s">
        <v>3</v>
      </c>
      <c r="D62" s="92" t="s">
        <v>3</v>
      </c>
      <c r="E62" s="92" t="s">
        <v>3</v>
      </c>
      <c r="F62" s="92" t="s">
        <v>3</v>
      </c>
      <c r="G62" s="92" t="s">
        <v>3</v>
      </c>
      <c r="H62" s="92" t="s">
        <v>3</v>
      </c>
      <c r="I62" s="92" t="s">
        <v>3</v>
      </c>
      <c r="J62" s="92" t="s">
        <v>3</v>
      </c>
      <c r="K62" s="92" t="s">
        <v>3</v>
      </c>
      <c r="L62" s="92" t="s">
        <v>3</v>
      </c>
      <c r="M62" s="92" t="s">
        <v>3</v>
      </c>
      <c r="N62" s="92" t="s">
        <v>3</v>
      </c>
      <c r="O62" s="92" t="s">
        <v>3</v>
      </c>
      <c r="P62" s="92" t="s">
        <v>3</v>
      </c>
      <c r="Q62" s="92" t="s">
        <v>3</v>
      </c>
      <c r="R62" s="92" t="s">
        <v>3</v>
      </c>
      <c r="S62" s="92" t="s">
        <v>3</v>
      </c>
      <c r="T62" s="92" t="s">
        <v>3</v>
      </c>
      <c r="U62" s="92" t="s">
        <v>3</v>
      </c>
      <c r="V62" s="92" t="s">
        <v>3</v>
      </c>
      <c r="W62" s="92" t="s">
        <v>3</v>
      </c>
      <c r="X62" s="76">
        <v>-4.931</v>
      </c>
      <c r="Y62" s="76">
        <v>-3.2489999999999997</v>
      </c>
      <c r="Z62" s="76">
        <v>1.6789999999999994</v>
      </c>
      <c r="AA62" s="76">
        <v>-5.698999999999999</v>
      </c>
      <c r="AB62" s="76">
        <v>-3.1850000000000001</v>
      </c>
      <c r="AC62" s="76">
        <v>-1.8729999999999998</v>
      </c>
      <c r="AD62" s="76">
        <v>-3.3110000000000004</v>
      </c>
      <c r="AE62" s="76">
        <v>-8.52</v>
      </c>
      <c r="AF62" s="76">
        <v>-7.98</v>
      </c>
      <c r="AG62" s="76">
        <v>-1.6909999999999989</v>
      </c>
      <c r="AH62" s="76">
        <v>-9.0190000000000019</v>
      </c>
      <c r="AI62" s="76">
        <v>-1.916999999999998</v>
      </c>
      <c r="AJ62" s="76">
        <v>-1.5529999999999999</v>
      </c>
      <c r="AK62" s="76">
        <v>-6.3250000000000002</v>
      </c>
      <c r="AL62" s="76">
        <v>-2.8360000000000003</v>
      </c>
      <c r="AM62" s="76">
        <v>-4.6239999999999988</v>
      </c>
      <c r="AN62" s="76">
        <v>1.419</v>
      </c>
      <c r="AO62" s="94">
        <v>-8.016</v>
      </c>
      <c r="AP62" s="76">
        <v>-4.8939999999999992</v>
      </c>
      <c r="AQ62" s="76">
        <v>-5.9089999999999989</v>
      </c>
      <c r="AR62" s="76">
        <v>-6.8</v>
      </c>
      <c r="AS62" s="76">
        <v>-5.8</v>
      </c>
      <c r="AT62" s="76">
        <v>-4.2000000000000011</v>
      </c>
      <c r="AU62" s="76">
        <v>-4.4000000000000004</v>
      </c>
      <c r="AV62" s="76">
        <v>-5.8</v>
      </c>
      <c r="AW62" s="76">
        <v>-5.3129999999999997</v>
      </c>
      <c r="AX62" s="76">
        <v>-4.82</v>
      </c>
      <c r="AY62" s="76">
        <v>-9.0009999999999994</v>
      </c>
      <c r="AZ62" s="76">
        <v>-8.9429999999999996</v>
      </c>
      <c r="BA62" s="76">
        <v>-9.6929999999999996</v>
      </c>
      <c r="BB62" s="76">
        <v>-12.676</v>
      </c>
      <c r="BC62" s="76">
        <v>-8.0928061048639499</v>
      </c>
      <c r="BD62" s="76">
        <v>-8.2059999999999995</v>
      </c>
      <c r="BE62" s="76">
        <v>-10.352604775931052</v>
      </c>
      <c r="BF62" s="76">
        <v>-12.680502345051638</v>
      </c>
      <c r="BG62" s="76">
        <v>-14.811603725008389</v>
      </c>
      <c r="BH62" s="76">
        <v>-1.7000000000000001E-2</v>
      </c>
      <c r="BI62" s="190"/>
      <c r="BJ62" s="76">
        <v>-12.2</v>
      </c>
      <c r="BK62" s="76">
        <v>-16.888999999999999</v>
      </c>
      <c r="BL62" s="76">
        <v>-20.606999999999999</v>
      </c>
      <c r="BM62" s="76">
        <v>-15.3</v>
      </c>
      <c r="BN62" s="76">
        <v>-17.399999999999999</v>
      </c>
      <c r="BO62" s="76">
        <v>-21.135000000000002</v>
      </c>
      <c r="BP62" s="76">
        <v>-24.933999999999997</v>
      </c>
      <c r="BQ62" s="76">
        <v>-41.2</v>
      </c>
      <c r="BR62" s="76">
        <v>-46.050710845991077</v>
      </c>
    </row>
    <row r="63" spans="1:70" s="7" customFormat="1" ht="14.5" x14ac:dyDescent="0.35">
      <c r="B63" s="129" t="str">
        <f>IF(Control!$D$5=1,"Net Income","Lucro Líquido")</f>
        <v>Net Income</v>
      </c>
      <c r="C63" s="85" t="s">
        <v>3</v>
      </c>
      <c r="D63" s="85" t="s">
        <v>3</v>
      </c>
      <c r="E63" s="85" t="s">
        <v>3</v>
      </c>
      <c r="F63" s="85" t="s">
        <v>3</v>
      </c>
      <c r="G63" s="85" t="s">
        <v>3</v>
      </c>
      <c r="H63" s="85" t="s">
        <v>3</v>
      </c>
      <c r="I63" s="85" t="s">
        <v>3</v>
      </c>
      <c r="J63" s="85" t="s">
        <v>3</v>
      </c>
      <c r="K63" s="85" t="s">
        <v>3</v>
      </c>
      <c r="L63" s="85" t="s">
        <v>3</v>
      </c>
      <c r="M63" s="85" t="s">
        <v>3</v>
      </c>
      <c r="N63" s="85" t="s">
        <v>3</v>
      </c>
      <c r="O63" s="85" t="s">
        <v>3</v>
      </c>
      <c r="P63" s="85" t="s">
        <v>3</v>
      </c>
      <c r="Q63" s="85" t="s">
        <v>3</v>
      </c>
      <c r="R63" s="85" t="s">
        <v>3</v>
      </c>
      <c r="S63" s="85" t="s">
        <v>3</v>
      </c>
      <c r="T63" s="85" t="s">
        <v>3</v>
      </c>
      <c r="U63" s="85" t="s">
        <v>3</v>
      </c>
      <c r="V63" s="85" t="s">
        <v>3</v>
      </c>
      <c r="W63" s="85" t="s">
        <v>3</v>
      </c>
      <c r="X63" s="85">
        <f t="shared" ref="X63:AN63" si="76">+X61+X62</f>
        <v>9.5910000000000011</v>
      </c>
      <c r="Y63" s="85">
        <f t="shared" si="76"/>
        <v>5.4479999999999924</v>
      </c>
      <c r="Z63" s="85">
        <f t="shared" si="76"/>
        <v>7.0480000000000098</v>
      </c>
      <c r="AA63" s="85">
        <f t="shared" si="76"/>
        <v>9.4179999999999922</v>
      </c>
      <c r="AB63" s="85">
        <f t="shared" si="76"/>
        <v>12.732999999999999</v>
      </c>
      <c r="AC63" s="85">
        <f t="shared" si="76"/>
        <v>14.332000000000006</v>
      </c>
      <c r="AD63" s="85">
        <f t="shared" si="76"/>
        <v>11.067999999999998</v>
      </c>
      <c r="AE63" s="85">
        <f t="shared" si="76"/>
        <v>0.68870000000000076</v>
      </c>
      <c r="AF63" s="85">
        <f t="shared" si="76"/>
        <v>8.4429999999999943</v>
      </c>
      <c r="AG63" s="85">
        <f t="shared" si="76"/>
        <v>19.367999999999999</v>
      </c>
      <c r="AH63" s="85">
        <f t="shared" si="76"/>
        <v>12.133999999999983</v>
      </c>
      <c r="AI63" s="85">
        <f t="shared" si="76"/>
        <v>-3.7449999999999442</v>
      </c>
      <c r="AJ63" s="85">
        <f t="shared" si="76"/>
        <v>13.596999999999994</v>
      </c>
      <c r="AK63" s="85">
        <f t="shared" si="76"/>
        <v>20.573000000000011</v>
      </c>
      <c r="AL63" s="85">
        <f t="shared" si="76"/>
        <v>19.270999999999994</v>
      </c>
      <c r="AM63" s="85">
        <f t="shared" si="76"/>
        <v>14.210000000000015</v>
      </c>
      <c r="AN63" s="85">
        <f t="shared" si="76"/>
        <v>22.477000000000007</v>
      </c>
      <c r="AO63" s="85">
        <f>+AO61+AO62</f>
        <v>16.073999999999977</v>
      </c>
      <c r="AP63" s="85">
        <f>+AP61+AP62</f>
        <v>23.388000000000027</v>
      </c>
      <c r="AQ63" s="85">
        <f t="shared" ref="AQ63:AY63" si="77">+AQ61+AQ62</f>
        <v>15.261000000000031</v>
      </c>
      <c r="AR63" s="85">
        <f t="shared" si="77"/>
        <v>16.000000000000014</v>
      </c>
      <c r="AS63" s="85">
        <f t="shared" si="77"/>
        <v>36.583000000000027</v>
      </c>
      <c r="AT63" s="85">
        <f t="shared" si="77"/>
        <v>26.999999999999972</v>
      </c>
      <c r="AU63" s="85">
        <f t="shared" si="77"/>
        <v>21.9</v>
      </c>
      <c r="AV63" s="85">
        <f t="shared" si="77"/>
        <v>19.100000000000019</v>
      </c>
      <c r="AW63" s="85">
        <f t="shared" si="77"/>
        <v>14.766000000000023</v>
      </c>
      <c r="AX63" s="85">
        <f t="shared" si="77"/>
        <v>21.763999999999896</v>
      </c>
      <c r="AY63" s="85">
        <f t="shared" si="77"/>
        <v>23.353000000000016</v>
      </c>
      <c r="AZ63" s="85">
        <f>+AZ61+AZ62</f>
        <v>41.145999999999944</v>
      </c>
      <c r="BA63" s="85">
        <v>42.297000000000068</v>
      </c>
      <c r="BB63" s="85">
        <v>28.967999999999996</v>
      </c>
      <c r="BC63" s="85">
        <f>BC61+BC62</f>
        <v>9.2684222517058608</v>
      </c>
      <c r="BD63" s="85">
        <f>BD61+BD62</f>
        <v>35.057999999999979</v>
      </c>
      <c r="BE63" s="85">
        <f>BE61+BE62</f>
        <v>39.368957010572473</v>
      </c>
      <c r="BF63" s="85">
        <v>37.550822757848145</v>
      </c>
      <c r="BG63" s="85">
        <v>66.972010499793868</v>
      </c>
      <c r="BH63" s="85">
        <v>36.861706945880307</v>
      </c>
      <c r="BI63" s="190"/>
      <c r="BJ63" s="85">
        <f t="shared" ref="BJ63:BQ63" si="78">+BJ61+BJ62</f>
        <v>31.504999999999992</v>
      </c>
      <c r="BK63" s="85">
        <f t="shared" si="78"/>
        <v>38.821700000000007</v>
      </c>
      <c r="BL63" s="85">
        <f t="shared" si="78"/>
        <v>36.200000000000031</v>
      </c>
      <c r="BM63" s="85">
        <f t="shared" si="78"/>
        <v>67.599999999999994</v>
      </c>
      <c r="BN63" s="85">
        <f t="shared" si="78"/>
        <v>77.200000000000017</v>
      </c>
      <c r="BO63" s="85">
        <f t="shared" si="78"/>
        <v>101.639</v>
      </c>
      <c r="BP63" s="85">
        <f t="shared" si="78"/>
        <v>78.982999999999947</v>
      </c>
      <c r="BQ63" s="85">
        <f t="shared" si="78"/>
        <v>119.88376648448526</v>
      </c>
      <c r="BR63" s="85">
        <v>178.94979026821446</v>
      </c>
    </row>
    <row r="64" spans="1:70" s="7" customFormat="1" ht="14.5" x14ac:dyDescent="0.35">
      <c r="B64" s="5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123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190"/>
      <c r="BJ64" s="123"/>
      <c r="BK64" s="123"/>
      <c r="BL64" s="86"/>
      <c r="BM64" s="86"/>
      <c r="BN64" s="86"/>
      <c r="BO64" s="86"/>
      <c r="BP64" s="86"/>
      <c r="BQ64" s="86"/>
      <c r="BR64" s="86"/>
    </row>
    <row r="65" spans="2:70" s="7" customFormat="1" ht="14.5" outlineLevel="1" x14ac:dyDescent="0.35">
      <c r="B65" s="56" t="str">
        <f>IF(Control!$D$5=1,"Current Assets","Ativo Circulante")</f>
        <v>Current Assets</v>
      </c>
      <c r="C65" s="92" t="s">
        <v>3</v>
      </c>
      <c r="D65" s="92" t="s">
        <v>3</v>
      </c>
      <c r="E65" s="92" t="s">
        <v>3</v>
      </c>
      <c r="F65" s="92" t="s">
        <v>3</v>
      </c>
      <c r="G65" s="92" t="s">
        <v>3</v>
      </c>
      <c r="H65" s="92" t="s">
        <v>3</v>
      </c>
      <c r="I65" s="92" t="s">
        <v>3</v>
      </c>
      <c r="J65" s="92" t="s">
        <v>3</v>
      </c>
      <c r="K65" s="92" t="s">
        <v>3</v>
      </c>
      <c r="L65" s="92" t="s">
        <v>3</v>
      </c>
      <c r="M65" s="92" t="s">
        <v>3</v>
      </c>
      <c r="N65" s="92" t="s">
        <v>3</v>
      </c>
      <c r="O65" s="92" t="s">
        <v>3</v>
      </c>
      <c r="P65" s="92" t="s">
        <v>3</v>
      </c>
      <c r="Q65" s="92" t="s">
        <v>3</v>
      </c>
      <c r="R65" s="92" t="s">
        <v>3</v>
      </c>
      <c r="S65" s="92" t="s">
        <v>3</v>
      </c>
      <c r="T65" s="92" t="s">
        <v>3</v>
      </c>
      <c r="U65" s="92" t="s">
        <v>3</v>
      </c>
      <c r="V65" s="92" t="s">
        <v>3</v>
      </c>
      <c r="W65" s="92" t="s">
        <v>3</v>
      </c>
      <c r="X65" s="76">
        <v>764.87199999999996</v>
      </c>
      <c r="Y65" s="76" t="s">
        <v>3</v>
      </c>
      <c r="Z65" s="76" t="s">
        <v>3</v>
      </c>
      <c r="AA65" s="76">
        <v>444.93599999999998</v>
      </c>
      <c r="AB65" s="76">
        <v>804.20899999999995</v>
      </c>
      <c r="AC65" s="76">
        <v>568.99400000000003</v>
      </c>
      <c r="AD65" s="76">
        <v>649.83699999999999</v>
      </c>
      <c r="AE65" s="76">
        <v>554.41800000000001</v>
      </c>
      <c r="AF65" s="76" t="s">
        <v>3</v>
      </c>
      <c r="AG65" s="76">
        <v>1072.5150000000001</v>
      </c>
      <c r="AH65" s="76" t="s">
        <v>3</v>
      </c>
      <c r="AI65" s="76">
        <v>896.255</v>
      </c>
      <c r="AJ65" s="76" t="s">
        <v>3</v>
      </c>
      <c r="AK65" s="76" t="s">
        <v>3</v>
      </c>
      <c r="AL65" s="76" t="s">
        <v>3</v>
      </c>
      <c r="AM65" s="76">
        <v>655.76099999999997</v>
      </c>
      <c r="AN65" s="92" t="s">
        <v>3</v>
      </c>
      <c r="AO65" s="94" t="s">
        <v>3</v>
      </c>
      <c r="AP65" s="76" t="s">
        <v>3</v>
      </c>
      <c r="AQ65" s="76">
        <v>657.90899999999999</v>
      </c>
      <c r="AR65" s="76">
        <v>1265.4390000000001</v>
      </c>
      <c r="AS65" s="76">
        <v>1079.6949999999999</v>
      </c>
      <c r="AT65" s="76">
        <v>944.91700000000003</v>
      </c>
      <c r="AU65" s="76">
        <v>848.37300000000005</v>
      </c>
      <c r="AV65" s="76">
        <v>1353.5219999999999</v>
      </c>
      <c r="AW65" s="76">
        <v>1143.0429999999999</v>
      </c>
      <c r="AX65" s="76">
        <v>1132.5989999999999</v>
      </c>
      <c r="AY65" s="76">
        <v>770.16300000000001</v>
      </c>
      <c r="AZ65" s="76">
        <v>2452.364</v>
      </c>
      <c r="BA65" s="76">
        <v>1859.98</v>
      </c>
      <c r="BB65" s="76">
        <v>1314.5740000000001</v>
      </c>
      <c r="BC65" s="76">
        <v>1343.2275657099999</v>
      </c>
      <c r="BD65" s="76">
        <v>2101.4810000000002</v>
      </c>
      <c r="BE65" s="76">
        <v>1479.7851399000001</v>
      </c>
      <c r="BF65" s="76">
        <v>1859.4871787002535</v>
      </c>
      <c r="BG65" s="76">
        <v>1688.4159999999999</v>
      </c>
      <c r="BH65" s="76">
        <v>2295.8789999999999</v>
      </c>
      <c r="BI65" s="190"/>
      <c r="BJ65" s="76">
        <v>444.93599999999998</v>
      </c>
      <c r="BK65" s="76">
        <v>554.41800000000001</v>
      </c>
      <c r="BL65" s="76">
        <v>896.255</v>
      </c>
      <c r="BM65" s="76">
        <v>655.76099999999997</v>
      </c>
      <c r="BN65" s="76">
        <v>657.90899999999999</v>
      </c>
      <c r="BO65" s="76">
        <v>848.37300000000005</v>
      </c>
      <c r="BP65" s="76">
        <f>AY65</f>
        <v>770.16300000000001</v>
      </c>
      <c r="BQ65" s="76">
        <v>1343.2275657099999</v>
      </c>
      <c r="BR65" s="76">
        <v>1688.4159999999999</v>
      </c>
    </row>
    <row r="66" spans="2:70" s="7" customFormat="1" ht="14.5" outlineLevel="1" x14ac:dyDescent="0.35">
      <c r="B66" s="56" t="str">
        <f>IF(Control!$D$5=1,"Long Term Assets","Ativo não Circulante")</f>
        <v>Long Term Assets</v>
      </c>
      <c r="C66" s="92" t="s">
        <v>3</v>
      </c>
      <c r="D66" s="92" t="s">
        <v>3</v>
      </c>
      <c r="E66" s="92" t="s">
        <v>3</v>
      </c>
      <c r="F66" s="92" t="s">
        <v>3</v>
      </c>
      <c r="G66" s="92" t="s">
        <v>3</v>
      </c>
      <c r="H66" s="92" t="s">
        <v>3</v>
      </c>
      <c r="I66" s="92" t="s">
        <v>3</v>
      </c>
      <c r="J66" s="92" t="s">
        <v>3</v>
      </c>
      <c r="K66" s="92" t="s">
        <v>3</v>
      </c>
      <c r="L66" s="92" t="s">
        <v>3</v>
      </c>
      <c r="M66" s="92" t="s">
        <v>3</v>
      </c>
      <c r="N66" s="92" t="s">
        <v>3</v>
      </c>
      <c r="O66" s="92" t="s">
        <v>3</v>
      </c>
      <c r="P66" s="92" t="s">
        <v>3</v>
      </c>
      <c r="Q66" s="92" t="s">
        <v>3</v>
      </c>
      <c r="R66" s="92" t="s">
        <v>3</v>
      </c>
      <c r="S66" s="92" t="s">
        <v>3</v>
      </c>
      <c r="T66" s="92" t="s">
        <v>3</v>
      </c>
      <c r="U66" s="92" t="s">
        <v>3</v>
      </c>
      <c r="V66" s="92" t="s">
        <v>3</v>
      </c>
      <c r="W66" s="92" t="s">
        <v>3</v>
      </c>
      <c r="X66" s="76">
        <v>280.47699999999998</v>
      </c>
      <c r="Y66" s="76" t="s">
        <v>3</v>
      </c>
      <c r="Z66" s="76" t="s">
        <v>3</v>
      </c>
      <c r="AA66" s="76">
        <v>1364.3869999999999</v>
      </c>
      <c r="AB66" s="76">
        <v>323.476</v>
      </c>
      <c r="AC66" s="76">
        <v>307.61200000000002</v>
      </c>
      <c r="AD66" s="76">
        <v>404.26400000000001</v>
      </c>
      <c r="AE66" s="76">
        <v>1446.9359999999999</v>
      </c>
      <c r="AF66" s="76" t="s">
        <v>3</v>
      </c>
      <c r="AG66" s="76">
        <v>433.928</v>
      </c>
      <c r="AH66" s="76" t="s">
        <v>3</v>
      </c>
      <c r="AI66" s="76">
        <v>555.48400000000004</v>
      </c>
      <c r="AJ66" s="76" t="s">
        <v>3</v>
      </c>
      <c r="AK66" s="76" t="s">
        <v>3</v>
      </c>
      <c r="AL66" s="76" t="s">
        <v>3</v>
      </c>
      <c r="AM66" s="76">
        <v>463.13600000000002</v>
      </c>
      <c r="AN66" s="92" t="s">
        <v>3</v>
      </c>
      <c r="AO66" s="94" t="s">
        <v>3</v>
      </c>
      <c r="AP66" s="76" t="s">
        <v>3</v>
      </c>
      <c r="AQ66" s="76">
        <v>498.72500000000002</v>
      </c>
      <c r="AR66" s="76">
        <v>566.08000000000004</v>
      </c>
      <c r="AS66" s="76">
        <v>610.96600000000001</v>
      </c>
      <c r="AT66" s="76">
        <v>563.46500000000003</v>
      </c>
      <c r="AU66" s="76">
        <v>796.35699999999997</v>
      </c>
      <c r="AV66" s="76">
        <v>580.27099999999996</v>
      </c>
      <c r="AW66" s="76">
        <v>594.72400000000005</v>
      </c>
      <c r="AX66" s="76">
        <v>735.63400000000001</v>
      </c>
      <c r="AY66" s="76">
        <v>616.52700000000004</v>
      </c>
      <c r="AZ66" s="76">
        <v>649.46400000000006</v>
      </c>
      <c r="BA66" s="76">
        <v>726.11800000000005</v>
      </c>
      <c r="BB66" s="76">
        <v>449.49900000000002</v>
      </c>
      <c r="BC66" s="76">
        <v>735.90542183474997</v>
      </c>
      <c r="BD66" s="76">
        <v>728.83</v>
      </c>
      <c r="BE66" s="76">
        <v>704.83081224272303</v>
      </c>
      <c r="BF66" s="76">
        <v>1032.4590767394311</v>
      </c>
      <c r="BG66" s="76">
        <v>908.30700000000002</v>
      </c>
      <c r="BH66" s="76">
        <v>1002.149</v>
      </c>
      <c r="BI66" s="190"/>
      <c r="BJ66" s="76">
        <v>1364.3869999999999</v>
      </c>
      <c r="BK66" s="76">
        <v>1446.9359999999999</v>
      </c>
      <c r="BL66" s="76">
        <v>555.48400000000004</v>
      </c>
      <c r="BM66" s="76">
        <v>463.13600000000002</v>
      </c>
      <c r="BN66" s="76">
        <v>498.72500000000002</v>
      </c>
      <c r="BO66" s="76">
        <v>796.35699999999997</v>
      </c>
      <c r="BP66" s="76">
        <f>AY66</f>
        <v>616.52700000000004</v>
      </c>
      <c r="BQ66" s="76">
        <v>735.90542183474997</v>
      </c>
      <c r="BR66" s="76">
        <v>908.30700000000002</v>
      </c>
    </row>
    <row r="67" spans="2:70" s="7" customFormat="1" ht="14.5" outlineLevel="1" x14ac:dyDescent="0.35">
      <c r="B67" s="56" t="str">
        <f>IF(Control!$D$5=1,"Current Liabilities","Passivo Circulante")</f>
        <v>Current Liabilities</v>
      </c>
      <c r="C67" s="92" t="s">
        <v>3</v>
      </c>
      <c r="D67" s="92" t="s">
        <v>3</v>
      </c>
      <c r="E67" s="92" t="s">
        <v>3</v>
      </c>
      <c r="F67" s="92" t="s">
        <v>3</v>
      </c>
      <c r="G67" s="92" t="s">
        <v>3</v>
      </c>
      <c r="H67" s="92" t="s">
        <v>3</v>
      </c>
      <c r="I67" s="92" t="s">
        <v>3</v>
      </c>
      <c r="J67" s="92" t="s">
        <v>3</v>
      </c>
      <c r="K67" s="92" t="s">
        <v>3</v>
      </c>
      <c r="L67" s="92" t="s">
        <v>3</v>
      </c>
      <c r="M67" s="92" t="s">
        <v>3</v>
      </c>
      <c r="N67" s="92" t="s">
        <v>3</v>
      </c>
      <c r="O67" s="92" t="s">
        <v>3</v>
      </c>
      <c r="P67" s="92" t="s">
        <v>3</v>
      </c>
      <c r="Q67" s="92" t="s">
        <v>3</v>
      </c>
      <c r="R67" s="92" t="s">
        <v>3</v>
      </c>
      <c r="S67" s="92" t="s">
        <v>3</v>
      </c>
      <c r="T67" s="92" t="s">
        <v>3</v>
      </c>
      <c r="U67" s="92" t="s">
        <v>3</v>
      </c>
      <c r="V67" s="92" t="s">
        <v>3</v>
      </c>
      <c r="W67" s="92" t="s">
        <v>3</v>
      </c>
      <c r="X67" s="76">
        <v>618.45799999999997</v>
      </c>
      <c r="Y67" s="76" t="s">
        <v>3</v>
      </c>
      <c r="Z67" s="76" t="s">
        <v>3</v>
      </c>
      <c r="AA67" s="76">
        <v>313.12299999999999</v>
      </c>
      <c r="AB67" s="76">
        <v>635.34799999999996</v>
      </c>
      <c r="AC67" s="76">
        <v>396.75200000000001</v>
      </c>
      <c r="AD67" s="76">
        <v>408.15899999999999</v>
      </c>
      <c r="AE67" s="76">
        <v>334.101</v>
      </c>
      <c r="AF67" s="76" t="s">
        <v>3</v>
      </c>
      <c r="AG67" s="76">
        <v>801.99199999999996</v>
      </c>
      <c r="AH67" s="76" t="s">
        <v>3</v>
      </c>
      <c r="AI67" s="76">
        <v>515.46100000000001</v>
      </c>
      <c r="AJ67" s="76" t="s">
        <v>3</v>
      </c>
      <c r="AK67" s="76" t="s">
        <v>3</v>
      </c>
      <c r="AL67" s="76" t="s">
        <v>3</v>
      </c>
      <c r="AM67" s="76">
        <v>363.90699999999998</v>
      </c>
      <c r="AN67" s="92" t="s">
        <v>3</v>
      </c>
      <c r="AO67" s="94" t="s">
        <v>3</v>
      </c>
      <c r="AP67" s="76" t="s">
        <v>3</v>
      </c>
      <c r="AQ67" s="76">
        <v>334.60700000000003</v>
      </c>
      <c r="AR67" s="76">
        <v>890.77099999999996</v>
      </c>
      <c r="AS67" s="76">
        <v>633.80200000000002</v>
      </c>
      <c r="AT67" s="76">
        <v>514.30899999999997</v>
      </c>
      <c r="AU67" s="76">
        <v>477.91500000000002</v>
      </c>
      <c r="AV67" s="76">
        <v>903.39800000000002</v>
      </c>
      <c r="AW67" s="76">
        <v>658.63800000000003</v>
      </c>
      <c r="AX67" s="76">
        <v>612.36300000000006</v>
      </c>
      <c r="AY67" s="76">
        <v>203.50200000000001</v>
      </c>
      <c r="AZ67" s="76">
        <v>1382.365</v>
      </c>
      <c r="BA67" s="76">
        <v>814.096</v>
      </c>
      <c r="BB67" s="76">
        <v>528.726</v>
      </c>
      <c r="BC67" s="76">
        <v>486.602404254958</v>
      </c>
      <c r="BD67" s="76">
        <v>1270.6369999999999</v>
      </c>
      <c r="BE67" s="76">
        <v>652.36113885105397</v>
      </c>
      <c r="BF67" s="76">
        <v>1184.0980837098816</v>
      </c>
      <c r="BG67" s="76">
        <v>1006.939</v>
      </c>
      <c r="BH67" s="76">
        <v>1531.3620000000001</v>
      </c>
      <c r="BI67" s="190"/>
      <c r="BJ67" s="70">
        <v>313.12299999999999</v>
      </c>
      <c r="BK67" s="76">
        <v>334.101</v>
      </c>
      <c r="BL67" s="76">
        <v>515.46100000000001</v>
      </c>
      <c r="BM67" s="76">
        <v>363.90699999999998</v>
      </c>
      <c r="BN67" s="76">
        <v>334.60700000000003</v>
      </c>
      <c r="BO67" s="76">
        <v>477.91500000000002</v>
      </c>
      <c r="BP67" s="76">
        <f>AY67</f>
        <v>203.50200000000001</v>
      </c>
      <c r="BQ67" s="76">
        <v>486.602404254958</v>
      </c>
      <c r="BR67" s="76">
        <v>1006.939</v>
      </c>
    </row>
    <row r="68" spans="2:70" s="7" customFormat="1" ht="14.5" outlineLevel="1" x14ac:dyDescent="0.35">
      <c r="B68" s="56" t="str">
        <f>IF(Control!$D$5=1,"Long Term Liabilities","Passivo não Circulante")</f>
        <v>Long Term Liabilities</v>
      </c>
      <c r="C68" s="92" t="s">
        <v>3</v>
      </c>
      <c r="D68" s="92" t="s">
        <v>3</v>
      </c>
      <c r="E68" s="92" t="s">
        <v>3</v>
      </c>
      <c r="F68" s="92" t="s">
        <v>3</v>
      </c>
      <c r="G68" s="92" t="s">
        <v>3</v>
      </c>
      <c r="H68" s="92" t="s">
        <v>3</v>
      </c>
      <c r="I68" s="92" t="s">
        <v>3</v>
      </c>
      <c r="J68" s="92" t="s">
        <v>3</v>
      </c>
      <c r="K68" s="92" t="s">
        <v>3</v>
      </c>
      <c r="L68" s="92" t="s">
        <v>3</v>
      </c>
      <c r="M68" s="92" t="s">
        <v>3</v>
      </c>
      <c r="N68" s="92" t="s">
        <v>3</v>
      </c>
      <c r="O68" s="92" t="s">
        <v>3</v>
      </c>
      <c r="P68" s="92" t="s">
        <v>3</v>
      </c>
      <c r="Q68" s="92" t="s">
        <v>3</v>
      </c>
      <c r="R68" s="92" t="s">
        <v>3</v>
      </c>
      <c r="S68" s="92" t="s">
        <v>3</v>
      </c>
      <c r="T68" s="92" t="s">
        <v>3</v>
      </c>
      <c r="U68" s="92" t="s">
        <v>3</v>
      </c>
      <c r="V68" s="92" t="s">
        <v>3</v>
      </c>
      <c r="W68" s="92" t="s">
        <v>3</v>
      </c>
      <c r="X68" s="76">
        <v>78.881</v>
      </c>
      <c r="Y68" s="76" t="s">
        <v>3</v>
      </c>
      <c r="Z68" s="76" t="s">
        <v>3</v>
      </c>
      <c r="AA68" s="76">
        <v>85.864000000000004</v>
      </c>
      <c r="AB68" s="76">
        <v>76.994</v>
      </c>
      <c r="AC68" s="76">
        <v>64.087000000000003</v>
      </c>
      <c r="AD68" s="76">
        <v>177.27500000000001</v>
      </c>
      <c r="AE68" s="76">
        <v>171.90299999999999</v>
      </c>
      <c r="AF68" s="76" t="s">
        <v>3</v>
      </c>
      <c r="AG68" s="76">
        <v>180.203</v>
      </c>
      <c r="AH68" s="76" t="s">
        <v>3</v>
      </c>
      <c r="AI68" s="76">
        <v>193.93700000000001</v>
      </c>
      <c r="AJ68" s="76" t="s">
        <v>3</v>
      </c>
      <c r="AK68" s="76" t="s">
        <v>3</v>
      </c>
      <c r="AL68" s="76" t="s">
        <v>3</v>
      </c>
      <c r="AM68" s="76">
        <v>197.81200000000001</v>
      </c>
      <c r="AN68" s="92" t="s">
        <v>3</v>
      </c>
      <c r="AO68" s="94" t="s">
        <v>3</v>
      </c>
      <c r="AP68" s="76" t="s">
        <v>3</v>
      </c>
      <c r="AQ68" s="76">
        <v>134.72499999999999</v>
      </c>
      <c r="AR68" s="76">
        <v>146.36199999999999</v>
      </c>
      <c r="AS68" s="76">
        <v>148.99700000000001</v>
      </c>
      <c r="AT68" s="76">
        <v>128.67500000000001</v>
      </c>
      <c r="AU68" s="76">
        <v>165.53700000000001</v>
      </c>
      <c r="AV68" s="76">
        <v>122.313</v>
      </c>
      <c r="AW68" s="76">
        <v>116.736</v>
      </c>
      <c r="AX68" s="76">
        <v>115.01</v>
      </c>
      <c r="AY68" s="76">
        <v>125.931</v>
      </c>
      <c r="AZ68" s="76">
        <v>397.25599999999997</v>
      </c>
      <c r="BA68" s="76">
        <v>385.74099999999999</v>
      </c>
      <c r="BB68" s="76">
        <v>304.78199999999998</v>
      </c>
      <c r="BC68" s="76">
        <v>298.94328216999997</v>
      </c>
      <c r="BD68" s="76">
        <v>250.904</v>
      </c>
      <c r="BE68" s="76">
        <v>224.61070570000001</v>
      </c>
      <c r="BF68" s="76">
        <v>271.77163902000012</v>
      </c>
      <c r="BG68" s="76">
        <v>185.059</v>
      </c>
      <c r="BH68" s="76">
        <v>466.36799999999999</v>
      </c>
      <c r="BI68" s="190"/>
      <c r="BJ68" s="76">
        <v>85.864000000000004</v>
      </c>
      <c r="BK68" s="76">
        <v>171.90299999999999</v>
      </c>
      <c r="BL68" s="76">
        <v>193.93700000000001</v>
      </c>
      <c r="BM68" s="76">
        <v>197.81200000000001</v>
      </c>
      <c r="BN68" s="76">
        <v>134.72499999999999</v>
      </c>
      <c r="BO68" s="76">
        <v>165.53700000000001</v>
      </c>
      <c r="BP68" s="76">
        <f>AY68</f>
        <v>125.931</v>
      </c>
      <c r="BQ68" s="76">
        <v>298.94328216999997</v>
      </c>
      <c r="BR68" s="76">
        <v>185.059</v>
      </c>
    </row>
    <row r="69" spans="2:70" s="7" customFormat="1" ht="14.5" outlineLevel="1" x14ac:dyDescent="0.35">
      <c r="B69" s="56"/>
      <c r="C69" s="8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86"/>
      <c r="Y69" s="86"/>
      <c r="Z69" s="86"/>
      <c r="AA69" s="86"/>
      <c r="AB69" s="86"/>
      <c r="AC69" s="86"/>
      <c r="AD69" s="86"/>
      <c r="AE69" s="86"/>
      <c r="AF69" s="76"/>
      <c r="AG69" s="86"/>
      <c r="AH69" s="86"/>
      <c r="AI69" s="86"/>
      <c r="AJ69" s="86"/>
      <c r="AK69" s="86"/>
      <c r="AL69" s="86"/>
      <c r="AM69" s="86"/>
      <c r="AN69" s="86"/>
      <c r="AO69" s="123"/>
      <c r="AP69" s="86"/>
      <c r="AQ69" s="86"/>
      <c r="AR69" s="86"/>
      <c r="AS69" s="86"/>
      <c r="AT69" s="8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190"/>
      <c r="BJ69" s="123"/>
      <c r="BK69" s="123"/>
      <c r="BL69" s="86"/>
      <c r="BM69" s="86"/>
      <c r="BN69" s="86"/>
      <c r="BO69" s="86"/>
      <c r="BP69" s="86"/>
      <c r="BQ69" s="86"/>
      <c r="BR69" s="76"/>
    </row>
    <row r="70" spans="2:70" s="7" customFormat="1" ht="14.5" outlineLevel="1" x14ac:dyDescent="0.35">
      <c r="B70" s="56" t="str">
        <f>IF(Control!$D$5=1,"Depreciation and Amortization","Depreciação e Amortização")</f>
        <v>Depreciation and Amortization</v>
      </c>
      <c r="C70" s="92" t="s">
        <v>3</v>
      </c>
      <c r="D70" s="92" t="s">
        <v>3</v>
      </c>
      <c r="E70" s="92" t="s">
        <v>3</v>
      </c>
      <c r="F70" s="92" t="s">
        <v>3</v>
      </c>
      <c r="G70" s="92" t="s">
        <v>3</v>
      </c>
      <c r="H70" s="92" t="s">
        <v>3</v>
      </c>
      <c r="I70" s="92" t="s">
        <v>3</v>
      </c>
      <c r="J70" s="92" t="s">
        <v>3</v>
      </c>
      <c r="K70" s="92" t="s">
        <v>3</v>
      </c>
      <c r="L70" s="92" t="s">
        <v>3</v>
      </c>
      <c r="M70" s="92" t="s">
        <v>3</v>
      </c>
      <c r="N70" s="92" t="s">
        <v>3</v>
      </c>
      <c r="O70" s="92" t="s">
        <v>3</v>
      </c>
      <c r="P70" s="92" t="s">
        <v>3</v>
      </c>
      <c r="Q70" s="92" t="s">
        <v>3</v>
      </c>
      <c r="R70" s="92" t="s">
        <v>3</v>
      </c>
      <c r="S70" s="92" t="s">
        <v>3</v>
      </c>
      <c r="T70" s="92" t="s">
        <v>3</v>
      </c>
      <c r="U70" s="92" t="s">
        <v>3</v>
      </c>
      <c r="V70" s="92" t="s">
        <v>3</v>
      </c>
      <c r="W70" s="92" t="s">
        <v>3</v>
      </c>
      <c r="X70" s="92">
        <v>4.4000000000000004</v>
      </c>
      <c r="Y70" s="76">
        <f>39.6-X70-Y28-X28</f>
        <v>5.7000000000000046</v>
      </c>
      <c r="Z70" s="295">
        <v>5.099999999999997</v>
      </c>
      <c r="AA70" s="76">
        <v>7.0999999999999943</v>
      </c>
      <c r="AB70" s="92">
        <v>5.2999999999999989</v>
      </c>
      <c r="AC70" s="76">
        <v>4.8000000000000025</v>
      </c>
      <c r="AD70" s="76">
        <v>5.6000000000000014</v>
      </c>
      <c r="AE70" s="76">
        <v>7.5000000000000027</v>
      </c>
      <c r="AF70" s="76">
        <v>7</v>
      </c>
      <c r="AG70" s="76">
        <v>7.1000000000000014</v>
      </c>
      <c r="AH70" s="76">
        <v>8.8999999999999986</v>
      </c>
      <c r="AI70" s="76">
        <v>9.0999999999999801</v>
      </c>
      <c r="AJ70" s="76">
        <v>9.3000000000000007</v>
      </c>
      <c r="AK70" s="76">
        <v>7.5519999999999996</v>
      </c>
      <c r="AL70" s="76">
        <v>9.902000000000001</v>
      </c>
      <c r="AM70" s="76">
        <v>5.3170000000000002</v>
      </c>
      <c r="AN70" s="92">
        <v>7.4</v>
      </c>
      <c r="AO70" s="94">
        <v>7.7</v>
      </c>
      <c r="AP70" s="76">
        <v>10.244</v>
      </c>
      <c r="AQ70" s="76">
        <v>6.0549999999999997</v>
      </c>
      <c r="AR70" s="220">
        <v>8.6</v>
      </c>
      <c r="AS70" s="220">
        <v>11.000000000000002</v>
      </c>
      <c r="AT70" s="220">
        <v>8.0999999999999979</v>
      </c>
      <c r="AU70" s="76">
        <v>9.9</v>
      </c>
      <c r="AV70" s="76">
        <v>11.7</v>
      </c>
      <c r="AW70" s="76">
        <v>11.151999999999999</v>
      </c>
      <c r="AX70" s="76">
        <v>11.883999999999997</v>
      </c>
      <c r="AY70" s="76">
        <v>11.948</v>
      </c>
      <c r="AZ70" s="76">
        <v>14.801</v>
      </c>
      <c r="BA70" s="76">
        <v>14.421999999999999</v>
      </c>
      <c r="BB70" s="76">
        <v>15.194000000000001</v>
      </c>
      <c r="BC70" s="76">
        <v>19.372</v>
      </c>
      <c r="BD70" s="76">
        <v>12.9</v>
      </c>
      <c r="BE70" s="76">
        <v>11.137</v>
      </c>
      <c r="BF70" s="76">
        <v>12.31</v>
      </c>
      <c r="BG70" s="76">
        <v>13.141999999999999</v>
      </c>
      <c r="BH70" s="220">
        <v>13.701000000000001</v>
      </c>
      <c r="BI70" s="190"/>
      <c r="BJ70" s="76">
        <v>21.478000000000009</v>
      </c>
      <c r="BK70" s="76">
        <v>23.119000000000007</v>
      </c>
      <c r="BL70" s="76">
        <v>31.001000000000001</v>
      </c>
      <c r="BM70" s="94">
        <v>30.599</v>
      </c>
      <c r="BN70" s="76">
        <v>31.4</v>
      </c>
      <c r="BO70" s="76">
        <v>37.588999999999999</v>
      </c>
      <c r="BP70" s="76">
        <f>SUM(AV70:AY70)</f>
        <v>46.68399999999999</v>
      </c>
      <c r="BQ70" s="220">
        <f>SUM(AZ70:BC70)</f>
        <v>63.789000000000001</v>
      </c>
      <c r="BR70" s="76">
        <v>49.496000000000002</v>
      </c>
    </row>
    <row r="71" spans="2:70" s="7" customFormat="1" ht="14.5" outlineLevel="1" x14ac:dyDescent="0.35">
      <c r="B71" s="56" t="str">
        <f>IF(Control!$D$5=1,"Capex","Capex")</f>
        <v>Capex</v>
      </c>
      <c r="C71" s="92" t="s">
        <v>3</v>
      </c>
      <c r="D71" s="92" t="s">
        <v>3</v>
      </c>
      <c r="E71" s="92" t="s">
        <v>3</v>
      </c>
      <c r="F71" s="92" t="s">
        <v>3</v>
      </c>
      <c r="G71" s="92" t="s">
        <v>3</v>
      </c>
      <c r="H71" s="92" t="s">
        <v>3</v>
      </c>
      <c r="I71" s="92" t="s">
        <v>3</v>
      </c>
      <c r="J71" s="92" t="s">
        <v>3</v>
      </c>
      <c r="K71" s="92" t="s">
        <v>3</v>
      </c>
      <c r="L71" s="92" t="s">
        <v>3</v>
      </c>
      <c r="M71" s="92" t="s">
        <v>3</v>
      </c>
      <c r="N71" s="92" t="s">
        <v>3</v>
      </c>
      <c r="O71" s="92" t="s">
        <v>3</v>
      </c>
      <c r="P71" s="92" t="s">
        <v>3</v>
      </c>
      <c r="Q71" s="92" t="s">
        <v>3</v>
      </c>
      <c r="R71" s="92" t="s">
        <v>3</v>
      </c>
      <c r="S71" s="92" t="s">
        <v>3</v>
      </c>
      <c r="T71" s="92" t="s">
        <v>3</v>
      </c>
      <c r="U71" s="92" t="s">
        <v>3</v>
      </c>
      <c r="V71" s="92" t="s">
        <v>3</v>
      </c>
      <c r="W71" s="92" t="s">
        <v>3</v>
      </c>
      <c r="X71" s="92" t="s">
        <v>3</v>
      </c>
      <c r="Y71" s="76" t="s">
        <v>3</v>
      </c>
      <c r="Z71" s="76" t="s">
        <v>3</v>
      </c>
      <c r="AA71" s="76" t="s">
        <v>3</v>
      </c>
      <c r="AB71" s="92" t="s">
        <v>3</v>
      </c>
      <c r="AC71" s="76" t="s">
        <v>3</v>
      </c>
      <c r="AD71" s="76" t="s">
        <v>3</v>
      </c>
      <c r="AE71" s="76" t="s">
        <v>3</v>
      </c>
      <c r="AF71" s="76" t="s">
        <v>3</v>
      </c>
      <c r="AG71" s="76" t="s">
        <v>3</v>
      </c>
      <c r="AH71" s="76" t="s">
        <v>3</v>
      </c>
      <c r="AI71" s="76">
        <v>39.923999999999999</v>
      </c>
      <c r="AJ71" s="76" t="s">
        <v>3</v>
      </c>
      <c r="AK71" s="76" t="s">
        <v>3</v>
      </c>
      <c r="AL71" s="76" t="s">
        <v>3</v>
      </c>
      <c r="AM71" s="76" t="s">
        <v>3</v>
      </c>
      <c r="AN71" s="92" t="s">
        <v>3</v>
      </c>
      <c r="AO71" s="94" t="s">
        <v>3</v>
      </c>
      <c r="AP71" s="76" t="s">
        <v>3</v>
      </c>
      <c r="AQ71" s="76" t="s">
        <v>3</v>
      </c>
      <c r="AR71" s="70" t="s">
        <v>3</v>
      </c>
      <c r="AS71" s="70" t="s">
        <v>3</v>
      </c>
      <c r="AT71" s="70" t="s">
        <v>3</v>
      </c>
      <c r="AU71" s="76" t="s">
        <v>3</v>
      </c>
      <c r="AV71" s="76" t="s">
        <v>3</v>
      </c>
      <c r="AW71" s="76" t="s">
        <v>3</v>
      </c>
      <c r="AX71" s="76" t="s">
        <v>3</v>
      </c>
      <c r="AY71" s="76" t="s">
        <v>3</v>
      </c>
      <c r="AZ71" s="76" t="s">
        <v>3</v>
      </c>
      <c r="BA71" s="76" t="s">
        <v>3</v>
      </c>
      <c r="BB71" s="76" t="s">
        <v>3</v>
      </c>
      <c r="BC71" s="76" t="s">
        <v>3</v>
      </c>
      <c r="BD71" s="76" t="s">
        <v>3</v>
      </c>
      <c r="BE71" s="76" t="s">
        <v>3</v>
      </c>
      <c r="BF71" s="76" t="s">
        <v>3</v>
      </c>
      <c r="BG71" s="76" t="s">
        <v>3</v>
      </c>
      <c r="BH71" s="76" t="s">
        <v>3</v>
      </c>
      <c r="BI71" s="190"/>
      <c r="BJ71" s="92" t="s">
        <v>3</v>
      </c>
      <c r="BK71" s="92" t="s">
        <v>3</v>
      </c>
      <c r="BL71" s="76">
        <v>39.923999999999999</v>
      </c>
      <c r="BM71" s="76" t="s">
        <v>3</v>
      </c>
      <c r="BN71" s="76" t="s">
        <v>3</v>
      </c>
      <c r="BO71" s="76" t="s">
        <v>3</v>
      </c>
      <c r="BP71" s="70" t="s">
        <v>3</v>
      </c>
      <c r="BQ71" s="70" t="s">
        <v>3</v>
      </c>
      <c r="BR71" s="76" t="s">
        <v>3</v>
      </c>
    </row>
    <row r="72" spans="2:70" s="7" customFormat="1" ht="14.5" outlineLevel="1" x14ac:dyDescent="0.35">
      <c r="B72" s="56"/>
      <c r="C72" s="87"/>
      <c r="D72" s="56"/>
      <c r="E72" s="87"/>
      <c r="F72" s="87"/>
      <c r="G72" s="87"/>
      <c r="H72" s="56"/>
      <c r="I72" s="87"/>
      <c r="J72" s="87"/>
      <c r="K72" s="87"/>
      <c r="L72" s="56"/>
      <c r="M72" s="87"/>
      <c r="N72" s="87"/>
      <c r="O72" s="87"/>
      <c r="P72" s="56"/>
      <c r="Q72" s="87"/>
      <c r="R72" s="87"/>
      <c r="S72" s="87"/>
      <c r="T72" s="56"/>
      <c r="U72" s="87"/>
      <c r="V72" s="87"/>
      <c r="W72" s="87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190"/>
      <c r="BJ72" s="123"/>
      <c r="BK72" s="123"/>
      <c r="BL72" s="86"/>
      <c r="BM72" s="86"/>
      <c r="BN72" s="86"/>
      <c r="BO72" s="86"/>
      <c r="BP72" s="86"/>
      <c r="BQ72" s="86"/>
      <c r="BR72" s="86"/>
    </row>
    <row r="73" spans="2:70" s="7" customFormat="1" ht="14.5" x14ac:dyDescent="0.35">
      <c r="B73" s="129" t="str">
        <f>IF(Control!$D$5=1,"EBITDA Reconciliation","Reconciliação EBITDA")</f>
        <v>EBITDA Reconciliation</v>
      </c>
      <c r="C73" s="219"/>
      <c r="D73" s="129"/>
      <c r="E73" s="219"/>
      <c r="F73" s="219"/>
      <c r="G73" s="219"/>
      <c r="H73" s="129"/>
      <c r="I73" s="219"/>
      <c r="J73" s="219"/>
      <c r="K73" s="219"/>
      <c r="L73" s="129"/>
      <c r="M73" s="219"/>
      <c r="N73" s="219"/>
      <c r="O73" s="219"/>
      <c r="P73" s="129"/>
      <c r="Q73" s="219"/>
      <c r="R73" s="219"/>
      <c r="S73" s="219"/>
      <c r="T73" s="129"/>
      <c r="U73" s="219"/>
      <c r="V73" s="219"/>
      <c r="W73" s="219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90"/>
      <c r="BJ73" s="131"/>
      <c r="BK73" s="131"/>
      <c r="BL73" s="131"/>
      <c r="BM73" s="131"/>
      <c r="BN73" s="131"/>
      <c r="BO73" s="131"/>
      <c r="BP73" s="131"/>
      <c r="BQ73" s="131"/>
      <c r="BR73" s="131"/>
    </row>
    <row r="74" spans="2:70" s="7" customFormat="1" ht="14.5" x14ac:dyDescent="0.35">
      <c r="B74" s="56" t="str">
        <f>IF(Control!$D$5=1,"Net Income","Lucro Líquido")</f>
        <v>Net Income</v>
      </c>
      <c r="C74" s="92" t="s">
        <v>3</v>
      </c>
      <c r="D74" s="92" t="s">
        <v>3</v>
      </c>
      <c r="E74" s="92" t="s">
        <v>3</v>
      </c>
      <c r="F74" s="92" t="s">
        <v>3</v>
      </c>
      <c r="G74" s="92" t="s">
        <v>3</v>
      </c>
      <c r="H74" s="92" t="s">
        <v>3</v>
      </c>
      <c r="I74" s="92" t="s">
        <v>3</v>
      </c>
      <c r="J74" s="92" t="s">
        <v>3</v>
      </c>
      <c r="K74" s="92" t="s">
        <v>3</v>
      </c>
      <c r="L74" s="92" t="s">
        <v>3</v>
      </c>
      <c r="M74" s="92" t="s">
        <v>3</v>
      </c>
      <c r="N74" s="92" t="s">
        <v>3</v>
      </c>
      <c r="O74" s="92" t="s">
        <v>3</v>
      </c>
      <c r="P74" s="92" t="s">
        <v>3</v>
      </c>
      <c r="Q74" s="92" t="s">
        <v>3</v>
      </c>
      <c r="R74" s="92" t="s">
        <v>3</v>
      </c>
      <c r="S74" s="92" t="s">
        <v>3</v>
      </c>
      <c r="T74" s="92" t="s">
        <v>3</v>
      </c>
      <c r="U74" s="92" t="s">
        <v>3</v>
      </c>
      <c r="V74" s="92" t="s">
        <v>3</v>
      </c>
      <c r="W74" s="92" t="s">
        <v>3</v>
      </c>
      <c r="X74" s="94">
        <f t="shared" ref="X74:AN74" si="79">+X63</f>
        <v>9.5910000000000011</v>
      </c>
      <c r="Y74" s="94">
        <f t="shared" si="79"/>
        <v>5.4479999999999924</v>
      </c>
      <c r="Z74" s="94">
        <f t="shared" si="79"/>
        <v>7.0480000000000098</v>
      </c>
      <c r="AA74" s="94">
        <f t="shared" si="79"/>
        <v>9.4179999999999922</v>
      </c>
      <c r="AB74" s="94">
        <f t="shared" si="79"/>
        <v>12.732999999999999</v>
      </c>
      <c r="AC74" s="94">
        <f t="shared" si="79"/>
        <v>14.332000000000006</v>
      </c>
      <c r="AD74" s="94">
        <f t="shared" si="79"/>
        <v>11.067999999999998</v>
      </c>
      <c r="AE74" s="94">
        <f t="shared" si="79"/>
        <v>0.68870000000000076</v>
      </c>
      <c r="AF74" s="94">
        <f t="shared" si="79"/>
        <v>8.4429999999999943</v>
      </c>
      <c r="AG74" s="94">
        <f t="shared" si="79"/>
        <v>19.367999999999999</v>
      </c>
      <c r="AH74" s="94">
        <f t="shared" si="79"/>
        <v>12.133999999999983</v>
      </c>
      <c r="AI74" s="94">
        <f t="shared" si="79"/>
        <v>-3.7449999999999442</v>
      </c>
      <c r="AJ74" s="94">
        <f t="shared" si="79"/>
        <v>13.596999999999994</v>
      </c>
      <c r="AK74" s="94">
        <f t="shared" si="79"/>
        <v>20.573000000000011</v>
      </c>
      <c r="AL74" s="94">
        <f t="shared" si="79"/>
        <v>19.270999999999994</v>
      </c>
      <c r="AM74" s="94">
        <f t="shared" si="79"/>
        <v>14.210000000000015</v>
      </c>
      <c r="AN74" s="94">
        <f t="shared" si="79"/>
        <v>22.477000000000007</v>
      </c>
      <c r="AO74" s="94">
        <f t="shared" ref="AO74:AZ74" si="80">+AO63</f>
        <v>16.073999999999977</v>
      </c>
      <c r="AP74" s="94">
        <f t="shared" si="80"/>
        <v>23.388000000000027</v>
      </c>
      <c r="AQ74" s="94">
        <f t="shared" si="80"/>
        <v>15.261000000000031</v>
      </c>
      <c r="AR74" s="94">
        <f t="shared" si="80"/>
        <v>16.000000000000014</v>
      </c>
      <c r="AS74" s="94">
        <f t="shared" si="80"/>
        <v>36.583000000000027</v>
      </c>
      <c r="AT74" s="94">
        <f t="shared" si="80"/>
        <v>26.999999999999972</v>
      </c>
      <c r="AU74" s="94">
        <f t="shared" si="80"/>
        <v>21.9</v>
      </c>
      <c r="AV74" s="94">
        <f t="shared" si="80"/>
        <v>19.100000000000019</v>
      </c>
      <c r="AW74" s="94">
        <f t="shared" si="80"/>
        <v>14.766000000000023</v>
      </c>
      <c r="AX74" s="94">
        <f t="shared" si="80"/>
        <v>21.763999999999896</v>
      </c>
      <c r="AY74" s="94">
        <f t="shared" si="80"/>
        <v>23.353000000000016</v>
      </c>
      <c r="AZ74" s="94">
        <f t="shared" si="80"/>
        <v>41.145999999999944</v>
      </c>
      <c r="BA74" s="94">
        <v>42.297000000000068</v>
      </c>
      <c r="BB74" s="94">
        <f t="shared" ref="BB74:BG74" si="81">BB63</f>
        <v>28.967999999999996</v>
      </c>
      <c r="BC74" s="94">
        <f t="shared" si="81"/>
        <v>9.2684222517058608</v>
      </c>
      <c r="BD74" s="94">
        <f t="shared" si="81"/>
        <v>35.057999999999979</v>
      </c>
      <c r="BE74" s="94">
        <f t="shared" si="81"/>
        <v>39.368957010572473</v>
      </c>
      <c r="BF74" s="94">
        <f t="shared" si="81"/>
        <v>37.550822757848145</v>
      </c>
      <c r="BG74" s="94">
        <f t="shared" si="81"/>
        <v>66.972010499793868</v>
      </c>
      <c r="BH74" s="94">
        <v>36.861706945880307</v>
      </c>
      <c r="BI74" s="190"/>
      <c r="BJ74" s="94">
        <f t="shared" ref="BJ74:BQ74" si="82">+BJ63</f>
        <v>31.504999999999992</v>
      </c>
      <c r="BK74" s="94">
        <f t="shared" si="82"/>
        <v>38.821700000000007</v>
      </c>
      <c r="BL74" s="94">
        <f t="shared" si="82"/>
        <v>36.200000000000031</v>
      </c>
      <c r="BM74" s="94">
        <f t="shared" si="82"/>
        <v>67.599999999999994</v>
      </c>
      <c r="BN74" s="94">
        <f t="shared" si="82"/>
        <v>77.200000000000017</v>
      </c>
      <c r="BO74" s="94">
        <f t="shared" si="82"/>
        <v>101.639</v>
      </c>
      <c r="BP74" s="94">
        <f t="shared" si="82"/>
        <v>78.982999999999947</v>
      </c>
      <c r="BQ74" s="94">
        <f t="shared" si="82"/>
        <v>119.88376648448526</v>
      </c>
      <c r="BR74" s="94">
        <f t="shared" ref="BR74" si="83">+BR63</f>
        <v>178.94979026821446</v>
      </c>
    </row>
    <row r="75" spans="2:70" s="7" customFormat="1" ht="14.5" x14ac:dyDescent="0.35">
      <c r="B75" s="132" t="str">
        <f>IF(Control!$D$5=1,"(+) Net Finacial Result","(+) Resultado Financeiro Líquido")</f>
        <v>(+) Net Finacial Result</v>
      </c>
      <c r="C75" s="92" t="s">
        <v>3</v>
      </c>
      <c r="D75" s="92" t="s">
        <v>3</v>
      </c>
      <c r="E75" s="92" t="s">
        <v>3</v>
      </c>
      <c r="F75" s="92" t="s">
        <v>3</v>
      </c>
      <c r="G75" s="92" t="s">
        <v>3</v>
      </c>
      <c r="H75" s="92" t="s">
        <v>3</v>
      </c>
      <c r="I75" s="92" t="s">
        <v>3</v>
      </c>
      <c r="J75" s="92" t="s">
        <v>3</v>
      </c>
      <c r="K75" s="92" t="s">
        <v>3</v>
      </c>
      <c r="L75" s="92" t="s">
        <v>3</v>
      </c>
      <c r="M75" s="92" t="s">
        <v>3</v>
      </c>
      <c r="N75" s="92" t="s">
        <v>3</v>
      </c>
      <c r="O75" s="92" t="s">
        <v>3</v>
      </c>
      <c r="P75" s="92" t="s">
        <v>3</v>
      </c>
      <c r="Q75" s="92" t="s">
        <v>3</v>
      </c>
      <c r="R75" s="92" t="s">
        <v>3</v>
      </c>
      <c r="S75" s="92" t="s">
        <v>3</v>
      </c>
      <c r="T75" s="92" t="s">
        <v>3</v>
      </c>
      <c r="U75" s="92" t="s">
        <v>3</v>
      </c>
      <c r="V75" s="92" t="s">
        <v>3</v>
      </c>
      <c r="W75" s="92" t="s">
        <v>3</v>
      </c>
      <c r="X75" s="116">
        <f t="shared" ref="X75:AN75" si="84">-X57</f>
        <v>5.3979999999999997</v>
      </c>
      <c r="Y75" s="116">
        <f t="shared" si="84"/>
        <v>9.4559999999999995</v>
      </c>
      <c r="Z75" s="116">
        <f t="shared" si="84"/>
        <v>3.7390000000000008</v>
      </c>
      <c r="AA75" s="116">
        <f t="shared" si="84"/>
        <v>5.9499999999999993</v>
      </c>
      <c r="AB75" s="116">
        <f t="shared" si="84"/>
        <v>2.8479999999999999</v>
      </c>
      <c r="AC75" s="116">
        <f t="shared" si="84"/>
        <v>4.2320000000000011</v>
      </c>
      <c r="AD75" s="116">
        <f t="shared" si="84"/>
        <v>4.9379999999999997</v>
      </c>
      <c r="AE75" s="116">
        <f t="shared" si="84"/>
        <v>5.9653</v>
      </c>
      <c r="AF75" s="116">
        <f t="shared" si="84"/>
        <v>5.1700000000000008</v>
      </c>
      <c r="AG75" s="116">
        <f t="shared" si="84"/>
        <v>7.9349999999999987</v>
      </c>
      <c r="AH75" s="116">
        <f t="shared" si="84"/>
        <v>8.8689999999999998</v>
      </c>
      <c r="AI75" s="116">
        <f t="shared" si="84"/>
        <v>8.5230000000000032</v>
      </c>
      <c r="AJ75" s="116">
        <f t="shared" si="84"/>
        <v>2.37</v>
      </c>
      <c r="AK75" s="116">
        <f t="shared" si="84"/>
        <v>5.137999999999999</v>
      </c>
      <c r="AL75" s="116">
        <f t="shared" si="84"/>
        <v>5.5039999999999996</v>
      </c>
      <c r="AM75" s="116">
        <f t="shared" si="84"/>
        <v>2.4959999999999969</v>
      </c>
      <c r="AN75" s="116">
        <f t="shared" si="84"/>
        <v>1.9639999999999995</v>
      </c>
      <c r="AO75" s="116">
        <f t="shared" ref="AO75:AZ75" si="85">-AO57</f>
        <v>5.52</v>
      </c>
      <c r="AP75" s="116">
        <f t="shared" si="85"/>
        <v>4.5390000000000024</v>
      </c>
      <c r="AQ75" s="116">
        <f t="shared" si="85"/>
        <v>4.3769999999999971</v>
      </c>
      <c r="AR75" s="116">
        <f t="shared" si="85"/>
        <v>3.2</v>
      </c>
      <c r="AS75" s="116">
        <f t="shared" si="85"/>
        <v>9.1170000000000009</v>
      </c>
      <c r="AT75" s="116">
        <f t="shared" si="85"/>
        <v>3.8999999999999968</v>
      </c>
      <c r="AU75" s="116">
        <f t="shared" si="85"/>
        <v>0</v>
      </c>
      <c r="AV75" s="116">
        <f t="shared" si="85"/>
        <v>0.70000000000000018</v>
      </c>
      <c r="AW75" s="116">
        <f t="shared" si="85"/>
        <v>3.1020000000000003</v>
      </c>
      <c r="AX75" s="116">
        <f t="shared" si="85"/>
        <v>4.2090000000000014</v>
      </c>
      <c r="AY75" s="116">
        <f t="shared" si="85"/>
        <v>0.9480000000000004</v>
      </c>
      <c r="AZ75" s="116">
        <f t="shared" si="85"/>
        <v>3.7440000000000007</v>
      </c>
      <c r="BA75" s="116">
        <v>3.7530000000000001</v>
      </c>
      <c r="BB75" s="116">
        <f t="shared" ref="BB75:BG75" si="86">-BB57</f>
        <v>1.5380000000000011</v>
      </c>
      <c r="BC75" s="116">
        <f t="shared" si="86"/>
        <v>9.8262848908613076</v>
      </c>
      <c r="BD75" s="116">
        <f t="shared" si="86"/>
        <v>2.7549999999999999</v>
      </c>
      <c r="BE75" s="116">
        <f t="shared" si="86"/>
        <v>-1.1333261305350897</v>
      </c>
      <c r="BF75" s="116">
        <f t="shared" si="86"/>
        <v>3.0589252365954893</v>
      </c>
      <c r="BG75" s="116">
        <f t="shared" si="86"/>
        <v>-4.0701409405267333</v>
      </c>
      <c r="BH75" s="116">
        <v>-2.0180000000000007</v>
      </c>
      <c r="BI75" s="190"/>
      <c r="BJ75" s="116">
        <f t="shared" ref="BJ75:BQ75" si="87">-BJ57</f>
        <v>24.542999999999999</v>
      </c>
      <c r="BK75" s="116">
        <f t="shared" si="87"/>
        <v>17.9833</v>
      </c>
      <c r="BL75" s="116">
        <f t="shared" si="87"/>
        <v>30.497000000000003</v>
      </c>
      <c r="BM75" s="116">
        <f t="shared" si="87"/>
        <v>15.499999999999996</v>
      </c>
      <c r="BN75" s="116">
        <f t="shared" si="87"/>
        <v>16.399999999999999</v>
      </c>
      <c r="BO75" s="116">
        <f t="shared" si="87"/>
        <v>16.335999999999999</v>
      </c>
      <c r="BP75" s="116">
        <f t="shared" si="87"/>
        <v>8.9590000000000032</v>
      </c>
      <c r="BQ75" s="116">
        <f t="shared" si="87"/>
        <v>18.861000000000001</v>
      </c>
      <c r="BR75" s="116">
        <f t="shared" ref="BR75" si="88">-BR57</f>
        <v>0.61045816553366627</v>
      </c>
    </row>
    <row r="76" spans="2:70" s="7" customFormat="1" ht="14.5" x14ac:dyDescent="0.35">
      <c r="B76" s="132" t="str">
        <f>IF(Control!$D$5=1,"(+) Income Taxes","(+) Imposto de Renda / CSLL")</f>
        <v>(+) Income Taxes</v>
      </c>
      <c r="C76" s="92" t="s">
        <v>3</v>
      </c>
      <c r="D76" s="92" t="s">
        <v>3</v>
      </c>
      <c r="E76" s="92" t="s">
        <v>3</v>
      </c>
      <c r="F76" s="92" t="s">
        <v>3</v>
      </c>
      <c r="G76" s="92" t="s">
        <v>3</v>
      </c>
      <c r="H76" s="92" t="s">
        <v>3</v>
      </c>
      <c r="I76" s="92" t="s">
        <v>3</v>
      </c>
      <c r="J76" s="92" t="s">
        <v>3</v>
      </c>
      <c r="K76" s="92" t="s">
        <v>3</v>
      </c>
      <c r="L76" s="92" t="s">
        <v>3</v>
      </c>
      <c r="M76" s="92" t="s">
        <v>3</v>
      </c>
      <c r="N76" s="92" t="s">
        <v>3</v>
      </c>
      <c r="O76" s="92" t="s">
        <v>3</v>
      </c>
      <c r="P76" s="92" t="s">
        <v>3</v>
      </c>
      <c r="Q76" s="92" t="s">
        <v>3</v>
      </c>
      <c r="R76" s="92" t="s">
        <v>3</v>
      </c>
      <c r="S76" s="92" t="s">
        <v>3</v>
      </c>
      <c r="T76" s="92" t="s">
        <v>3</v>
      </c>
      <c r="U76" s="92" t="s">
        <v>3</v>
      </c>
      <c r="V76" s="92" t="s">
        <v>3</v>
      </c>
      <c r="W76" s="92" t="s">
        <v>3</v>
      </c>
      <c r="X76" s="116">
        <f t="shared" ref="X76:AN76" si="89">-X62</f>
        <v>4.931</v>
      </c>
      <c r="Y76" s="116">
        <f t="shared" si="89"/>
        <v>3.2489999999999997</v>
      </c>
      <c r="Z76" s="116">
        <f t="shared" si="89"/>
        <v>-1.6789999999999994</v>
      </c>
      <c r="AA76" s="116">
        <f t="shared" si="89"/>
        <v>5.698999999999999</v>
      </c>
      <c r="AB76" s="116">
        <f t="shared" si="89"/>
        <v>3.1850000000000001</v>
      </c>
      <c r="AC76" s="116">
        <f t="shared" si="89"/>
        <v>1.8729999999999998</v>
      </c>
      <c r="AD76" s="116">
        <f t="shared" si="89"/>
        <v>3.3110000000000004</v>
      </c>
      <c r="AE76" s="116">
        <f t="shared" si="89"/>
        <v>8.52</v>
      </c>
      <c r="AF76" s="116">
        <f t="shared" si="89"/>
        <v>7.98</v>
      </c>
      <c r="AG76" s="116">
        <f t="shared" si="89"/>
        <v>1.6909999999999989</v>
      </c>
      <c r="AH76" s="116">
        <f t="shared" si="89"/>
        <v>9.0190000000000019</v>
      </c>
      <c r="AI76" s="116">
        <f t="shared" si="89"/>
        <v>1.916999999999998</v>
      </c>
      <c r="AJ76" s="116">
        <f t="shared" si="89"/>
        <v>1.5529999999999999</v>
      </c>
      <c r="AK76" s="116">
        <f t="shared" si="89"/>
        <v>6.3250000000000002</v>
      </c>
      <c r="AL76" s="116">
        <f t="shared" si="89"/>
        <v>2.8360000000000003</v>
      </c>
      <c r="AM76" s="116">
        <f t="shared" si="89"/>
        <v>4.6239999999999988</v>
      </c>
      <c r="AN76" s="116">
        <f t="shared" si="89"/>
        <v>-1.419</v>
      </c>
      <c r="AO76" s="116">
        <f t="shared" ref="AO76:AZ76" si="90">-AO62</f>
        <v>8.016</v>
      </c>
      <c r="AP76" s="116">
        <f t="shared" si="90"/>
        <v>4.8939999999999992</v>
      </c>
      <c r="AQ76" s="116">
        <f t="shared" si="90"/>
        <v>5.9089999999999989</v>
      </c>
      <c r="AR76" s="116">
        <f t="shared" si="90"/>
        <v>6.8</v>
      </c>
      <c r="AS76" s="116">
        <f t="shared" si="90"/>
        <v>5.8</v>
      </c>
      <c r="AT76" s="116">
        <f t="shared" si="90"/>
        <v>4.2000000000000011</v>
      </c>
      <c r="AU76" s="116">
        <f t="shared" si="90"/>
        <v>4.4000000000000004</v>
      </c>
      <c r="AV76" s="116">
        <f t="shared" si="90"/>
        <v>5.8</v>
      </c>
      <c r="AW76" s="116">
        <f t="shared" si="90"/>
        <v>5.3129999999999997</v>
      </c>
      <c r="AX76" s="116">
        <f t="shared" si="90"/>
        <v>4.82</v>
      </c>
      <c r="AY76" s="116">
        <f t="shared" si="90"/>
        <v>9.0009999999999994</v>
      </c>
      <c r="AZ76" s="116">
        <f t="shared" si="90"/>
        <v>8.9429999999999996</v>
      </c>
      <c r="BA76" s="116">
        <v>9.6929999999999996</v>
      </c>
      <c r="BB76" s="116">
        <f t="shared" ref="BB76:BG76" si="91">-BB62</f>
        <v>12.676</v>
      </c>
      <c r="BC76" s="116">
        <f t="shared" si="91"/>
        <v>8.0928061048639499</v>
      </c>
      <c r="BD76" s="116">
        <f t="shared" si="91"/>
        <v>8.2059999999999995</v>
      </c>
      <c r="BE76" s="116">
        <f t="shared" si="91"/>
        <v>10.352604775931052</v>
      </c>
      <c r="BF76" s="116">
        <f t="shared" si="91"/>
        <v>12.680502345051638</v>
      </c>
      <c r="BG76" s="116">
        <f t="shared" si="91"/>
        <v>14.811603725008389</v>
      </c>
      <c r="BH76" s="116">
        <v>1.7000000000000001E-2</v>
      </c>
      <c r="BI76" s="190"/>
      <c r="BJ76" s="116">
        <f t="shared" ref="BJ76:BQ76" si="92">-BJ62</f>
        <v>12.2</v>
      </c>
      <c r="BK76" s="116">
        <f t="shared" si="92"/>
        <v>16.888999999999999</v>
      </c>
      <c r="BL76" s="116">
        <f t="shared" si="92"/>
        <v>20.606999999999999</v>
      </c>
      <c r="BM76" s="116">
        <f t="shared" si="92"/>
        <v>15.3</v>
      </c>
      <c r="BN76" s="116">
        <f t="shared" si="92"/>
        <v>17.399999999999999</v>
      </c>
      <c r="BO76" s="116">
        <f t="shared" si="92"/>
        <v>21.135000000000002</v>
      </c>
      <c r="BP76" s="116">
        <f t="shared" si="92"/>
        <v>24.933999999999997</v>
      </c>
      <c r="BQ76" s="116">
        <f t="shared" si="92"/>
        <v>41.2</v>
      </c>
      <c r="BR76" s="116">
        <f t="shared" ref="BR76" si="93">-BR62</f>
        <v>46.050710845991077</v>
      </c>
    </row>
    <row r="77" spans="2:70" s="7" customFormat="1" ht="14.5" x14ac:dyDescent="0.35">
      <c r="B77" s="56" t="str">
        <f>IF(Control!$D$5=1,"(+) Depreciation and Amortization","(+) Depreciação e Amortização")</f>
        <v>(+) Depreciation and Amortization</v>
      </c>
      <c r="C77" s="92" t="s">
        <v>3</v>
      </c>
      <c r="D77" s="92" t="s">
        <v>3</v>
      </c>
      <c r="E77" s="92" t="s">
        <v>3</v>
      </c>
      <c r="F77" s="92" t="s">
        <v>3</v>
      </c>
      <c r="G77" s="92" t="s">
        <v>3</v>
      </c>
      <c r="H77" s="92" t="s">
        <v>3</v>
      </c>
      <c r="I77" s="92" t="s">
        <v>3</v>
      </c>
      <c r="J77" s="92" t="s">
        <v>3</v>
      </c>
      <c r="K77" s="92" t="s">
        <v>3</v>
      </c>
      <c r="L77" s="92" t="s">
        <v>3</v>
      </c>
      <c r="M77" s="92" t="s">
        <v>3</v>
      </c>
      <c r="N77" s="92" t="s">
        <v>3</v>
      </c>
      <c r="O77" s="92" t="s">
        <v>3</v>
      </c>
      <c r="P77" s="92" t="s">
        <v>3</v>
      </c>
      <c r="Q77" s="92" t="s">
        <v>3</v>
      </c>
      <c r="R77" s="92" t="s">
        <v>3</v>
      </c>
      <c r="S77" s="92" t="s">
        <v>3</v>
      </c>
      <c r="T77" s="92" t="s">
        <v>3</v>
      </c>
      <c r="U77" s="92" t="s">
        <v>3</v>
      </c>
      <c r="V77" s="92" t="s">
        <v>3</v>
      </c>
      <c r="W77" s="92" t="s">
        <v>3</v>
      </c>
      <c r="X77" s="220">
        <f t="shared" ref="X77:AN77" si="94">+X70</f>
        <v>4.4000000000000004</v>
      </c>
      <c r="Y77" s="220">
        <f t="shared" si="94"/>
        <v>5.7000000000000046</v>
      </c>
      <c r="Z77" s="220">
        <f t="shared" si="94"/>
        <v>5.099999999999997</v>
      </c>
      <c r="AA77" s="220">
        <f t="shared" si="94"/>
        <v>7.0999999999999943</v>
      </c>
      <c r="AB77" s="220">
        <f t="shared" si="94"/>
        <v>5.2999999999999989</v>
      </c>
      <c r="AC77" s="220">
        <f t="shared" si="94"/>
        <v>4.8000000000000025</v>
      </c>
      <c r="AD77" s="220">
        <f t="shared" si="94"/>
        <v>5.6000000000000014</v>
      </c>
      <c r="AE77" s="220">
        <f t="shared" si="94"/>
        <v>7.5000000000000027</v>
      </c>
      <c r="AF77" s="220">
        <f t="shared" si="94"/>
        <v>7</v>
      </c>
      <c r="AG77" s="220">
        <f t="shared" si="94"/>
        <v>7.1000000000000014</v>
      </c>
      <c r="AH77" s="220">
        <f t="shared" si="94"/>
        <v>8.8999999999999986</v>
      </c>
      <c r="AI77" s="220">
        <f t="shared" si="94"/>
        <v>9.0999999999999801</v>
      </c>
      <c r="AJ77" s="220">
        <f t="shared" si="94"/>
        <v>9.3000000000000007</v>
      </c>
      <c r="AK77" s="220">
        <f t="shared" si="94"/>
        <v>7.5519999999999996</v>
      </c>
      <c r="AL77" s="220">
        <f t="shared" si="94"/>
        <v>9.902000000000001</v>
      </c>
      <c r="AM77" s="220">
        <f t="shared" si="94"/>
        <v>5.3170000000000002</v>
      </c>
      <c r="AN77" s="220">
        <f t="shared" si="94"/>
        <v>7.4</v>
      </c>
      <c r="AO77" s="220">
        <f>+AO70</f>
        <v>7.7</v>
      </c>
      <c r="AP77" s="220">
        <f>+AP70</f>
        <v>10.244</v>
      </c>
      <c r="AQ77" s="220">
        <f>+AQ70</f>
        <v>6.0549999999999997</v>
      </c>
      <c r="AR77" s="220">
        <f>+AR70</f>
        <v>8.6</v>
      </c>
      <c r="AS77" s="220">
        <f t="shared" ref="AS77:AX77" si="95">+AS70</f>
        <v>11.000000000000002</v>
      </c>
      <c r="AT77" s="220">
        <f t="shared" si="95"/>
        <v>8.0999999999999979</v>
      </c>
      <c r="AU77" s="220">
        <f t="shared" si="95"/>
        <v>9.9</v>
      </c>
      <c r="AV77" s="220">
        <f t="shared" si="95"/>
        <v>11.7</v>
      </c>
      <c r="AW77" s="220">
        <f t="shared" si="95"/>
        <v>11.151999999999999</v>
      </c>
      <c r="AX77" s="220">
        <f t="shared" si="95"/>
        <v>11.883999999999997</v>
      </c>
      <c r="AY77" s="220">
        <f>+AY70</f>
        <v>11.948</v>
      </c>
      <c r="AZ77" s="220">
        <f>+AZ70</f>
        <v>14.801</v>
      </c>
      <c r="BA77" s="220">
        <v>14.420999999999999</v>
      </c>
      <c r="BB77" s="220">
        <f>BB70</f>
        <v>15.194000000000001</v>
      </c>
      <c r="BC77" s="220">
        <f>BC70</f>
        <v>19.372</v>
      </c>
      <c r="BD77" s="220">
        <f>BD70</f>
        <v>12.9</v>
      </c>
      <c r="BE77" s="220">
        <f>BE70</f>
        <v>11.137</v>
      </c>
      <c r="BF77" s="220">
        <v>12.31</v>
      </c>
      <c r="BG77" s="220">
        <v>13.141999999999999</v>
      </c>
      <c r="BH77" s="220">
        <v>13.701000000000001</v>
      </c>
      <c r="BI77" s="190"/>
      <c r="BJ77" s="220">
        <f t="shared" ref="BJ77:BQ77" si="96">+BJ70</f>
        <v>21.478000000000009</v>
      </c>
      <c r="BK77" s="220">
        <f t="shared" si="96"/>
        <v>23.119000000000007</v>
      </c>
      <c r="BL77" s="220">
        <f t="shared" si="96"/>
        <v>31.001000000000001</v>
      </c>
      <c r="BM77" s="220">
        <f t="shared" si="96"/>
        <v>30.599</v>
      </c>
      <c r="BN77" s="220">
        <f t="shared" si="96"/>
        <v>31.4</v>
      </c>
      <c r="BO77" s="220">
        <f t="shared" si="96"/>
        <v>37.588999999999999</v>
      </c>
      <c r="BP77" s="220">
        <f t="shared" si="96"/>
        <v>46.68399999999999</v>
      </c>
      <c r="BQ77" s="220">
        <f t="shared" si="96"/>
        <v>63.789000000000001</v>
      </c>
      <c r="BR77" s="220">
        <f t="shared" ref="BR77" si="97">+BR70</f>
        <v>49.496000000000002</v>
      </c>
    </row>
    <row r="78" spans="2:70" s="7" customFormat="1" ht="14.5" x14ac:dyDescent="0.35">
      <c r="B78" s="221" t="str">
        <f>IF(Control!$D$5=1,"(=) EBITDA","(=) EBITDA")</f>
        <v>(=) EBITDA</v>
      </c>
      <c r="C78" s="175">
        <f t="shared" ref="C78:AO78" si="98">SUM(C74:C77)</f>
        <v>0</v>
      </c>
      <c r="D78" s="175">
        <f t="shared" si="98"/>
        <v>0</v>
      </c>
      <c r="E78" s="175">
        <f t="shared" si="98"/>
        <v>0</v>
      </c>
      <c r="F78" s="175">
        <f t="shared" si="98"/>
        <v>0</v>
      </c>
      <c r="G78" s="175">
        <f t="shared" si="98"/>
        <v>0</v>
      </c>
      <c r="H78" s="175">
        <f t="shared" si="98"/>
        <v>0</v>
      </c>
      <c r="I78" s="175">
        <f t="shared" si="98"/>
        <v>0</v>
      </c>
      <c r="J78" s="175">
        <f t="shared" si="98"/>
        <v>0</v>
      </c>
      <c r="K78" s="175">
        <f t="shared" si="98"/>
        <v>0</v>
      </c>
      <c r="L78" s="175">
        <f t="shared" si="98"/>
        <v>0</v>
      </c>
      <c r="M78" s="175">
        <f t="shared" si="98"/>
        <v>0</v>
      </c>
      <c r="N78" s="175">
        <f t="shared" si="98"/>
        <v>0</v>
      </c>
      <c r="O78" s="175">
        <f t="shared" si="98"/>
        <v>0</v>
      </c>
      <c r="P78" s="175">
        <f t="shared" si="98"/>
        <v>0</v>
      </c>
      <c r="Q78" s="175">
        <f t="shared" si="98"/>
        <v>0</v>
      </c>
      <c r="R78" s="175">
        <f t="shared" si="98"/>
        <v>0</v>
      </c>
      <c r="S78" s="175">
        <f t="shared" si="98"/>
        <v>0</v>
      </c>
      <c r="T78" s="175">
        <f t="shared" si="98"/>
        <v>0</v>
      </c>
      <c r="U78" s="175">
        <f t="shared" si="98"/>
        <v>0</v>
      </c>
      <c r="V78" s="175">
        <f t="shared" si="98"/>
        <v>0</v>
      </c>
      <c r="W78" s="175">
        <f t="shared" si="98"/>
        <v>0</v>
      </c>
      <c r="X78" s="175">
        <f t="shared" si="98"/>
        <v>24.32</v>
      </c>
      <c r="Y78" s="175">
        <f t="shared" si="98"/>
        <v>23.852999999999994</v>
      </c>
      <c r="Z78" s="175">
        <f t="shared" si="98"/>
        <v>14.208000000000009</v>
      </c>
      <c r="AA78" s="175">
        <f t="shared" si="98"/>
        <v>28.166999999999984</v>
      </c>
      <c r="AB78" s="175">
        <f t="shared" si="98"/>
        <v>24.065999999999995</v>
      </c>
      <c r="AC78" s="175">
        <f t="shared" si="98"/>
        <v>25.237000000000009</v>
      </c>
      <c r="AD78" s="175">
        <f t="shared" si="98"/>
        <v>24.916999999999998</v>
      </c>
      <c r="AE78" s="175">
        <f t="shared" si="98"/>
        <v>22.674000000000003</v>
      </c>
      <c r="AF78" s="175">
        <f t="shared" si="98"/>
        <v>28.592999999999996</v>
      </c>
      <c r="AG78" s="175">
        <f t="shared" si="98"/>
        <v>36.093999999999994</v>
      </c>
      <c r="AH78" s="175">
        <f t="shared" si="98"/>
        <v>38.921999999999983</v>
      </c>
      <c r="AI78" s="175">
        <f t="shared" si="98"/>
        <v>15.795000000000037</v>
      </c>
      <c r="AJ78" s="175">
        <f t="shared" si="98"/>
        <v>26.819999999999997</v>
      </c>
      <c r="AK78" s="175">
        <f t="shared" si="98"/>
        <v>39.588000000000008</v>
      </c>
      <c r="AL78" s="175">
        <f t="shared" si="98"/>
        <v>37.512999999999991</v>
      </c>
      <c r="AM78" s="175">
        <f t="shared" si="98"/>
        <v>26.647000000000009</v>
      </c>
      <c r="AN78" s="175">
        <f t="shared" si="98"/>
        <v>30.422000000000004</v>
      </c>
      <c r="AO78" s="175">
        <f t="shared" si="98"/>
        <v>37.309999999999981</v>
      </c>
      <c r="AP78" s="175">
        <f t="shared" ref="AP78:AW78" si="99">SUM(AP74:AP77)</f>
        <v>43.065000000000026</v>
      </c>
      <c r="AQ78" s="175">
        <f t="shared" si="99"/>
        <v>31.602000000000025</v>
      </c>
      <c r="AR78" s="175">
        <f t="shared" si="99"/>
        <v>34.600000000000016</v>
      </c>
      <c r="AS78" s="175">
        <f t="shared" si="99"/>
        <v>62.500000000000028</v>
      </c>
      <c r="AT78" s="175">
        <f t="shared" si="99"/>
        <v>43.199999999999974</v>
      </c>
      <c r="AU78" s="175">
        <f t="shared" si="99"/>
        <v>36.199999999999996</v>
      </c>
      <c r="AV78" s="175">
        <f t="shared" si="99"/>
        <v>37.300000000000018</v>
      </c>
      <c r="AW78" s="175">
        <f t="shared" si="99"/>
        <v>34.33300000000002</v>
      </c>
      <c r="AX78" s="175">
        <f t="shared" ref="AX78:BD78" si="100">SUM(AX74:AX77)</f>
        <v>42.676999999999893</v>
      </c>
      <c r="AY78" s="175">
        <f t="shared" si="100"/>
        <v>45.250000000000014</v>
      </c>
      <c r="AZ78" s="175">
        <f t="shared" si="100"/>
        <v>68.633999999999943</v>
      </c>
      <c r="BA78" s="175">
        <f t="shared" si="100"/>
        <v>70.164000000000073</v>
      </c>
      <c r="BB78" s="175">
        <f t="shared" si="100"/>
        <v>58.375999999999998</v>
      </c>
      <c r="BC78" s="175">
        <f t="shared" si="100"/>
        <v>46.559513247431113</v>
      </c>
      <c r="BD78" s="175">
        <f t="shared" si="100"/>
        <v>58.918999999999976</v>
      </c>
      <c r="BE78" s="175">
        <f>SUM(BE74:BE77)</f>
        <v>59.725235655968433</v>
      </c>
      <c r="BF78" s="175">
        <f>SUM(BF74:BF77)</f>
        <v>65.600250339495275</v>
      </c>
      <c r="BG78" s="175">
        <f>SUM(BG74:BG77)</f>
        <v>90.855473284275519</v>
      </c>
      <c r="BH78" s="175">
        <f>SUM(BH74:BH77)</f>
        <v>48.56170694588031</v>
      </c>
      <c r="BI78" s="190"/>
      <c r="BJ78" s="175">
        <f t="shared" ref="BJ78:BQ78" si="101">SUM(BJ74:BJ77)</f>
        <v>89.725999999999999</v>
      </c>
      <c r="BK78" s="175">
        <f t="shared" si="101"/>
        <v>96.813000000000017</v>
      </c>
      <c r="BL78" s="175">
        <f t="shared" si="101"/>
        <v>118.30500000000004</v>
      </c>
      <c r="BM78" s="175">
        <f t="shared" si="101"/>
        <v>128.999</v>
      </c>
      <c r="BN78" s="175">
        <f t="shared" si="101"/>
        <v>142.40000000000003</v>
      </c>
      <c r="BO78" s="175">
        <f t="shared" si="101"/>
        <v>176.69899999999998</v>
      </c>
      <c r="BP78" s="175">
        <f t="shared" si="101"/>
        <v>159.55999999999995</v>
      </c>
      <c r="BQ78" s="175">
        <f t="shared" si="101"/>
        <v>243.73376648448527</v>
      </c>
      <c r="BR78" s="175">
        <f t="shared" ref="BR78" si="102">SUM(BR74:BR77)</f>
        <v>275.10695927973916</v>
      </c>
    </row>
    <row r="79" spans="2:70" s="7" customFormat="1" ht="14.5" x14ac:dyDescent="0.35">
      <c r="B79" s="56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90"/>
      <c r="BJ79" s="123"/>
      <c r="BK79" s="123"/>
      <c r="BL79" s="123"/>
      <c r="BM79" s="123"/>
      <c r="BN79" s="123"/>
      <c r="BO79" s="123"/>
      <c r="BP79" s="123"/>
      <c r="BQ79" s="123"/>
      <c r="BR79" s="123"/>
    </row>
    <row r="80" spans="2:70" s="7" customFormat="1" ht="14.5" x14ac:dyDescent="0.35">
      <c r="B80" s="222" t="str">
        <f>IF(Control!$D$5=1,"Operating Metrics and Margins","Crescimento e Margens")</f>
        <v>Operating Metrics and Margins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90"/>
      <c r="BJ80" s="133"/>
      <c r="BK80" s="133"/>
      <c r="BL80" s="133"/>
      <c r="BM80" s="133"/>
      <c r="BN80" s="133"/>
      <c r="BO80" s="133"/>
      <c r="BP80" s="133"/>
      <c r="BQ80" s="133"/>
      <c r="BR80" s="133"/>
    </row>
    <row r="81" spans="2:70" s="7" customFormat="1" ht="14.5" x14ac:dyDescent="0.35">
      <c r="B81" s="56" t="str">
        <f>IF(Control!$D$5=1,"Net Revenues Growth","Receita Líquida - Var. (%)")</f>
        <v>Net Revenues Growth</v>
      </c>
      <c r="C81" s="134" t="str">
        <f>IF(ISERROR(C51/#REF!-1),"--  ",C51/#REF!-1)</f>
        <v xml:space="preserve">--  </v>
      </c>
      <c r="D81" s="134" t="str">
        <f>IF(ISERROR(D51/B51-1),"--  ",D51/B51-1)</f>
        <v xml:space="preserve">--  </v>
      </c>
      <c r="E81" s="134"/>
      <c r="F81" s="134" t="str">
        <f>IF(ISERROR(F51/#REF!-1),"--  ",F51/#REF!-1)</f>
        <v xml:space="preserve">--  </v>
      </c>
      <c r="G81" s="134" t="str">
        <f>IF(ISERROR(G51/#REF!-1),"--  ",G51/#REF!-1)</f>
        <v xml:space="preserve">--  </v>
      </c>
      <c r="H81" s="134" t="str">
        <f>IF(ISERROR(H51/D51-1),"--  ",H51/D51-1)</f>
        <v xml:space="preserve">--  </v>
      </c>
      <c r="I81" s="134"/>
      <c r="J81" s="134" t="str">
        <f>IF(ISERROR(J51/#REF!-1),"--  ",J51/#REF!-1)</f>
        <v xml:space="preserve">--  </v>
      </c>
      <c r="K81" s="134" t="str">
        <f>IF(ISERROR(K51/#REF!-1),"--  ",K51/#REF!-1)</f>
        <v xml:space="preserve">--  </v>
      </c>
      <c r="L81" s="134" t="str">
        <f>IF(ISERROR(L51/H51-1),"--  ",L51/H51-1)</f>
        <v xml:space="preserve">--  </v>
      </c>
      <c r="M81" s="134"/>
      <c r="N81" s="134" t="str">
        <f>IF(ISERROR(N51/#REF!-1),"--  ",N51/#REF!-1)</f>
        <v xml:space="preserve">--  </v>
      </c>
      <c r="O81" s="134" t="str">
        <f>IF(ISERROR(O51/#REF!-1),"--  ",O51/#REF!-1)</f>
        <v xml:space="preserve">--  </v>
      </c>
      <c r="P81" s="134" t="str">
        <f>IF(ISERROR(P51/L51-1),"--  ",P51/L51-1)</f>
        <v xml:space="preserve">--  </v>
      </c>
      <c r="Q81" s="134"/>
      <c r="R81" s="134" t="str">
        <f>IF(ISERROR(R51/#REF!-1),"--  ",R51/#REF!-1)</f>
        <v xml:space="preserve">--  </v>
      </c>
      <c r="S81" s="134" t="str">
        <f>IF(ISERROR(S51/#REF!-1),"--  ",S51/#REF!-1)</f>
        <v xml:space="preserve">--  </v>
      </c>
      <c r="T81" s="134" t="str">
        <f>IF(ISERROR(T51/P51-1),"--  ",T51/P51-1)</f>
        <v xml:space="preserve">--  </v>
      </c>
      <c r="U81" s="134"/>
      <c r="V81" s="134" t="str">
        <f>IF(ISERROR(V51/A51-1),"--  ",V51/A51-1)</f>
        <v xml:space="preserve">--  </v>
      </c>
      <c r="W81" s="134" t="str">
        <f>IF(ISERROR(W51/A51-1),"--  ",W51/A51-1)</f>
        <v xml:space="preserve">--  </v>
      </c>
      <c r="X81" s="134" t="str">
        <f>IF(ISERROR(X51/U51-1),"--  ",X51/U51-1)</f>
        <v xml:space="preserve">--  </v>
      </c>
      <c r="Y81" s="134" t="str">
        <f>IF(ISERROR(Y51/V51-1),"--  ",Y51/V51-1)</f>
        <v xml:space="preserve">--  </v>
      </c>
      <c r="Z81" s="134" t="str">
        <f>IF(ISERROR(Z51/#REF!-1),"--  ",Z51/#REF!-1)</f>
        <v xml:space="preserve">--  </v>
      </c>
      <c r="AA81" s="134" t="str">
        <f t="shared" ref="AA81:AM81" si="103">IF(ISERROR(AA51/W51-1),"--  ",AA51/W51-1)</f>
        <v xml:space="preserve">--  </v>
      </c>
      <c r="AB81" s="134">
        <f t="shared" si="103"/>
        <v>0.3343823439256155</v>
      </c>
      <c r="AC81" s="134">
        <f t="shared" si="103"/>
        <v>0.15703786830470157</v>
      </c>
      <c r="AD81" s="134">
        <f t="shared" si="103"/>
        <v>6.4850720981891152E-2</v>
      </c>
      <c r="AE81" s="134">
        <f t="shared" si="103"/>
        <v>5.5973032968838599E-2</v>
      </c>
      <c r="AF81" s="134">
        <f t="shared" si="103"/>
        <v>0.15408205458053836</v>
      </c>
      <c r="AG81" s="134">
        <f t="shared" si="103"/>
        <v>0.22725565623233868</v>
      </c>
      <c r="AH81" s="134">
        <f t="shared" si="103"/>
        <v>0.30921562041472894</v>
      </c>
      <c r="AI81" s="134">
        <f t="shared" si="103"/>
        <v>0.11066818231364639</v>
      </c>
      <c r="AJ81" s="134">
        <f t="shared" si="103"/>
        <v>0.10033273951107513</v>
      </c>
      <c r="AK81" s="134">
        <f t="shared" si="103"/>
        <v>-0.1251912615388272</v>
      </c>
      <c r="AL81" s="134">
        <f t="shared" si="103"/>
        <v>-0.14033519492724622</v>
      </c>
      <c r="AM81" s="134">
        <f t="shared" si="103"/>
        <v>0.12163867313462129</v>
      </c>
      <c r="AN81" s="134">
        <f>IF(ISERROR(AN51/AJ51-1),"--  ",AN51/AJ51-1)</f>
        <v>-0.11199315004477184</v>
      </c>
      <c r="AO81" s="134">
        <f>IF(ISERROR(AO51/AK51-1),"--  ",AO51/AK51-1)</f>
        <v>0.18001046039314761</v>
      </c>
      <c r="AP81" s="134">
        <f>IF(ISERROR(AP51/AL51-1),"--  ",AP51/AL51-1)</f>
        <v>6.8768907444231919E-2</v>
      </c>
      <c r="AQ81" s="134">
        <f>IF(ISERROR(AQ51/AM51-1),"--  ",AQ51/AM51-1)</f>
        <v>9.1535211619709012E-2</v>
      </c>
      <c r="AR81" s="134">
        <f t="shared" ref="AR81:BH81" si="104">IF(ISERROR(AR51/AN51-1),"--  ",AR51/AN51-1)</f>
        <v>3.2135399867587733E-2</v>
      </c>
      <c r="AS81" s="134">
        <f t="shared" si="104"/>
        <v>-7.9062418152981984E-3</v>
      </c>
      <c r="AT81" s="134">
        <f t="shared" si="104"/>
        <v>0.20305216067345011</v>
      </c>
      <c r="AU81" s="134">
        <f t="shared" si="104"/>
        <v>-1.4028056112224352E-2</v>
      </c>
      <c r="AV81" s="134">
        <f t="shared" si="104"/>
        <v>-2.763157894736834E-2</v>
      </c>
      <c r="AW81" s="134">
        <f t="shared" si="104"/>
        <v>-2.1969828836669647E-2</v>
      </c>
      <c r="AX81" s="134">
        <f t="shared" si="104"/>
        <v>7.8194478377717758E-2</v>
      </c>
      <c r="AY81" s="134">
        <f t="shared" si="104"/>
        <v>0.18259001161440191</v>
      </c>
      <c r="AZ81" s="134">
        <f t="shared" si="104"/>
        <v>0.75486129905277366</v>
      </c>
      <c r="BA81" s="134">
        <f t="shared" si="104"/>
        <v>0.69122318888727396</v>
      </c>
      <c r="BB81" s="134">
        <f t="shared" si="104"/>
        <v>0.25188248490273213</v>
      </c>
      <c r="BC81" s="134">
        <f t="shared" si="104"/>
        <v>0.15452608008171209</v>
      </c>
      <c r="BD81" s="134">
        <f t="shared" si="104"/>
        <v>-3.0460522384175404E-2</v>
      </c>
      <c r="BE81" s="134">
        <f t="shared" si="104"/>
        <v>-3.7622970515138854E-2</v>
      </c>
      <c r="BF81" s="134">
        <f t="shared" si="104"/>
        <v>0.10503816231476781</v>
      </c>
      <c r="BG81" s="134">
        <f t="shared" si="104"/>
        <v>0.34780897677644407</v>
      </c>
      <c r="BH81" s="134">
        <f t="shared" si="104"/>
        <v>5.2471885090747294E-2</v>
      </c>
      <c r="BI81" s="190"/>
      <c r="BJ81" s="134" t="str">
        <f>IF(ISERROR(BJ51/#REF!-1),"--  ",BJ51/#REF!-1)</f>
        <v xml:space="preserve">--  </v>
      </c>
      <c r="BK81" s="134">
        <f>IF(ISERROR(BK51/BJ51-1),"--  ",BK51/BJ51-1)</f>
        <v>0.14179061681615712</v>
      </c>
      <c r="BL81" s="134">
        <f>IF(ISERROR(BL51/BK51-1),"--  ",BL51/BK51-1)</f>
        <v>0.20318502024818685</v>
      </c>
      <c r="BM81" s="134" t="str">
        <f>IF(ISERROR(BM51/#REF!-1),"--  ",BM51/#REF!-1)</f>
        <v xml:space="preserve">--  </v>
      </c>
      <c r="BN81" s="134">
        <f>IF(ISERROR(BN51/BM51-1),"--  ",BN51/BM51-1)</f>
        <v>5.2985369711348262E-2</v>
      </c>
      <c r="BO81" s="134">
        <f>IF(ISERROR(BO51/BN51-1),"--  ",BO51/BN51-1)</f>
        <v>5.3326323695080724E-2</v>
      </c>
      <c r="BP81" s="134">
        <f>IF(ISERROR(BP51/BO51-1),"--  ",BP51/BO51-1)</f>
        <v>5.6193779126476606E-2</v>
      </c>
      <c r="BQ81" s="134">
        <f>IF(ISERROR(BQ51/BP51-1),"--  ",BQ51/BP51-1)</f>
        <v>0.42547370041233634</v>
      </c>
      <c r="BR81" s="134">
        <f>IF(ISERROR(BR51/BQ51-1),"--  ",BR51/BQ51-1)</f>
        <v>8.7291787270159071E-2</v>
      </c>
    </row>
    <row r="82" spans="2:70" s="7" customFormat="1" ht="14.5" x14ac:dyDescent="0.35">
      <c r="B82" s="56" t="str">
        <f>IF(Control!$D$5=1,"EBITDA Growth","EBITDA - Var. (%)")</f>
        <v>EBITDA Growth</v>
      </c>
      <c r="C82" s="134" t="str">
        <f>IF(ISERROR(C78/#REF!-1),"--  ",C78/#REF!-1)</f>
        <v xml:space="preserve">--  </v>
      </c>
      <c r="D82" s="134" t="str">
        <f>IF(ISERROR(D78/B78-1),"--  ",D78/B78-1)</f>
        <v xml:space="preserve">--  </v>
      </c>
      <c r="E82" s="134"/>
      <c r="F82" s="134" t="str">
        <f>IF(ISERROR(F78/#REF!-1),"--  ",F78/#REF!-1)</f>
        <v xml:space="preserve">--  </v>
      </c>
      <c r="G82" s="134" t="str">
        <f>IF(ISERROR(G78/#REF!-1),"--  ",G78/#REF!-1)</f>
        <v xml:space="preserve">--  </v>
      </c>
      <c r="H82" s="134" t="str">
        <f>IF(ISERROR(H78/D78-1),"--  ",H78/D78-1)</f>
        <v xml:space="preserve">--  </v>
      </c>
      <c r="I82" s="134"/>
      <c r="J82" s="134" t="str">
        <f>IF(ISERROR(J78/#REF!-1),"--  ",J78/#REF!-1)</f>
        <v xml:space="preserve">--  </v>
      </c>
      <c r="K82" s="134" t="str">
        <f>IF(ISERROR(K78/#REF!-1),"--  ",K78/#REF!-1)</f>
        <v xml:space="preserve">--  </v>
      </c>
      <c r="L82" s="134" t="str">
        <f>IF(ISERROR(L78/H78-1),"--  ",L78/H78-1)</f>
        <v xml:space="preserve">--  </v>
      </c>
      <c r="M82" s="134"/>
      <c r="N82" s="134" t="str">
        <f>IF(ISERROR(N78/#REF!-1),"--  ",N78/#REF!-1)</f>
        <v xml:space="preserve">--  </v>
      </c>
      <c r="O82" s="134" t="str">
        <f>IF(ISERROR(O78/#REF!-1),"--  ",O78/#REF!-1)</f>
        <v xml:space="preserve">--  </v>
      </c>
      <c r="P82" s="134" t="str">
        <f>IF(ISERROR(P78/L78-1),"--  ",P78/L78-1)</f>
        <v xml:space="preserve">--  </v>
      </c>
      <c r="Q82" s="134"/>
      <c r="R82" s="134" t="str">
        <f>IF(ISERROR(R78/#REF!-1),"--  ",R78/#REF!-1)</f>
        <v xml:space="preserve">--  </v>
      </c>
      <c r="S82" s="134" t="str">
        <f>IF(ISERROR(S78/#REF!-1),"--  ",S78/#REF!-1)</f>
        <v xml:space="preserve">--  </v>
      </c>
      <c r="T82" s="134" t="str">
        <f>IF(ISERROR(T78/P78-1),"--  ",T78/P78-1)</f>
        <v xml:space="preserve">--  </v>
      </c>
      <c r="U82" s="134"/>
      <c r="V82" s="134" t="str">
        <f>IF(ISERROR(V78/A78-1),"--  ",V78/A78-1)</f>
        <v xml:space="preserve">--  </v>
      </c>
      <c r="W82" s="134" t="str">
        <f>IF(ISERROR(W78/A78-1),"--  ",W78/A78-1)</f>
        <v xml:space="preserve">--  </v>
      </c>
      <c r="X82" s="134" t="str">
        <f>IF(ISERROR(X78/U78-1),"--  ",X78/U78-1)</f>
        <v xml:space="preserve">--  </v>
      </c>
      <c r="Y82" s="134" t="str">
        <f>IF(ISERROR(Y78/V78-1),"--  ",Y78/V78-1)</f>
        <v xml:space="preserve">--  </v>
      </c>
      <c r="Z82" s="134" t="str">
        <f>IF(ISERROR(Z78/#REF!-1),"--  ",Z78/#REF!-1)</f>
        <v xml:space="preserve">--  </v>
      </c>
      <c r="AA82" s="134" t="str">
        <f t="shared" ref="AA82:AL82" si="105">IF(ISERROR(AA78/W78-1),"--  ",AA78/W78-1)</f>
        <v xml:space="preserve">--  </v>
      </c>
      <c r="AB82" s="134">
        <f t="shared" si="105"/>
        <v>-1.0444078947368651E-2</v>
      </c>
      <c r="AC82" s="134">
        <f t="shared" si="105"/>
        <v>5.8022051733535251E-2</v>
      </c>
      <c r="AD82" s="134">
        <f t="shared" si="105"/>
        <v>0.75373029279279158</v>
      </c>
      <c r="AE82" s="134">
        <f t="shared" si="105"/>
        <v>-0.19501544360421719</v>
      </c>
      <c r="AF82" s="134">
        <f t="shared" si="105"/>
        <v>0.18810770381451025</v>
      </c>
      <c r="AG82" s="134">
        <f t="shared" si="105"/>
        <v>0.43020168799778036</v>
      </c>
      <c r="AH82" s="134">
        <f t="shared" si="105"/>
        <v>0.56206605931693154</v>
      </c>
      <c r="AI82" s="134">
        <f t="shared" si="105"/>
        <v>-0.30338713945488072</v>
      </c>
      <c r="AJ82" s="134">
        <f t="shared" si="105"/>
        <v>-6.2008183821214979E-2</v>
      </c>
      <c r="AK82" s="134">
        <f t="shared" si="105"/>
        <v>9.6802792707929797E-2</v>
      </c>
      <c r="AL82" s="134">
        <f t="shared" si="105"/>
        <v>-3.6200606340886732E-2</v>
      </c>
      <c r="AM82" s="134">
        <f t="shared" ref="AM82:AR82" si="106">IF(ISERROR(AM78/AI78-1),"--  ",AM78/AI78-1)</f>
        <v>0.6870528648306391</v>
      </c>
      <c r="AN82" s="134">
        <f t="shared" si="106"/>
        <v>0.13430275913497414</v>
      </c>
      <c r="AO82" s="134">
        <f t="shared" si="106"/>
        <v>-5.7542689703951377E-2</v>
      </c>
      <c r="AP82" s="134">
        <f t="shared" si="106"/>
        <v>0.14800202596433332</v>
      </c>
      <c r="AQ82" s="134">
        <f t="shared" si="106"/>
        <v>0.18594963785792085</v>
      </c>
      <c r="AR82" s="134">
        <f t="shared" si="106"/>
        <v>0.13733482348300607</v>
      </c>
      <c r="AS82" s="134">
        <f t="shared" ref="AS82:BH82" si="107">IF(ISERROR(AS78/AO78-1),"--  ",AS78/AO78-1)</f>
        <v>0.67515411417850602</v>
      </c>
      <c r="AT82" s="134">
        <f t="shared" si="107"/>
        <v>3.1347962382433092E-3</v>
      </c>
      <c r="AU82" s="134">
        <f t="shared" si="107"/>
        <v>0.14549712043541452</v>
      </c>
      <c r="AV82" s="134">
        <f t="shared" si="107"/>
        <v>7.8034682080925011E-2</v>
      </c>
      <c r="AW82" s="134">
        <f t="shared" si="107"/>
        <v>-0.45067199999999996</v>
      </c>
      <c r="AX82" s="134">
        <f t="shared" si="107"/>
        <v>-1.2106481481483411E-2</v>
      </c>
      <c r="AY82" s="134">
        <f t="shared" si="107"/>
        <v>0.25000000000000044</v>
      </c>
      <c r="AZ82" s="134">
        <f t="shared" si="107"/>
        <v>0.84005361930294664</v>
      </c>
      <c r="BA82" s="134">
        <f t="shared" si="107"/>
        <v>1.0436314915678802</v>
      </c>
      <c r="BB82" s="134">
        <f t="shared" si="107"/>
        <v>0.36785622232115989</v>
      </c>
      <c r="BC82" s="134">
        <f t="shared" si="107"/>
        <v>2.8939519280245296E-2</v>
      </c>
      <c r="BD82" s="134">
        <f t="shared" si="107"/>
        <v>-0.14154792085555234</v>
      </c>
      <c r="BE82" s="134">
        <f t="shared" si="107"/>
        <v>-0.14877664249517741</v>
      </c>
      <c r="BF82" s="134">
        <f t="shared" si="107"/>
        <v>0.1237537744877224</v>
      </c>
      <c r="BG82" s="134">
        <f t="shared" si="107"/>
        <v>0.95138365818908999</v>
      </c>
      <c r="BH82" s="134">
        <f t="shared" si="107"/>
        <v>-0.17578867689742983</v>
      </c>
      <c r="BI82" s="190"/>
      <c r="BJ82" s="134" t="str">
        <f>IF(ISERROR(BJ78/#REF!-1),"--  ",BJ78/#REF!-1)</f>
        <v xml:space="preserve">--  </v>
      </c>
      <c r="BK82" s="134">
        <f>IF(ISERROR(BK78/BJ78-1),"--  ",BK78/BJ78-1)</f>
        <v>7.8984909613712961E-2</v>
      </c>
      <c r="BL82" s="134">
        <f>IF(ISERROR(BL78/BK78-1),"--  ",BL78/BK78-1)</f>
        <v>0.22199498001301499</v>
      </c>
      <c r="BM82" s="134" t="str">
        <f>IF(ISERROR(BM78/#REF!-1),"--  ",BM78/#REF!-1)</f>
        <v xml:space="preserve">--  </v>
      </c>
      <c r="BN82" s="134">
        <f>IF(ISERROR(BN78/BM78-1),"--  ",BN78/BM78-1)</f>
        <v>0.10388452623663791</v>
      </c>
      <c r="BO82" s="134">
        <f>IF(ISERROR(BO78/BN78-1),"--  ",BO78/BN78-1)</f>
        <v>0.24086376404494336</v>
      </c>
      <c r="BP82" s="134">
        <f>IF(ISERROR(BP78/BO78-1),"--  ",BP78/BO78-1)</f>
        <v>-9.6995455548701703E-2</v>
      </c>
      <c r="BQ82" s="134">
        <f>IF(ISERROR(BQ78/BP78-1),"--  ",BQ78/BP78-1)</f>
        <v>0.52753676663628335</v>
      </c>
      <c r="BR82" s="134">
        <f>IF(ISERROR(BR78/BQ78-1),"--  ",BR78/BQ78-1)</f>
        <v>0.12871910711333845</v>
      </c>
    </row>
    <row r="83" spans="2:70" s="7" customFormat="1" ht="14.5" x14ac:dyDescent="0.35">
      <c r="B83" s="223" t="str">
        <f>IF(Control!$D$5=1,"EBIT Growth","Lucro Operacional (EBIT) - Var. (%)")</f>
        <v>EBIT Growth</v>
      </c>
      <c r="C83" s="135" t="str">
        <f>IF(ISERROR(C56/#REF!-1),"--  ",C56/#REF!-1)</f>
        <v xml:space="preserve">--  </v>
      </c>
      <c r="D83" s="135" t="str">
        <f>IF(ISERROR(D56/B56-1),"--  ",D56/B56-1)</f>
        <v xml:space="preserve">--  </v>
      </c>
      <c r="E83" s="135"/>
      <c r="F83" s="135" t="str">
        <f>IF(ISERROR(F56/#REF!-1),"--  ",F56/#REF!-1)</f>
        <v xml:space="preserve">--  </v>
      </c>
      <c r="G83" s="135" t="str">
        <f>IF(ISERROR(G56/#REF!-1),"--  ",G56/#REF!-1)</f>
        <v xml:space="preserve">--  </v>
      </c>
      <c r="H83" s="135" t="str">
        <f>IF(ISERROR(H56/D56-1),"--  ",H56/D56-1)</f>
        <v xml:space="preserve">--  </v>
      </c>
      <c r="I83" s="135"/>
      <c r="J83" s="135" t="str">
        <f>IF(ISERROR(J56/#REF!-1),"--  ",J56/#REF!-1)</f>
        <v xml:space="preserve">--  </v>
      </c>
      <c r="K83" s="135" t="str">
        <f>IF(ISERROR(K56/#REF!-1),"--  ",K56/#REF!-1)</f>
        <v xml:space="preserve">--  </v>
      </c>
      <c r="L83" s="135" t="str">
        <f>IF(ISERROR(L56/H56-1),"--  ",L56/H56-1)</f>
        <v xml:space="preserve">--  </v>
      </c>
      <c r="M83" s="135"/>
      <c r="N83" s="135" t="str">
        <f>IF(ISERROR(N56/#REF!-1),"--  ",N56/#REF!-1)</f>
        <v xml:space="preserve">--  </v>
      </c>
      <c r="O83" s="135" t="str">
        <f>IF(ISERROR(O56/#REF!-1),"--  ",O56/#REF!-1)</f>
        <v xml:space="preserve">--  </v>
      </c>
      <c r="P83" s="135" t="str">
        <f>IF(ISERROR(P56/L56-1),"--  ",P56/L56-1)</f>
        <v xml:space="preserve">--  </v>
      </c>
      <c r="Q83" s="135"/>
      <c r="R83" s="135" t="str">
        <f>IF(ISERROR(R56/#REF!-1),"--  ",R56/#REF!-1)</f>
        <v xml:space="preserve">--  </v>
      </c>
      <c r="S83" s="135" t="str">
        <f>IF(ISERROR(S56/#REF!-1),"--  ",S56/#REF!-1)</f>
        <v xml:space="preserve">--  </v>
      </c>
      <c r="T83" s="135" t="str">
        <f>IF(ISERROR(T56/P56-1),"--  ",T56/P56-1)</f>
        <v xml:space="preserve">--  </v>
      </c>
      <c r="U83" s="135"/>
      <c r="V83" s="135" t="str">
        <f>IF(ISERROR(V56/A56-1),"--  ",V56/A56-1)</f>
        <v xml:space="preserve">--  </v>
      </c>
      <c r="W83" s="135" t="str">
        <f>IF(ISERROR(W56/A56-1),"--  ",W56/A56-1)</f>
        <v xml:space="preserve">--  </v>
      </c>
      <c r="X83" s="135" t="str">
        <f>IF(ISERROR(X56/U56-1),"--  ",X56/U56-1)</f>
        <v xml:space="preserve">--  </v>
      </c>
      <c r="Y83" s="135" t="str">
        <f>IF(ISERROR(Y56/V56-1),"--  ",Y56/V56-1)</f>
        <v xml:space="preserve">--  </v>
      </c>
      <c r="Z83" s="135" t="str">
        <f>IF(ISERROR(Z56/#REF!-1),"--  ",Z56/#REF!-1)</f>
        <v xml:space="preserve">--  </v>
      </c>
      <c r="AA83" s="135" t="str">
        <f t="shared" ref="AA83:AM83" si="108">IF(ISERROR(AA56/W56-1),"--  ",AA56/W56-1)</f>
        <v xml:space="preserve">--  </v>
      </c>
      <c r="AB83" s="135">
        <f t="shared" si="108"/>
        <v>-5.793172690763071E-2</v>
      </c>
      <c r="AC83" s="135">
        <f t="shared" si="108"/>
        <v>0.12581942378670274</v>
      </c>
      <c r="AD83" s="135">
        <f t="shared" si="108"/>
        <v>1.1208827404479553</v>
      </c>
      <c r="AE83" s="135">
        <f t="shared" si="108"/>
        <v>-0.27972658660464189</v>
      </c>
      <c r="AF83" s="135">
        <f t="shared" si="108"/>
        <v>0.15064478311840546</v>
      </c>
      <c r="AG83" s="135">
        <f t="shared" si="108"/>
        <v>0.41870137495718507</v>
      </c>
      <c r="AH83" s="135">
        <f t="shared" si="108"/>
        <v>0.55417507894600537</v>
      </c>
      <c r="AI83" s="135">
        <f t="shared" si="108"/>
        <v>-0.5587847634110944</v>
      </c>
      <c r="AJ83" s="135">
        <f t="shared" si="108"/>
        <v>-0.18862594359283102</v>
      </c>
      <c r="AK83" s="135">
        <f t="shared" si="108"/>
        <v>0.10491825895012807</v>
      </c>
      <c r="AL83" s="135">
        <f t="shared" si="108"/>
        <v>-8.0307774298847168E-2</v>
      </c>
      <c r="AM83" s="135">
        <f t="shared" si="108"/>
        <v>2.1859596713965419</v>
      </c>
      <c r="AN83" s="135">
        <f t="shared" ref="AN83:AU83" si="109">IF(ISERROR(AN56/AJ56-1),"--  ",AN56/AJ56-1)</f>
        <v>0.31404109589041163</v>
      </c>
      <c r="AO83" s="135">
        <f t="shared" si="109"/>
        <v>-7.5727306779873604E-2</v>
      </c>
      <c r="AP83" s="135">
        <f t="shared" si="109"/>
        <v>0.18869291224512041</v>
      </c>
      <c r="AQ83" s="135">
        <f t="shared" si="109"/>
        <v>0.19770276605719661</v>
      </c>
      <c r="AR83" s="135">
        <f t="shared" si="109"/>
        <v>0.12935453044913592</v>
      </c>
      <c r="AS83" s="135">
        <f t="shared" si="109"/>
        <v>0.73927727119216713</v>
      </c>
      <c r="AT83" s="135">
        <f t="shared" si="109"/>
        <v>6.9437250540810735E-2</v>
      </c>
      <c r="AU83" s="135">
        <f t="shared" si="109"/>
        <v>2.947508513719721E-2</v>
      </c>
      <c r="AV83" s="135">
        <f t="shared" ref="AV83:BF83" si="110">IF(ISERROR(AV56/AR56-1),"--  ",AV56/AR56-1)</f>
        <v>-1.5384615384615219E-2</v>
      </c>
      <c r="AW83" s="135">
        <f t="shared" si="110"/>
        <v>-0.54988349514563084</v>
      </c>
      <c r="AX83" s="135">
        <f t="shared" si="110"/>
        <v>-0.12270655270655484</v>
      </c>
      <c r="AY83" s="135">
        <f t="shared" si="110"/>
        <v>0.2662357414448675</v>
      </c>
      <c r="AZ83" s="135">
        <f t="shared" si="110"/>
        <v>1.1028515624999962</v>
      </c>
      <c r="BA83" s="135">
        <f t="shared" si="110"/>
        <v>1.4046848712307498</v>
      </c>
      <c r="BB83" s="135">
        <f t="shared" si="110"/>
        <v>0.40233169876271035</v>
      </c>
      <c r="BC83" s="135">
        <f t="shared" si="110"/>
        <v>-0.18360719333880537</v>
      </c>
      <c r="BD83" s="135">
        <f t="shared" si="110"/>
        <v>-0.14515260156409582</v>
      </c>
      <c r="BE83" s="135">
        <f t="shared" si="110"/>
        <v>-0.1283526961956053</v>
      </c>
      <c r="BF83" s="135">
        <f t="shared" si="110"/>
        <v>0.23408481171542017</v>
      </c>
      <c r="BG83" s="135">
        <f>IF(ISERROR(BG56/BC56-1),"--  ",BG56/BC56-1)</f>
        <v>1.8584252107580483</v>
      </c>
      <c r="BH83" s="135">
        <f>IF(ISERROR(BH56/BD56-1),"--  ",BH56/BD56-1)</f>
        <v>-0.2424714368873655</v>
      </c>
      <c r="BI83" s="190"/>
      <c r="BJ83" s="135" t="str">
        <f>IF(ISERROR(BJ56/#REF!-1),"--  ",BJ56/#REF!-1)</f>
        <v xml:space="preserve">--  </v>
      </c>
      <c r="BK83" s="135">
        <f>IF(ISERROR(BK56/BJ56-1),"--  ",BK56/BJ56-1)</f>
        <v>7.9797210174657351E-2</v>
      </c>
      <c r="BL83" s="135">
        <f>IF(ISERROR(BL56/BK56-1),"--  ",BL56/BK56-1)</f>
        <v>0.18468260645371437</v>
      </c>
      <c r="BM83" s="135" t="str">
        <f>IF(ISERROR(BM56/#REF!-1),"--  ",BM56/#REF!-1)</f>
        <v xml:space="preserve">--  </v>
      </c>
      <c r="BN83" s="135">
        <f>IF(ISERROR(BN56/BM56-1),"--  ",BN56/BM56-1)</f>
        <v>0.12804878048780521</v>
      </c>
      <c r="BO83" s="135">
        <f>IF(ISERROR(BO56/BN56-1),"--  ",BO56/BN56-1)</f>
        <v>0.25324324324324299</v>
      </c>
      <c r="BP83" s="135">
        <f>IF(ISERROR(BP56/BO56-1),"--  ",BP56/BO56-1)</f>
        <v>-0.18858457335921264</v>
      </c>
      <c r="BQ83" s="135">
        <f>IF(ISERROR(BQ56/BP56-1),"--  ",BQ56/BP56-1)</f>
        <v>0.59418092849219795</v>
      </c>
      <c r="BR83" s="135">
        <f>IF(ISERROR(BR56/BQ56-1),"--  ",BR56/BQ56-1)</f>
        <v>0.25377894388048938</v>
      </c>
    </row>
    <row r="84" spans="2:70" s="7" customFormat="1" ht="14.5" x14ac:dyDescent="0.35">
      <c r="B84" s="56" t="str">
        <f>IF(Control!$D$5=1,"Gross Margin","Margem Bruta")</f>
        <v>Gross Margin</v>
      </c>
      <c r="C84" s="134" t="str">
        <f>IF(ISERROR(C53/C$51),"--  ",C53/C$51)</f>
        <v xml:space="preserve">--  </v>
      </c>
      <c r="D84" s="134" t="str">
        <f>IF(ISERROR(D53/D$51),"--  ",D53/D$51)</f>
        <v xml:space="preserve">--  </v>
      </c>
      <c r="E84" s="134"/>
      <c r="F84" s="134" t="str">
        <f>IF(ISERROR(F53/F$51),"--  ",F53/F$51)</f>
        <v xml:space="preserve">--  </v>
      </c>
      <c r="G84" s="134" t="str">
        <f>IF(ISERROR(G53/G$51),"--  ",G53/G$51)</f>
        <v xml:space="preserve">--  </v>
      </c>
      <c r="H84" s="134" t="str">
        <f>IF(ISERROR(H53/H$51),"--  ",H53/H$51)</f>
        <v xml:space="preserve">--  </v>
      </c>
      <c r="I84" s="134"/>
      <c r="J84" s="134" t="str">
        <f>IF(ISERROR(J53/J$51),"--  ",J53/J$51)</f>
        <v xml:space="preserve">--  </v>
      </c>
      <c r="K84" s="134" t="str">
        <f>IF(ISERROR(K53/K$51),"--  ",K53/K$51)</f>
        <v xml:space="preserve">--  </v>
      </c>
      <c r="L84" s="134" t="str">
        <f>IF(ISERROR(L53/L$51),"--  ",L53/L$51)</f>
        <v xml:space="preserve">--  </v>
      </c>
      <c r="M84" s="134"/>
      <c r="N84" s="134" t="str">
        <f>IF(ISERROR(N53/N$51),"--  ",N53/N$51)</f>
        <v xml:space="preserve">--  </v>
      </c>
      <c r="O84" s="134" t="str">
        <f>IF(ISERROR(O53/O$51),"--  ",O53/O$51)</f>
        <v xml:space="preserve">--  </v>
      </c>
      <c r="P84" s="134" t="str">
        <f>IF(ISERROR(P53/P$51),"--  ",P53/P$51)</f>
        <v xml:space="preserve">--  </v>
      </c>
      <c r="Q84" s="134"/>
      <c r="R84" s="134" t="str">
        <f>IF(ISERROR(R53/R$51),"--  ",R53/R$51)</f>
        <v xml:space="preserve">--  </v>
      </c>
      <c r="S84" s="134" t="str">
        <f>IF(ISERROR(S53/S$51),"--  ",S53/S$51)</f>
        <v xml:space="preserve">--  </v>
      </c>
      <c r="T84" s="134" t="str">
        <f>IF(ISERROR(T53/T$51),"--  ",T53/T$51)</f>
        <v xml:space="preserve">--  </v>
      </c>
      <c r="U84" s="134"/>
      <c r="V84" s="134" t="str">
        <f t="shared" ref="V84:AM84" si="111">IF(ISERROR(V53/V$51),"--  ",V53/V$51)</f>
        <v xml:space="preserve">--  </v>
      </c>
      <c r="W84" s="134" t="str">
        <f t="shared" si="111"/>
        <v xml:space="preserve">--  </v>
      </c>
      <c r="X84" s="134">
        <f t="shared" si="111"/>
        <v>0.28549606621027895</v>
      </c>
      <c r="Y84" s="134">
        <f t="shared" si="111"/>
        <v>0.24809308447804512</v>
      </c>
      <c r="Z84" s="134">
        <f t="shared" si="111"/>
        <v>0.18139377282481842</v>
      </c>
      <c r="AA84" s="134">
        <f t="shared" si="111"/>
        <v>0.24729918605607151</v>
      </c>
      <c r="AB84" s="134">
        <f t="shared" si="111"/>
        <v>0.22148074979325552</v>
      </c>
      <c r="AC84" s="134">
        <f t="shared" si="111"/>
        <v>0.22560026252939785</v>
      </c>
      <c r="AD84" s="134">
        <f t="shared" si="111"/>
        <v>0.21168172255908921</v>
      </c>
      <c r="AE84" s="134">
        <f t="shared" si="111"/>
        <v>0.22333343714477033</v>
      </c>
      <c r="AF84" s="134">
        <f t="shared" si="111"/>
        <v>0.22808082617595052</v>
      </c>
      <c r="AG84" s="134">
        <f t="shared" si="111"/>
        <v>0.24397396169124222</v>
      </c>
      <c r="AH84" s="134">
        <f t="shared" si="111"/>
        <v>0.23651874736694284</v>
      </c>
      <c r="AI84" s="134">
        <f t="shared" si="111"/>
        <v>0.23703137705745461</v>
      </c>
      <c r="AJ84" s="134">
        <f t="shared" si="111"/>
        <v>0.2260485225261622</v>
      </c>
      <c r="AK84" s="134">
        <f t="shared" si="111"/>
        <v>0.29705139177568568</v>
      </c>
      <c r="AL84" s="134">
        <f t="shared" si="111"/>
        <v>0.25426683881668843</v>
      </c>
      <c r="AM84" s="134">
        <f t="shared" si="111"/>
        <v>0.26456838579035519</v>
      </c>
      <c r="AN84" s="134">
        <f>IF(ISERROR(AN53/AN$51),"--  ",AN53/AN$51)</f>
        <v>0.25278150304717606</v>
      </c>
      <c r="AO84" s="134">
        <f>IF(ISERROR(AO53/AO$51),"--  ",AO53/AO$51)</f>
        <v>0.26024113030188778</v>
      </c>
      <c r="AP84" s="134">
        <f>IF(ISERROR(AP53/AP$51),"--  ",AP53/AP$51)</f>
        <v>0.27430059550053199</v>
      </c>
      <c r="AQ84" s="134">
        <f>IF(ISERROR(AQ53/AQ$51),"--  ",AQ53/AQ$51)</f>
        <v>0.2665473804752363</v>
      </c>
      <c r="AR84" s="134">
        <f>IF(ISERROR(AR53/AR$51),"--  ",AR53/AR$51)</f>
        <v>0.28223684210526317</v>
      </c>
      <c r="AS84" s="134">
        <f t="shared" ref="AS84:AX84" si="112">IF(ISERROR(AS53/AS$51),"--  ",AS53/AS$51)</f>
        <v>0.30142152596460697</v>
      </c>
      <c r="AT84" s="134">
        <f t="shared" si="112"/>
        <v>0.2697288052773027</v>
      </c>
      <c r="AU84" s="134">
        <f t="shared" si="112"/>
        <v>0.2801974448315912</v>
      </c>
      <c r="AV84" s="134">
        <f t="shared" si="112"/>
        <v>0.28619756427604875</v>
      </c>
      <c r="AW84" s="134">
        <f t="shared" si="112"/>
        <v>0.26766470795872183</v>
      </c>
      <c r="AX84" s="134">
        <f t="shared" si="112"/>
        <v>0.25261667100984564</v>
      </c>
      <c r="AY84" s="134">
        <f t="shared" ref="AY84:BD84" si="113">IF(ISERROR(AY53/AY$51),"--  ",AY53/AY$51)</f>
        <v>0.25636410956482458</v>
      </c>
      <c r="AZ84" s="134">
        <f t="shared" si="113"/>
        <v>0.28425579821759384</v>
      </c>
      <c r="BA84" s="134">
        <f t="shared" si="113"/>
        <v>0.2765554049147867</v>
      </c>
      <c r="BB84" s="134">
        <f t="shared" si="113"/>
        <v>0.26067856250746657</v>
      </c>
      <c r="BC84" s="134">
        <f t="shared" si="113"/>
        <v>0.24228527815097659</v>
      </c>
      <c r="BD84" s="134">
        <f t="shared" si="113"/>
        <v>0.26217451126982355</v>
      </c>
      <c r="BE84" s="134">
        <f>IF(ISERROR(BE53/BE$51),"--  ",BE53/BE$51)</f>
        <v>0.2419660444043602</v>
      </c>
      <c r="BF84" s="134">
        <f>IF(ISERROR(BF53/BF$51),"--  ",BF53/BF$51)</f>
        <v>0.25657827496797581</v>
      </c>
      <c r="BG84" s="134">
        <f>IF(ISERROR(BG53/BG$51),"--  ",BG53/BG$51)</f>
        <v>0.25978190840676357</v>
      </c>
      <c r="BH84" s="134">
        <f>IF(ISERROR(BH53/BH$51),"--  ",BH53/BH$51)</f>
        <v>0.26949176877765307</v>
      </c>
      <c r="BI84" s="190"/>
      <c r="BJ84" s="134">
        <f t="shared" ref="BJ84:BQ84" si="114">IF(ISERROR(BJ53/BJ$51),"--  ",BJ53/BJ$51)</f>
        <v>0.23684903604554594</v>
      </c>
      <c r="BK84" s="134">
        <f t="shared" si="114"/>
        <v>0.22039644405752459</v>
      </c>
      <c r="BL84" s="134">
        <f t="shared" si="114"/>
        <v>0.23660535522961254</v>
      </c>
      <c r="BM84" s="134">
        <f t="shared" si="114"/>
        <v>0.25947014630288656</v>
      </c>
      <c r="BN84" s="134">
        <f t="shared" si="114"/>
        <v>0.26383777694329702</v>
      </c>
      <c r="BO84" s="134">
        <f t="shared" si="114"/>
        <v>0.28289188480032856</v>
      </c>
      <c r="BP84" s="134">
        <f t="shared" si="114"/>
        <v>0.26377288843163782</v>
      </c>
      <c r="BQ84" s="134">
        <f t="shared" si="114"/>
        <v>0.26666183615373729</v>
      </c>
      <c r="BR84" s="134">
        <f t="shared" ref="BR84" si="115">IF(ISERROR(BR53/BR$51),"--  ",BR53/BR$51)</f>
        <v>0.25519628397740957</v>
      </c>
    </row>
    <row r="85" spans="2:70" s="7" customFormat="1" ht="14.5" x14ac:dyDescent="0.35">
      <c r="B85" s="56" t="str">
        <f>IF(Control!$D$5=1,"EBITDA Margin","Margem EBITDA")</f>
        <v>EBITDA Margin</v>
      </c>
      <c r="C85" s="134" t="str">
        <f>IF(ISERROR(C78/C$51),"--  ",C78/C$51)</f>
        <v xml:space="preserve">--  </v>
      </c>
      <c r="D85" s="134" t="str">
        <f>IF(ISERROR(D78/D$51),"--  ",D78/D$51)</f>
        <v xml:space="preserve">--  </v>
      </c>
      <c r="E85" s="134"/>
      <c r="F85" s="134" t="str">
        <f>IF(ISERROR(F78/F$51),"--  ",F78/F$51)</f>
        <v xml:space="preserve">--  </v>
      </c>
      <c r="G85" s="134" t="str">
        <f>IF(ISERROR(G78/G$51),"--  ",G78/G$51)</f>
        <v xml:space="preserve">--  </v>
      </c>
      <c r="H85" s="134" t="str">
        <f>IF(ISERROR(H78/H$51),"--  ",H78/H$51)</f>
        <v xml:space="preserve">--  </v>
      </c>
      <c r="I85" s="134"/>
      <c r="J85" s="134" t="str">
        <f>IF(ISERROR(J78/J$51),"--  ",J78/J$51)</f>
        <v xml:space="preserve">--  </v>
      </c>
      <c r="K85" s="134" t="str">
        <f>IF(ISERROR(K78/K$51),"--  ",K78/K$51)</f>
        <v xml:space="preserve">--  </v>
      </c>
      <c r="L85" s="134" t="str">
        <f>IF(ISERROR(L78/L$51),"--  ",L78/L$51)</f>
        <v xml:space="preserve">--  </v>
      </c>
      <c r="M85" s="134"/>
      <c r="N85" s="134" t="str">
        <f>IF(ISERROR(N78/N$51),"--  ",N78/N$51)</f>
        <v xml:space="preserve">--  </v>
      </c>
      <c r="O85" s="134" t="str">
        <f>IF(ISERROR(O78/O$51),"--  ",O78/O$51)</f>
        <v xml:space="preserve">--  </v>
      </c>
      <c r="P85" s="134" t="str">
        <f>IF(ISERROR(P78/P$51),"--  ",P78/P$51)</f>
        <v xml:space="preserve">--  </v>
      </c>
      <c r="Q85" s="134"/>
      <c r="R85" s="134" t="str">
        <f>IF(ISERROR(R78/R$51),"--  ",R78/R$51)</f>
        <v xml:space="preserve">--  </v>
      </c>
      <c r="S85" s="134" t="str">
        <f>IF(ISERROR(S78/S$51),"--  ",S78/S$51)</f>
        <v xml:space="preserve">--  </v>
      </c>
      <c r="T85" s="134" t="str">
        <f>IF(ISERROR(T78/T$51),"--  ",T78/T$51)</f>
        <v xml:space="preserve">--  </v>
      </c>
      <c r="U85" s="134"/>
      <c r="V85" s="134" t="str">
        <f t="shared" ref="V85:AM85" si="116">IF(ISERROR(V78/V$51),"--  ",V78/V$51)</f>
        <v xml:space="preserve">--  </v>
      </c>
      <c r="W85" s="134" t="str">
        <f t="shared" si="116"/>
        <v xml:space="preserve">--  </v>
      </c>
      <c r="X85" s="134">
        <f t="shared" si="116"/>
        <v>0.1242464493716154</v>
      </c>
      <c r="Y85" s="134">
        <f t="shared" si="116"/>
        <v>0.1006319821796213</v>
      </c>
      <c r="Z85" s="134">
        <f t="shared" si="116"/>
        <v>5.3491961899024928E-2</v>
      </c>
      <c r="AA85" s="134">
        <f t="shared" si="116"/>
        <v>0.11578969004357463</v>
      </c>
      <c r="AB85" s="134">
        <f t="shared" si="116"/>
        <v>9.213911605255902E-2</v>
      </c>
      <c r="AC85" s="134">
        <f t="shared" si="116"/>
        <v>9.202020017866587E-2</v>
      </c>
      <c r="AD85" s="134">
        <f t="shared" si="116"/>
        <v>8.8097300546254864E-2</v>
      </c>
      <c r="AE85" s="134">
        <f t="shared" si="116"/>
        <v>8.8268269515252559E-2</v>
      </c>
      <c r="AF85" s="134">
        <f t="shared" si="116"/>
        <v>9.4855641477323602E-2</v>
      </c>
      <c r="AG85" s="134">
        <f t="shared" si="116"/>
        <v>0.10723718807656996</v>
      </c>
      <c r="AH85" s="134">
        <f t="shared" si="116"/>
        <v>0.10511164162336749</v>
      </c>
      <c r="AI85" s="134">
        <f t="shared" si="116"/>
        <v>5.5361999831758518E-2</v>
      </c>
      <c r="AJ85" s="134">
        <f t="shared" si="116"/>
        <v>8.0860827120034007E-2</v>
      </c>
      <c r="AK85" s="134">
        <f t="shared" si="116"/>
        <v>0.1344500142641725</v>
      </c>
      <c r="AL85" s="134">
        <f t="shared" si="116"/>
        <v>0.11784422936163123</v>
      </c>
      <c r="AM85" s="134">
        <f t="shared" si="116"/>
        <v>8.3269793255168631E-2</v>
      </c>
      <c r="AN85" s="134">
        <f>IF(ISERROR(AN78/AN$51),"--  ",AN78/AN$51)</f>
        <v>0.10328823399595974</v>
      </c>
      <c r="AO85" s="134">
        <f>IF(ISERROR(AO78/AO$51),"--  ",AO78/AO$51)</f>
        <v>0.10738328435703859</v>
      </c>
      <c r="AP85" s="134">
        <f>IF(ISERROR(AP78/AP$51),"--  ",AP78/AP$51)</f>
        <v>0.12658060420083597</v>
      </c>
      <c r="AQ85" s="134">
        <f>IF(ISERROR(AQ78/AQ$51),"--  ",AQ78/AQ$51)</f>
        <v>9.0472373318064792E-2</v>
      </c>
      <c r="AR85" s="134">
        <f>IF(ISERROR(AR78/AR$51),"--  ",AR78/AR$51)</f>
        <v>0.11381578947368426</v>
      </c>
      <c r="AS85" s="134">
        <f t="shared" ref="AS85:AX85" si="117">IF(ISERROR(AS78/AS$51),"--  ",AS78/AS$51)</f>
        <v>0.18131708732230931</v>
      </c>
      <c r="AT85" s="134">
        <f t="shared" si="117"/>
        <v>0.10554605423894449</v>
      </c>
      <c r="AU85" s="134">
        <f t="shared" si="117"/>
        <v>0.10511033681765389</v>
      </c>
      <c r="AV85" s="134">
        <f t="shared" si="117"/>
        <v>0.1261840324763194</v>
      </c>
      <c r="AW85" s="134">
        <f t="shared" si="117"/>
        <v>0.10183995942182032</v>
      </c>
      <c r="AX85" s="134">
        <f t="shared" si="117"/>
        <v>9.6706359547251694E-2</v>
      </c>
      <c r="AY85" s="134">
        <f t="shared" ref="AY85:BE85" si="118">IF(ISERROR(AY78/AY$51),"--  ",AY78/AY$51)</f>
        <v>0.11110183557419397</v>
      </c>
      <c r="AZ85" s="134">
        <f t="shared" si="118"/>
        <v>0.13230982174011097</v>
      </c>
      <c r="BA85" s="134">
        <f t="shared" si="118"/>
        <v>0.12306084113673965</v>
      </c>
      <c r="BB85" s="134">
        <f t="shared" si="118"/>
        <v>0.10566518602184403</v>
      </c>
      <c r="BC85" s="134">
        <f t="shared" si="118"/>
        <v>9.9016446019801599E-2</v>
      </c>
      <c r="BD85" s="134">
        <f t="shared" si="118"/>
        <v>0.11715009464424893</v>
      </c>
      <c r="BE85" s="134">
        <f t="shared" si="118"/>
        <v>0.10884742586370193</v>
      </c>
      <c r="BF85" s="134">
        <f t="shared" ref="BF85" si="119">IF(ISERROR(BF78/BF$51),"--  ",BF78/BF$51)</f>
        <v>0.10745479719475175</v>
      </c>
      <c r="BG85" s="134">
        <f t="shared" ref="BG85:BH85" si="120">IF(ISERROR(BG78/BG$51),"--  ",BG78/BG$51)</f>
        <v>0.14335790752568309</v>
      </c>
      <c r="BH85" s="134">
        <f t="shared" si="120"/>
        <v>9.1742530965568114E-2</v>
      </c>
      <c r="BI85" s="190"/>
      <c r="BJ85" s="134">
        <f t="shared" ref="BJ85:BQ85" si="121">IF(ISERROR(BJ78/BJ$51),"--  ",BJ78/BJ$51)</f>
        <v>9.5286743794350717E-2</v>
      </c>
      <c r="BK85" s="134">
        <f t="shared" si="121"/>
        <v>9.0045370075840042E-2</v>
      </c>
      <c r="BL85" s="134">
        <f t="shared" si="121"/>
        <v>9.1453091880576459E-2</v>
      </c>
      <c r="BM85" s="134">
        <f t="shared" si="121"/>
        <v>0.10201581652827205</v>
      </c>
      <c r="BN85" s="134">
        <f t="shared" si="121"/>
        <v>0.10694705219677059</v>
      </c>
      <c r="BO85" s="134">
        <f t="shared" si="121"/>
        <v>0.12598823247562929</v>
      </c>
      <c r="BP85" s="134">
        <f t="shared" si="121"/>
        <v>0.10771503176904858</v>
      </c>
      <c r="BQ85" s="134">
        <f t="shared" si="121"/>
        <v>0.11542736375916447</v>
      </c>
      <c r="BR85" s="134">
        <f t="shared" ref="BR85" si="122">IF(ISERROR(BR78/BR$51),"--  ",BR78/BR$51)</f>
        <v>0.11982530585078241</v>
      </c>
    </row>
    <row r="86" spans="2:70" s="7" customFormat="1" ht="14.5" x14ac:dyDescent="0.35">
      <c r="B86" s="56" t="str">
        <f>IF(Control!$D$5=1,"EBIT Margin","Margem EBIT")</f>
        <v>EBIT Margin</v>
      </c>
      <c r="C86" s="134" t="str">
        <f>IF(ISERROR(C56/C$51),"--  ",C56/C$51)</f>
        <v xml:space="preserve">--  </v>
      </c>
      <c r="D86" s="134" t="str">
        <f>IF(ISERROR(D56/D$51),"--  ",D56/D$51)</f>
        <v xml:space="preserve">--  </v>
      </c>
      <c r="E86" s="134"/>
      <c r="F86" s="134" t="str">
        <f>IF(ISERROR(F56/F$51),"--  ",F56/F$51)</f>
        <v xml:space="preserve">--  </v>
      </c>
      <c r="G86" s="134" t="str">
        <f>IF(ISERROR(G56/G$51),"--  ",G56/G$51)</f>
        <v xml:space="preserve">--  </v>
      </c>
      <c r="H86" s="134" t="str">
        <f>IF(ISERROR(H56/H$51),"--  ",H56/H$51)</f>
        <v xml:space="preserve">--  </v>
      </c>
      <c r="I86" s="134"/>
      <c r="J86" s="134" t="str">
        <f>IF(ISERROR(J56/J$51),"--  ",J56/J$51)</f>
        <v xml:space="preserve">--  </v>
      </c>
      <c r="K86" s="134" t="str">
        <f>IF(ISERROR(K56/K$51),"--  ",K56/K$51)</f>
        <v xml:space="preserve">--  </v>
      </c>
      <c r="L86" s="134" t="str">
        <f>IF(ISERROR(L56/L$51),"--  ",L56/L$51)</f>
        <v xml:space="preserve">--  </v>
      </c>
      <c r="M86" s="134"/>
      <c r="N86" s="134" t="str">
        <f>IF(ISERROR(N56/N$51),"--  ",N56/N$51)</f>
        <v xml:space="preserve">--  </v>
      </c>
      <c r="O86" s="134" t="str">
        <f>IF(ISERROR(O56/O$51),"--  ",O56/O$51)</f>
        <v xml:space="preserve">--  </v>
      </c>
      <c r="P86" s="134" t="str">
        <f>IF(ISERROR(P56/P$51),"--  ",P56/P$51)</f>
        <v xml:space="preserve">--  </v>
      </c>
      <c r="Q86" s="134"/>
      <c r="R86" s="134" t="str">
        <f>IF(ISERROR(R56/R$51),"--  ",R56/R$51)</f>
        <v xml:space="preserve">--  </v>
      </c>
      <c r="S86" s="134" t="str">
        <f>IF(ISERROR(S56/S$51),"--  ",S56/S$51)</f>
        <v xml:space="preserve">--  </v>
      </c>
      <c r="T86" s="134" t="str">
        <f>IF(ISERROR(T56/T$51),"--  ",T56/T$51)</f>
        <v xml:space="preserve">--  </v>
      </c>
      <c r="U86" s="134"/>
      <c r="V86" s="134" t="str">
        <f t="shared" ref="V86:AS86" si="123">IF(ISERROR(V56/V$51),"--  ",V56/V$51)</f>
        <v xml:space="preserve">--  </v>
      </c>
      <c r="W86" s="134" t="str">
        <f t="shared" si="123"/>
        <v xml:space="preserve">--  </v>
      </c>
      <c r="X86" s="134">
        <f t="shared" si="123"/>
        <v>0.10176765096556657</v>
      </c>
      <c r="Y86" s="134">
        <f t="shared" si="123"/>
        <v>7.6584596172668634E-2</v>
      </c>
      <c r="Z86" s="134">
        <f t="shared" si="123"/>
        <v>3.4290877602499957E-2</v>
      </c>
      <c r="AA86" s="134">
        <f t="shared" si="123"/>
        <v>8.6602811806297669E-2</v>
      </c>
      <c r="AB86" s="134">
        <f t="shared" si="123"/>
        <v>7.1847529786517192E-2</v>
      </c>
      <c r="AC86" s="134">
        <f t="shared" si="123"/>
        <v>7.4518240323786275E-2</v>
      </c>
      <c r="AD86" s="134">
        <f t="shared" si="123"/>
        <v>6.8297770785086698E-2</v>
      </c>
      <c r="AE86" s="134">
        <f t="shared" si="123"/>
        <v>5.9071302885438916E-2</v>
      </c>
      <c r="AF86" s="134">
        <f t="shared" si="123"/>
        <v>7.1633542000484329E-2</v>
      </c>
      <c r="AG86" s="134">
        <f t="shared" si="123"/>
        <v>8.6142711561258647E-2</v>
      </c>
      <c r="AH86" s="134">
        <f t="shared" si="123"/>
        <v>8.1076555799207084E-2</v>
      </c>
      <c r="AI86" s="134">
        <f t="shared" si="123"/>
        <v>2.3466197459552095E-2</v>
      </c>
      <c r="AJ86" s="134">
        <f t="shared" si="123"/>
        <v>5.2821837850223548E-2</v>
      </c>
      <c r="AK86" s="134">
        <f t="shared" si="123"/>
        <v>0.10880167366290366</v>
      </c>
      <c r="AL86" s="134">
        <f t="shared" si="123"/>
        <v>8.6737851328979293E-2</v>
      </c>
      <c r="AM86" s="134">
        <f t="shared" si="123"/>
        <v>6.6654583635409159E-2</v>
      </c>
      <c r="AN86" s="134">
        <f t="shared" si="123"/>
        <v>7.8163885446551354E-2</v>
      </c>
      <c r="AO86" s="134">
        <f t="shared" si="123"/>
        <v>8.5221630925004344E-2</v>
      </c>
      <c r="AP86" s="134">
        <f t="shared" si="123"/>
        <v>9.6470498327542967E-2</v>
      </c>
      <c r="AQ86" s="134">
        <f t="shared" si="123"/>
        <v>7.3137703979387431E-2</v>
      </c>
      <c r="AR86" s="134">
        <f t="shared" si="123"/>
        <v>8.5526315789473728E-2</v>
      </c>
      <c r="AS86" s="134">
        <f t="shared" si="123"/>
        <v>0.14940527995358288</v>
      </c>
      <c r="AT86" s="134">
        <f t="shared" ref="AT86:AY86" si="124">IF(ISERROR(AT56/AT$51),"--  ",AT56/AT$51)</f>
        <v>8.5756169069142379E-2</v>
      </c>
      <c r="AU86" s="134">
        <f t="shared" si="124"/>
        <v>7.6364692218350766E-2</v>
      </c>
      <c r="AV86" s="134">
        <f t="shared" si="124"/>
        <v>8.6603518267929697E-2</v>
      </c>
      <c r="AW86" s="134">
        <f t="shared" si="124"/>
        <v>6.8760437461253543E-2</v>
      </c>
      <c r="AX86" s="134">
        <f t="shared" si="124"/>
        <v>6.9777138260386604E-2</v>
      </c>
      <c r="AY86" s="134">
        <f t="shared" si="124"/>
        <v>8.1766040404238849E-2</v>
      </c>
      <c r="AZ86" s="134">
        <f t="shared" ref="AZ86:BE86" si="125">IF(ISERROR(AZ56/AZ$51),"--  ",AZ56/AZ$51)</f>
        <v>0.10377705850941796</v>
      </c>
      <c r="BA86" s="134">
        <f t="shared" si="125"/>
        <v>9.7767807814338969E-2</v>
      </c>
      <c r="BB86" s="134">
        <f t="shared" si="125"/>
        <v>7.8162841969221422E-2</v>
      </c>
      <c r="BC86" s="134">
        <f t="shared" si="125"/>
        <v>5.7818708790419622E-2</v>
      </c>
      <c r="BD86" s="134">
        <f t="shared" si="125"/>
        <v>9.1500707843542681E-2</v>
      </c>
      <c r="BE86" s="134">
        <f t="shared" si="125"/>
        <v>8.8550582016541521E-2</v>
      </c>
      <c r="BF86" s="134">
        <f t="shared" ref="BF86" si="126">IF(ISERROR(BF56/BF$51),"--  ",BF56/BF$51)</f>
        <v>8.7290719365447966E-2</v>
      </c>
      <c r="BG86" s="134">
        <f t="shared" ref="BG86:BH86" si="127">IF(ISERROR(BG56/BG$51),"--  ",BG56/BG$51)</f>
        <v>0.12262157153403959</v>
      </c>
      <c r="BH86" s="134">
        <f t="shared" si="127"/>
        <v>6.5858671113605424E-2</v>
      </c>
      <c r="BI86" s="190"/>
      <c r="BJ86" s="134">
        <f t="shared" ref="BJ86:BQ86" si="128">IF(ISERROR(BJ56/BJ$9),"--  ",BJ56/BJ$9)</f>
        <v>2.5852288761671276E-2</v>
      </c>
      <c r="BK86" s="134">
        <f t="shared" si="128"/>
        <v>2.833704526298304E-2</v>
      </c>
      <c r="BL86" s="134">
        <f t="shared" si="128"/>
        <v>2.9742431443089128E-2</v>
      </c>
      <c r="BM86" s="134">
        <f t="shared" si="128"/>
        <v>2.6715173892976403E-2</v>
      </c>
      <c r="BN86" s="134">
        <f t="shared" si="128"/>
        <v>3.3319325208621006E-2</v>
      </c>
      <c r="BO86" s="134">
        <f t="shared" si="128"/>
        <v>4.1571026808247029E-2</v>
      </c>
      <c r="BP86" s="134">
        <f t="shared" si="128"/>
        <v>2.8833639484480797E-2</v>
      </c>
      <c r="BQ86" s="134">
        <f t="shared" si="128"/>
        <v>3.3606883921768527E-2</v>
      </c>
      <c r="BR86" s="134">
        <f t="shared" ref="BR86" si="129">IF(ISERROR(BR56/BR$9),"--  ",BR56/BR$9)</f>
        <v>3.3573278407329113E-2</v>
      </c>
    </row>
    <row r="87" spans="2:70" s="7" customFormat="1" ht="14.5" x14ac:dyDescent="0.35">
      <c r="B87" s="215" t="str">
        <f>IF(Control!$D$5=1,"Net Margin","Margem Líquida")</f>
        <v>Net Margin</v>
      </c>
      <c r="C87" s="136" t="str">
        <f>IF(ISERROR(C63/C$51),"--  ",C63/C$51)</f>
        <v xml:space="preserve">--  </v>
      </c>
      <c r="D87" s="136" t="str">
        <f>IF(ISERROR(D63/D$51),"--  ",D63/D$51)</f>
        <v xml:space="preserve">--  </v>
      </c>
      <c r="E87" s="136"/>
      <c r="F87" s="136" t="str">
        <f>IF(ISERROR(F63/F$51),"--  ",F63/F$51)</f>
        <v xml:space="preserve">--  </v>
      </c>
      <c r="G87" s="136" t="str">
        <f>IF(ISERROR(G63/G$51),"--  ",G63/G$51)</f>
        <v xml:space="preserve">--  </v>
      </c>
      <c r="H87" s="136" t="str">
        <f>IF(ISERROR(H63/H$51),"--  ",H63/H$51)</f>
        <v xml:space="preserve">--  </v>
      </c>
      <c r="I87" s="136"/>
      <c r="J87" s="136" t="str">
        <f>IF(ISERROR(J63/J$51),"--  ",J63/J$51)</f>
        <v xml:space="preserve">--  </v>
      </c>
      <c r="K87" s="136" t="str">
        <f>IF(ISERROR(K63/K$51),"--  ",K63/K$51)</f>
        <v xml:space="preserve">--  </v>
      </c>
      <c r="L87" s="136" t="str">
        <f>IF(ISERROR(L63/L$51),"--  ",L63/L$51)</f>
        <v xml:space="preserve">--  </v>
      </c>
      <c r="M87" s="136"/>
      <c r="N87" s="136" t="str">
        <f>IF(ISERROR(N63/N$51),"--  ",N63/N$51)</f>
        <v xml:space="preserve">--  </v>
      </c>
      <c r="O87" s="136" t="str">
        <f>IF(ISERROR(O63/O$51),"--  ",O63/O$51)</f>
        <v xml:space="preserve">--  </v>
      </c>
      <c r="P87" s="136" t="str">
        <f>IF(ISERROR(P63/P$51),"--  ",P63/P$51)</f>
        <v xml:space="preserve">--  </v>
      </c>
      <c r="Q87" s="136"/>
      <c r="R87" s="136" t="str">
        <f>IF(ISERROR(R63/R$51),"--  ",R63/R$51)</f>
        <v xml:space="preserve">--  </v>
      </c>
      <c r="S87" s="136" t="str">
        <f>IF(ISERROR(S63/S$51),"--  ",S63/S$51)</f>
        <v xml:space="preserve">--  </v>
      </c>
      <c r="T87" s="136" t="str">
        <f>IF(ISERROR(T63/T$51),"--  ",T63/T$51)</f>
        <v xml:space="preserve">--  </v>
      </c>
      <c r="U87" s="136"/>
      <c r="V87" s="136" t="str">
        <f t="shared" ref="V87:AR87" si="130">IF(ISERROR(V63/V$51),"--  ",V63/V$51)</f>
        <v xml:space="preserve">--  </v>
      </c>
      <c r="W87" s="136" t="str">
        <f t="shared" si="130"/>
        <v xml:space="preserve">--  </v>
      </c>
      <c r="X87" s="136">
        <f t="shared" si="130"/>
        <v>4.8998671707366916E-2</v>
      </c>
      <c r="Y87" s="136">
        <f t="shared" si="130"/>
        <v>2.2984238415066291E-2</v>
      </c>
      <c r="Z87" s="136">
        <f t="shared" si="130"/>
        <v>2.6535145514099662E-2</v>
      </c>
      <c r="AA87" s="136">
        <f t="shared" si="130"/>
        <v>3.8715777357559752E-2</v>
      </c>
      <c r="AB87" s="136">
        <f t="shared" si="130"/>
        <v>4.8749578853869942E-2</v>
      </c>
      <c r="AC87" s="136">
        <f t="shared" si="130"/>
        <v>5.2257935133361313E-2</v>
      </c>
      <c r="AD87" s="136">
        <f t="shared" si="130"/>
        <v>3.9132356320823083E-2</v>
      </c>
      <c r="AE87" s="136">
        <f t="shared" si="130"/>
        <v>2.6810601223936884E-3</v>
      </c>
      <c r="AF87" s="136">
        <f t="shared" si="130"/>
        <v>2.8009169411850551E-2</v>
      </c>
      <c r="AG87" s="136">
        <f t="shared" si="130"/>
        <v>5.7543355091345019E-2</v>
      </c>
      <c r="AH87" s="136">
        <f t="shared" si="130"/>
        <v>3.2768733864085603E-2</v>
      </c>
      <c r="AI87" s="136">
        <f t="shared" si="130"/>
        <v>-1.312634943779247E-2</v>
      </c>
      <c r="AJ87" s="136">
        <f t="shared" si="130"/>
        <v>4.0994208290495972E-2</v>
      </c>
      <c r="AK87" s="136">
        <f t="shared" si="130"/>
        <v>6.9870671502900411E-2</v>
      </c>
      <c r="AL87" s="136">
        <f t="shared" si="130"/>
        <v>6.0538377203316056E-2</v>
      </c>
      <c r="AM87" s="136">
        <f t="shared" si="130"/>
        <v>4.4405139871503248E-2</v>
      </c>
      <c r="AN87" s="136">
        <f t="shared" si="130"/>
        <v>7.6313511127709802E-2</v>
      </c>
      <c r="AO87" s="136">
        <f t="shared" si="130"/>
        <v>4.626317107357375E-2</v>
      </c>
      <c r="AP87" s="136">
        <f t="shared" si="130"/>
        <v>6.8744158157416774E-2</v>
      </c>
      <c r="AQ87" s="136">
        <f t="shared" si="130"/>
        <v>4.3690237618093423E-2</v>
      </c>
      <c r="AR87" s="136">
        <f t="shared" si="130"/>
        <v>5.2631578947368467E-2</v>
      </c>
      <c r="AS87" s="136">
        <f t="shared" ref="AS87:AX87" si="131">IF(ISERROR(AS63/AS$51),"--  ",AS63/AS$51)</f>
        <v>0.10612996808819269</v>
      </c>
      <c r="AT87" s="136">
        <f t="shared" si="131"/>
        <v>6.5966283899340269E-2</v>
      </c>
      <c r="AU87" s="136">
        <f t="shared" si="131"/>
        <v>6.3588850174216033E-2</v>
      </c>
      <c r="AV87" s="136">
        <f t="shared" si="131"/>
        <v>6.4614343707713184E-2</v>
      </c>
      <c r="AW87" s="136">
        <f t="shared" si="131"/>
        <v>4.3799517689179515E-2</v>
      </c>
      <c r="AX87" s="136">
        <f t="shared" si="131"/>
        <v>4.9317365540838883E-2</v>
      </c>
      <c r="AY87" s="136">
        <f t="shared" ref="AY87:BE87" si="132">IF(ISERROR(AY63/AY$51),"--  ",AY63/AY$51)</f>
        <v>5.7338368313019944E-2</v>
      </c>
      <c r="AZ87" s="136">
        <f t="shared" si="132"/>
        <v>7.9319578129186746E-2</v>
      </c>
      <c r="BA87" s="136">
        <f t="shared" si="132"/>
        <v>7.4184829792495868E-2</v>
      </c>
      <c r="BB87" s="136">
        <f t="shared" si="132"/>
        <v>5.2434375576962754E-2</v>
      </c>
      <c r="BC87" s="136">
        <f t="shared" si="132"/>
        <v>1.971082100230926E-2</v>
      </c>
      <c r="BD87" s="136">
        <f t="shared" si="132"/>
        <v>6.9706682361175137E-2</v>
      </c>
      <c r="BE87" s="136">
        <f t="shared" si="132"/>
        <v>7.1748727024257927E-2</v>
      </c>
      <c r="BF87" s="136">
        <f t="shared" ref="BF87" si="133">IF(ISERROR(BF63/BF$51),"--  ",BF63/BF$51)</f>
        <v>6.1509156185511081E-2</v>
      </c>
      <c r="BG87" s="136">
        <f t="shared" ref="BG87:BH87" si="134">IF(ISERROR(BG63/BG$51),"--  ",BG63/BG$51)</f>
        <v>0.10567296543597642</v>
      </c>
      <c r="BH87" s="136">
        <f t="shared" si="134"/>
        <v>6.9638950185481732E-2</v>
      </c>
      <c r="BI87" s="190"/>
      <c r="BJ87" s="136">
        <f t="shared" ref="BJ87:BQ87" si="135">IF(ISERROR(BJ63/BJ$9),"--  ",BJ63/BJ$9)</f>
        <v>1.193406923919314E-2</v>
      </c>
      <c r="BK87" s="136">
        <f t="shared" si="135"/>
        <v>1.4927840395228226E-2</v>
      </c>
      <c r="BL87" s="136">
        <f t="shared" si="135"/>
        <v>1.2332493565470391E-2</v>
      </c>
      <c r="BM87" s="136">
        <f t="shared" si="135"/>
        <v>1.8353107267939074E-2</v>
      </c>
      <c r="BN87" s="136">
        <f t="shared" si="135"/>
        <v>2.3173440595545422E-2</v>
      </c>
      <c r="BO87" s="136">
        <f t="shared" si="135"/>
        <v>3.0373356291879948E-2</v>
      </c>
      <c r="BP87" s="136">
        <f t="shared" si="135"/>
        <v>2.0175833192199816E-2</v>
      </c>
      <c r="BQ87" s="136">
        <f t="shared" si="135"/>
        <v>2.2389758274497368E-2</v>
      </c>
      <c r="BR87" s="136">
        <f t="shared" ref="BR87" si="136">IF(ISERROR(BR63/BR$9),"--  ",BR63/BR$9)</f>
        <v>2.6629606774370266E-2</v>
      </c>
    </row>
    <row r="88" spans="2:70" s="7" customFormat="1" ht="13" x14ac:dyDescent="0.3">
      <c r="C88" s="137"/>
      <c r="E88" s="137"/>
      <c r="F88" s="137"/>
      <c r="G88" s="137"/>
      <c r="I88" s="137"/>
      <c r="J88" s="137"/>
      <c r="K88" s="137"/>
      <c r="M88" s="137"/>
      <c r="N88" s="137"/>
      <c r="O88" s="137"/>
      <c r="Q88" s="137"/>
      <c r="R88" s="137"/>
      <c r="S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90"/>
      <c r="BJ88" s="137"/>
      <c r="BK88" s="137"/>
      <c r="BL88" s="137"/>
      <c r="BM88" s="137"/>
      <c r="BN88" s="137"/>
      <c r="BO88" s="137"/>
      <c r="BP88" s="137"/>
      <c r="BQ88" s="137"/>
      <c r="BR88" s="137"/>
    </row>
    <row r="89" spans="2:70" s="7" customFormat="1" ht="14.5" x14ac:dyDescent="0.35">
      <c r="B89" s="56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190"/>
      <c r="BJ89" s="239"/>
      <c r="BK89" s="239"/>
      <c r="BL89" s="239"/>
      <c r="BM89" s="239"/>
      <c r="BN89" s="239"/>
      <c r="BO89" s="239"/>
      <c r="BP89" s="239"/>
      <c r="BQ89" s="239"/>
      <c r="BR89" s="239"/>
    </row>
    <row r="90" spans="2:70" s="7" customFormat="1" ht="14.5" x14ac:dyDescent="0.35">
      <c r="B90" s="56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190"/>
      <c r="BJ90" s="239"/>
      <c r="BK90" s="239"/>
      <c r="BL90" s="239"/>
      <c r="BM90" s="239"/>
      <c r="BN90" s="239"/>
      <c r="BO90" s="239"/>
      <c r="BP90" s="239"/>
      <c r="BQ90" s="239"/>
      <c r="BR90" s="239"/>
    </row>
    <row r="91" spans="2:70" s="7" customFormat="1" ht="13" x14ac:dyDescent="0.3">
      <c r="C91" s="139"/>
      <c r="E91" s="139"/>
      <c r="F91" s="139"/>
      <c r="G91" s="139"/>
      <c r="I91" s="139"/>
      <c r="J91" s="139"/>
      <c r="K91" s="139"/>
      <c r="M91" s="139"/>
      <c r="N91" s="139"/>
      <c r="O91" s="139"/>
      <c r="Q91" s="139"/>
      <c r="R91" s="139"/>
      <c r="S91" s="139"/>
      <c r="U91" s="139"/>
      <c r="V91" s="139"/>
      <c r="W91" s="139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90"/>
      <c r="BJ91" s="141"/>
      <c r="BK91" s="141"/>
      <c r="BL91" s="141"/>
      <c r="BM91" s="141"/>
      <c r="BN91" s="141"/>
      <c r="BO91" s="141"/>
      <c r="BP91" s="141"/>
      <c r="BQ91" s="141"/>
      <c r="BR91" s="141"/>
    </row>
    <row r="93" spans="2:70" x14ac:dyDescent="0.25"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1"/>
      <c r="BJ93" s="142"/>
      <c r="BK93" s="142"/>
      <c r="BL93" s="142"/>
      <c r="BM93" s="142"/>
      <c r="BN93" s="142"/>
      <c r="BO93" s="142"/>
      <c r="BP93" s="142"/>
      <c r="BQ93" s="142"/>
      <c r="BR93" s="142"/>
    </row>
    <row r="94" spans="2:70" x14ac:dyDescent="0.25"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1"/>
      <c r="BJ94" s="142"/>
      <c r="BK94" s="142"/>
      <c r="BL94" s="142"/>
      <c r="BM94" s="142"/>
      <c r="BN94" s="142"/>
      <c r="BO94" s="142"/>
      <c r="BP94" s="142"/>
      <c r="BQ94" s="142"/>
      <c r="BR94" s="142"/>
    </row>
    <row r="96" spans="2:70" x14ac:dyDescent="0.25">
      <c r="Y96" s="143"/>
      <c r="Z96" s="143"/>
      <c r="AA96" s="143"/>
    </row>
  </sheetData>
  <phoneticPr fontId="1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ignoredErrors>
    <ignoredError sqref="BM81:BM83" formula="1"/>
    <ignoredError sqref="AT14 AT61 BP70:BQ7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A1:BX75"/>
  <sheetViews>
    <sheetView showGridLines="0" zoomScale="85" zoomScaleNormal="85" workbookViewId="0">
      <pane xSplit="2" ySplit="8" topLeftCell="BA9" activePane="bottomRight" state="frozen"/>
      <selection activeCell="AI67" sqref="AI67"/>
      <selection pane="topRight" activeCell="AI67" sqref="AI67"/>
      <selection pane="bottomLeft" activeCell="AI67" sqref="AI67"/>
      <selection pane="bottomRight" activeCell="BG4" sqref="BG4"/>
    </sheetView>
  </sheetViews>
  <sheetFormatPr defaultColWidth="11.7265625" defaultRowHeight="14.5" outlineLevelRow="1" x14ac:dyDescent="0.35"/>
  <cols>
    <col min="1" max="1" width="5.26953125" style="7" customWidth="1"/>
    <col min="2" max="2" width="52.26953125" style="8" bestFit="1" customWidth="1"/>
    <col min="3" max="4" width="11.1796875" style="78" customWidth="1"/>
    <col min="5" max="6" width="11.1796875" style="91" customWidth="1"/>
    <col min="7" max="8" width="11.1796875" style="78" customWidth="1"/>
    <col min="9" max="10" width="11.1796875" style="91" customWidth="1"/>
    <col min="11" max="12" width="11.1796875" style="78" customWidth="1"/>
    <col min="13" max="14" width="11.1796875" style="91" customWidth="1"/>
    <col min="15" max="16" width="11.1796875" style="78" customWidth="1"/>
    <col min="17" max="18" width="11.1796875" style="91" customWidth="1"/>
    <col min="19" max="20" width="11.1796875" style="78" customWidth="1"/>
    <col min="21" max="22" width="11.1796875" style="91" customWidth="1"/>
    <col min="23" max="23" width="11.1796875" style="78" customWidth="1"/>
    <col min="24" max="24" width="11.1796875" style="91" customWidth="1"/>
    <col min="25" max="27" width="11.1796875" style="78" customWidth="1"/>
    <col min="28" max="28" width="11.1796875" style="91" customWidth="1"/>
    <col min="29" max="44" width="11.1796875" style="78" customWidth="1"/>
    <col min="45" max="60" width="10.81640625" style="78" customWidth="1"/>
    <col min="61" max="61" width="7.7265625" customWidth="1"/>
    <col min="62" max="76" width="11.1796875" style="78" customWidth="1"/>
    <col min="77" max="95" width="12" style="8" bestFit="1" customWidth="1"/>
    <col min="96" max="96" width="13.26953125" style="8" bestFit="1" customWidth="1"/>
    <col min="97" max="169" width="12" style="8" bestFit="1" customWidth="1"/>
    <col min="170" max="216" width="13" style="8" bestFit="1" customWidth="1"/>
    <col min="217" max="263" width="14.1796875" style="8" bestFit="1" customWidth="1"/>
    <col min="264" max="292" width="15.1796875" style="8" bestFit="1" customWidth="1"/>
    <col min="293" max="16384" width="11.7265625" style="8"/>
  </cols>
  <sheetData>
    <row r="1" spans="1:76" s="20" customFormat="1" ht="13" x14ac:dyDescent="0.3">
      <c r="A1" s="181"/>
      <c r="C1" s="108"/>
      <c r="D1" s="108"/>
      <c r="E1" s="71"/>
      <c r="F1" s="71"/>
      <c r="G1" s="108"/>
      <c r="H1" s="108"/>
      <c r="I1" s="71"/>
      <c r="J1" s="71"/>
      <c r="K1" s="108"/>
      <c r="L1" s="108"/>
      <c r="M1" s="71"/>
      <c r="N1" s="71"/>
      <c r="O1" s="108"/>
      <c r="P1" s="108"/>
      <c r="Q1" s="71"/>
      <c r="R1" s="71"/>
      <c r="S1" s="108"/>
      <c r="T1" s="108"/>
      <c r="U1" s="71"/>
      <c r="V1" s="71"/>
      <c r="W1" s="108"/>
      <c r="X1" s="71"/>
      <c r="Y1" s="71"/>
      <c r="Z1" s="71"/>
      <c r="AA1" s="108"/>
      <c r="AB1" s="71"/>
      <c r="AC1" s="71"/>
      <c r="AD1" s="71"/>
      <c r="AE1" s="108"/>
      <c r="AF1" s="71"/>
      <c r="AG1" s="71"/>
      <c r="AH1" s="71"/>
      <c r="AI1" s="108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76" s="20" customFormat="1" ht="18.5" x14ac:dyDescent="0.45">
      <c r="A2" s="181"/>
      <c r="B2" s="21" t="str">
        <f>IF(Control!$D$5=1,"Cash Flow","Fluxo de Caixa")</f>
        <v>Cash Flow</v>
      </c>
      <c r="C2" s="81"/>
      <c r="D2" s="81"/>
      <c r="E2" s="72"/>
      <c r="F2" s="72"/>
      <c r="G2" s="81"/>
      <c r="H2" s="81"/>
      <c r="I2" s="72"/>
      <c r="J2" s="72"/>
      <c r="K2" s="81"/>
      <c r="L2" s="81"/>
      <c r="M2" s="72"/>
      <c r="N2" s="72"/>
      <c r="O2" s="81"/>
      <c r="P2" s="81"/>
      <c r="Q2" s="72"/>
      <c r="R2" s="72"/>
      <c r="S2" s="81"/>
      <c r="T2" s="81"/>
      <c r="U2" s="72"/>
      <c r="V2" s="72"/>
      <c r="W2" s="81"/>
      <c r="X2" s="72"/>
      <c r="Y2" s="72"/>
      <c r="Z2" s="72"/>
      <c r="AA2" s="81"/>
      <c r="AB2" s="72"/>
      <c r="AC2" s="72"/>
      <c r="AD2" s="72"/>
      <c r="AE2" s="81"/>
      <c r="AF2" s="72"/>
      <c r="AG2" s="72"/>
      <c r="AH2" s="72"/>
      <c r="AI2" s="81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</row>
    <row r="3" spans="1:76" s="20" customFormat="1" x14ac:dyDescent="0.35">
      <c r="A3" s="181"/>
      <c r="B3" s="29" t="str">
        <f>IF(Control!$D$5=1,"Consolidated Financials","Consolidado")</f>
        <v>Consolidated Financials</v>
      </c>
      <c r="C3" s="110"/>
      <c r="D3" s="110"/>
      <c r="E3" s="71"/>
      <c r="F3" s="71"/>
      <c r="G3" s="110"/>
      <c r="H3" s="110"/>
      <c r="I3" s="71"/>
      <c r="J3" s="71"/>
      <c r="K3" s="110"/>
      <c r="L3" s="110"/>
      <c r="M3" s="71"/>
      <c r="N3" s="71"/>
      <c r="O3" s="110"/>
      <c r="P3" s="110"/>
      <c r="Q3" s="71"/>
      <c r="R3" s="71"/>
      <c r="S3" s="110"/>
      <c r="T3" s="110"/>
      <c r="U3" s="71"/>
      <c r="V3" s="71"/>
      <c r="W3" s="110"/>
      <c r="X3" s="71"/>
      <c r="Y3" s="71"/>
      <c r="Z3" s="71"/>
      <c r="AA3" s="110"/>
      <c r="AB3" s="71"/>
      <c r="AC3" s="71"/>
      <c r="AD3" s="71"/>
      <c r="AE3" s="110"/>
      <c r="AF3" s="71"/>
      <c r="AG3" s="71"/>
      <c r="AH3" s="71"/>
      <c r="AI3" s="110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</row>
    <row r="4" spans="1:76" s="20" customFormat="1" ht="13" x14ac:dyDescent="0.3">
      <c r="A4" s="181"/>
      <c r="C4" s="108"/>
      <c r="D4" s="108"/>
      <c r="E4" s="73"/>
      <c r="F4" s="73"/>
      <c r="G4" s="108"/>
      <c r="H4" s="108"/>
      <c r="I4" s="73"/>
      <c r="J4" s="73"/>
      <c r="K4" s="108"/>
      <c r="L4" s="108"/>
      <c r="M4" s="73"/>
      <c r="N4" s="73"/>
      <c r="O4" s="108"/>
      <c r="P4" s="108"/>
      <c r="Q4" s="73"/>
      <c r="R4" s="73"/>
      <c r="S4" s="108"/>
      <c r="T4" s="108"/>
      <c r="U4" s="73"/>
      <c r="V4" s="73"/>
      <c r="W4" s="108"/>
      <c r="X4" s="73"/>
      <c r="Y4" s="73"/>
      <c r="Z4" s="73"/>
      <c r="AA4" s="108"/>
      <c r="AB4" s="73"/>
      <c r="AC4" s="73"/>
      <c r="AD4" s="73"/>
      <c r="AE4" s="108"/>
      <c r="AF4" s="73"/>
      <c r="AG4" s="73"/>
      <c r="AH4" s="73"/>
      <c r="AI4" s="108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</row>
    <row r="5" spans="1:76" s="2" customFormat="1" x14ac:dyDescent="0.35">
      <c r="A5" s="80"/>
      <c r="B5" s="30" t="str">
        <f>IF(Control!$D$5=1,"FINANCIAL STATEMENTS","DEMONSTRATIVOS FINANCEIROS")</f>
        <v>FINANCIAL STATEMENTS</v>
      </c>
      <c r="C5" s="163"/>
      <c r="D5" s="163"/>
      <c r="E5" s="163"/>
      <c r="F5" s="163"/>
      <c r="G5" s="163"/>
      <c r="H5" s="162"/>
      <c r="I5" s="162"/>
      <c r="J5" s="162"/>
      <c r="K5" s="163"/>
      <c r="L5" s="162"/>
      <c r="M5" s="162"/>
      <c r="N5" s="162"/>
      <c r="O5" s="163"/>
      <c r="P5" s="162"/>
      <c r="Q5" s="162"/>
      <c r="R5" s="162"/>
      <c r="S5" s="163"/>
      <c r="T5" s="162"/>
      <c r="U5" s="162"/>
      <c r="V5" s="162"/>
      <c r="W5" s="163"/>
      <c r="X5" s="162"/>
      <c r="Y5" s="162"/>
      <c r="Z5" s="162"/>
      <c r="AA5" s="163"/>
      <c r="AB5" s="162"/>
      <c r="AC5" s="162"/>
      <c r="AD5" s="162"/>
      <c r="AE5" s="163"/>
      <c r="AF5" s="162"/>
      <c r="AG5" s="162"/>
      <c r="AH5" s="162"/>
      <c r="AI5" s="163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</row>
    <row r="6" spans="1:76" s="2" customFormat="1" x14ac:dyDescent="0.35">
      <c r="A6" s="80"/>
      <c r="B6" s="30" t="str">
        <f>IF(Control!D4=1,"In "&amp;TEXT(Control!D8,0)&amp;" "&amp;TEXT(Control!D9,0)&amp;", except where noted","Em "&amp;TEXT(Control!D8,0)&amp;" "&amp;TEXT(Control!D7,0)&amp;", exceto se especificado")</f>
        <v>Em millions R$, exceto se especificado</v>
      </c>
      <c r="C6" s="111" t="str">
        <f>IF(Control!$D$5=1,"4Q07","4T07")</f>
        <v>4Q07</v>
      </c>
      <c r="D6" s="111" t="str">
        <f>IF(Control!$D$5=1,"1Q08","1T08")</f>
        <v>1Q08</v>
      </c>
      <c r="E6" s="111" t="str">
        <f>IF(Control!$D$5=1,"2Q08","2T08")</f>
        <v>2Q08</v>
      </c>
      <c r="F6" s="111" t="str">
        <f>IF(Control!$D$5=1,"3Q08","3T08")</f>
        <v>3Q08</v>
      </c>
      <c r="G6" s="111" t="str">
        <f>IF(Control!$D$5=1,"4Q08","4T08")</f>
        <v>4Q08</v>
      </c>
      <c r="H6" s="111" t="str">
        <f>IF(Control!$D$5=1,"1Q09","1T09")</f>
        <v>1Q09</v>
      </c>
      <c r="I6" s="111" t="str">
        <f>IF(Control!$D$5=1,"2Q09","2T09")</f>
        <v>2Q09</v>
      </c>
      <c r="J6" s="111" t="str">
        <f>IF(Control!$D$5=1,"3Q09","3T09")</f>
        <v>3Q09</v>
      </c>
      <c r="K6" s="111" t="str">
        <f>IF(Control!$D$5=1,"4Q09","4T09")</f>
        <v>4Q09</v>
      </c>
      <c r="L6" s="111" t="str">
        <f>IF(Control!$D$5=1,"1Q10","1T10")</f>
        <v>1Q10</v>
      </c>
      <c r="M6" s="111" t="str">
        <f>IF(Control!$D$5=1,"2Q10","2T10")</f>
        <v>2Q10</v>
      </c>
      <c r="N6" s="111" t="str">
        <f>IF(Control!$D$5=1,"3Q10","3T10")</f>
        <v>3Q10</v>
      </c>
      <c r="O6" s="111" t="str">
        <f>IF(Control!$D$5=1,"4Q10","4T10")</f>
        <v>4Q10</v>
      </c>
      <c r="P6" s="111" t="str">
        <f>IF(Control!$D$5=1,"1Q11","1T11")</f>
        <v>1Q11</v>
      </c>
      <c r="Q6" s="111" t="str">
        <f>IF(Control!$D$5=1,"2Q11","2T11")</f>
        <v>2Q11</v>
      </c>
      <c r="R6" s="111" t="str">
        <f>IF(Control!$D$5=1,"3Q11","3T11")</f>
        <v>3Q11</v>
      </c>
      <c r="S6" s="111" t="str">
        <f>IF(Control!$D$5=1,"4Q11","4T11")</f>
        <v>4Q11</v>
      </c>
      <c r="T6" s="111" t="str">
        <f>IF(Control!$D$5=1,"1Q12","1T12")</f>
        <v>1Q12</v>
      </c>
      <c r="U6" s="111" t="str">
        <f>IF(Control!$D$5=1,"2Q12","2T12")</f>
        <v>2Q12</v>
      </c>
      <c r="V6" s="111" t="str">
        <f>IF(Control!$D$5=1,"3Q12","3T12")</f>
        <v>3Q12</v>
      </c>
      <c r="W6" s="111" t="str">
        <f>IF(Control!$D$5=1,"4Q12","4T12")</f>
        <v>4Q12</v>
      </c>
      <c r="X6" s="111" t="str">
        <f>IF(Control!$D$5=1,"1Q13","1T13")</f>
        <v>1Q13</v>
      </c>
      <c r="Y6" s="111" t="str">
        <f>IF(Control!$D$5=1,"2Q13","2T13")</f>
        <v>2Q13</v>
      </c>
      <c r="Z6" s="111" t="str">
        <f>IF(Control!$D$5=1,"3Q13","3T13")</f>
        <v>3Q13</v>
      </c>
      <c r="AA6" s="111" t="str">
        <f>IF(Control!$D$5=1,"4Q13","4T13")</f>
        <v>4Q13</v>
      </c>
      <c r="AB6" s="111" t="str">
        <f>IF(Control!$D$5=1,"1Q14","1T14")</f>
        <v>1Q14</v>
      </c>
      <c r="AC6" s="111" t="str">
        <f>IF(Control!$D$5=1,"2Q14","2T14")</f>
        <v>2Q14</v>
      </c>
      <c r="AD6" s="111" t="str">
        <f>IF(Control!$D$5=1,"3Q14","3T14")</f>
        <v>3Q14</v>
      </c>
      <c r="AE6" s="111" t="str">
        <f>IF(Control!$D$5=1,"4Q14","4T14")</f>
        <v>4Q14</v>
      </c>
      <c r="AF6" s="111" t="str">
        <f>IF(Control!$D$5=1,"1Q15","1T15")</f>
        <v>1Q15</v>
      </c>
      <c r="AG6" s="111" t="str">
        <f>IF(Control!$D$5=1,"2Q15","2T15")</f>
        <v>2Q15</v>
      </c>
      <c r="AH6" s="111" t="str">
        <f>IF(Control!$D$5=1,"3Q15","3T15")</f>
        <v>3Q15</v>
      </c>
      <c r="AI6" s="111" t="str">
        <f>IF(Control!$D$5=1,"4Q15","4T15")</f>
        <v>4Q15</v>
      </c>
      <c r="AJ6" s="111" t="str">
        <f>IF(Control!$D$5=1,"1Q16","1T16")</f>
        <v>1Q16</v>
      </c>
      <c r="AK6" s="111" t="str">
        <f>IF(Control!$D$5=1,"2Q16","2T16")</f>
        <v>2Q16</v>
      </c>
      <c r="AL6" s="111" t="str">
        <f>IF(Control!$D$5=1,"3Q16","3T16")</f>
        <v>3Q16</v>
      </c>
      <c r="AM6" s="111" t="str">
        <f>IF(Control!$D$5=1,"4Q16","4T16")</f>
        <v>4Q16</v>
      </c>
      <c r="AN6" s="111" t="str">
        <f>IF(Control!$D$5=1,"1Q17","1T17")</f>
        <v>1Q17</v>
      </c>
      <c r="AO6" s="111" t="str">
        <f>IF(Control!$D$5=1,"2Q17","2T17")</f>
        <v>2Q17</v>
      </c>
      <c r="AP6" s="111" t="str">
        <f>IF(Control!$D$5=1,"3Q17","3T17")</f>
        <v>3Q17</v>
      </c>
      <c r="AQ6" s="111" t="str">
        <f>IF(Control!$D$5=1,"4Q17","4T17")</f>
        <v>4Q17</v>
      </c>
      <c r="AR6" s="111" t="str">
        <f>IF(Control!$D$5=1,"1Q18","1T18")</f>
        <v>1Q18</v>
      </c>
      <c r="AS6" s="111" t="str">
        <f>IF(Control!$D$5=1,"2Q18","2T18")</f>
        <v>2Q18</v>
      </c>
      <c r="AT6" s="111" t="str">
        <f>IF(Control!$D$5=1,"3Q18","3T18")</f>
        <v>3Q18</v>
      </c>
      <c r="AU6" s="111" t="str">
        <f>IF(Control!$D$5=1,"4Q18","4T18")</f>
        <v>4Q18</v>
      </c>
      <c r="AV6" s="111" t="str">
        <f>IF(Control!$D$5=1,"1Q19","1T19")</f>
        <v>1Q19</v>
      </c>
      <c r="AW6" s="111" t="str">
        <f>IF(Control!$D$5=1,"2Q19","2T19")</f>
        <v>2Q19</v>
      </c>
      <c r="AX6" s="111" t="str">
        <f>IF(Control!$D$5=1,"3Q19","3T19")</f>
        <v>3Q19</v>
      </c>
      <c r="AY6" s="111" t="str">
        <f>IF(Control!$D$5=1,"4Q19","4T19")</f>
        <v>4Q19</v>
      </c>
      <c r="AZ6" s="111" t="str">
        <f>IF(Control!$D$5=1,"1Q20","1T20")</f>
        <v>1Q20</v>
      </c>
      <c r="BA6" s="111" t="str">
        <f>IF(Control!$D$5=1,"2Q20","2T20")</f>
        <v>2Q20</v>
      </c>
      <c r="BB6" s="111" t="str">
        <f>IF(Control!$D$5=1,"3Q20","3T20")</f>
        <v>3Q20</v>
      </c>
      <c r="BC6" s="111" t="s">
        <v>18</v>
      </c>
      <c r="BD6" s="111" t="str">
        <f>IF(Control!$D$5=1,"1Q21","1T21")</f>
        <v>1Q21</v>
      </c>
      <c r="BE6" s="111" t="str">
        <f>IF(Control!$D$5=1,"2Q21","2T21")</f>
        <v>2Q21</v>
      </c>
      <c r="BF6" s="111" t="str">
        <f>IF(Control!$D$5=1,"3Q21","3T21")</f>
        <v>3Q21</v>
      </c>
      <c r="BG6" s="111" t="str">
        <f>IF(Control!$D$5=1,"4Q21","4T21")</f>
        <v>4Q21</v>
      </c>
      <c r="BH6" s="111" t="str">
        <f>IF(Control!$D$5=1,"1Q22","1T22")</f>
        <v>1Q22</v>
      </c>
      <c r="BJ6" s="106" t="str">
        <f>'P&amp;L'!BI6</f>
        <v>12M07</v>
      </c>
      <c r="BK6" s="106" t="str">
        <f>'P&amp;L'!BJ6</f>
        <v>12M08</v>
      </c>
      <c r="BL6" s="106" t="str">
        <f>'P&amp;L'!BK6</f>
        <v>12M09</v>
      </c>
      <c r="BM6" s="106" t="str">
        <f>'P&amp;L'!BL6</f>
        <v>12M10</v>
      </c>
      <c r="BN6" s="106" t="str">
        <f>'P&amp;L'!BM6</f>
        <v>11M11</v>
      </c>
      <c r="BO6" s="106" t="str">
        <f>'P&amp;L'!BN6</f>
        <v>12M12</v>
      </c>
      <c r="BP6" s="106" t="str">
        <f>'P&amp;L'!BO6</f>
        <v>12M13</v>
      </c>
      <c r="BQ6" s="106" t="str">
        <f>'P&amp;L'!BP6</f>
        <v>12M14</v>
      </c>
      <c r="BR6" s="106" t="str">
        <f>'P&amp;L'!BQ6</f>
        <v>12M15</v>
      </c>
      <c r="BS6" s="106" t="str">
        <f>'P&amp;L'!BR6</f>
        <v>12M16</v>
      </c>
      <c r="BT6" s="106" t="str">
        <f>'P&amp;L'!BS6</f>
        <v>12M17</v>
      </c>
      <c r="BU6" s="106" t="str">
        <f>'P&amp;L'!BT6</f>
        <v>12M18</v>
      </c>
      <c r="BV6" s="106" t="str">
        <f>'P&amp;L'!BU6</f>
        <v>12M19</v>
      </c>
      <c r="BW6" s="111" t="s">
        <v>17</v>
      </c>
      <c r="BX6" s="111" t="str">
        <f>'P&amp;L'!BW6</f>
        <v>12M21</v>
      </c>
    </row>
    <row r="7" spans="1:76" s="79" customFormat="1" x14ac:dyDescent="0.35">
      <c r="A7" s="247"/>
      <c r="B7" s="30" t="str">
        <f>IF(Control!$D$5=1,"Closing Date","Data Fechamento")</f>
        <v>Closing Date</v>
      </c>
      <c r="C7" s="74">
        <v>39506</v>
      </c>
      <c r="D7" s="74">
        <v>39599</v>
      </c>
      <c r="E7" s="74">
        <v>39690</v>
      </c>
      <c r="F7" s="74">
        <v>39782</v>
      </c>
      <c r="G7" s="74">
        <v>39872</v>
      </c>
      <c r="H7" s="74">
        <v>39964</v>
      </c>
      <c r="I7" s="74">
        <v>40056</v>
      </c>
      <c r="J7" s="74">
        <v>40147</v>
      </c>
      <c r="K7" s="74">
        <v>40237</v>
      </c>
      <c r="L7" s="74">
        <v>40329</v>
      </c>
      <c r="M7" s="74">
        <v>40421</v>
      </c>
      <c r="N7" s="74">
        <v>40512</v>
      </c>
      <c r="O7" s="74">
        <v>40602</v>
      </c>
      <c r="P7" s="74">
        <v>40694</v>
      </c>
      <c r="Q7" s="74">
        <v>40786</v>
      </c>
      <c r="R7" s="74">
        <v>40877</v>
      </c>
      <c r="S7" s="74">
        <v>40968</v>
      </c>
      <c r="T7" s="74">
        <v>41060</v>
      </c>
      <c r="U7" s="74">
        <v>41152</v>
      </c>
      <c r="V7" s="74">
        <v>41243</v>
      </c>
      <c r="W7" s="74">
        <v>41333</v>
      </c>
      <c r="X7" s="74">
        <v>41425</v>
      </c>
      <c r="Y7" s="74">
        <v>41517</v>
      </c>
      <c r="Z7" s="74">
        <v>41608</v>
      </c>
      <c r="AA7" s="74">
        <v>41698</v>
      </c>
      <c r="AB7" s="74">
        <v>41790</v>
      </c>
      <c r="AC7" s="74">
        <v>41882</v>
      </c>
      <c r="AD7" s="74">
        <v>41973</v>
      </c>
      <c r="AE7" s="74">
        <v>42063</v>
      </c>
      <c r="AF7" s="74">
        <v>42155</v>
      </c>
      <c r="AG7" s="74">
        <v>42247</v>
      </c>
      <c r="AH7" s="74">
        <v>42338</v>
      </c>
      <c r="AI7" s="74">
        <v>42429</v>
      </c>
      <c r="AJ7" s="74">
        <v>42521</v>
      </c>
      <c r="AK7" s="74">
        <v>42613</v>
      </c>
      <c r="AL7" s="74">
        <v>42704</v>
      </c>
      <c r="AM7" s="74">
        <v>42794</v>
      </c>
      <c r="AN7" s="74">
        <v>42886</v>
      </c>
      <c r="AO7" s="74">
        <v>42978</v>
      </c>
      <c r="AP7" s="74">
        <v>43069</v>
      </c>
      <c r="AQ7" s="74">
        <v>43159</v>
      </c>
      <c r="AR7" s="74">
        <v>43251</v>
      </c>
      <c r="AS7" s="74">
        <v>43343</v>
      </c>
      <c r="AT7" s="74">
        <v>43434</v>
      </c>
      <c r="AU7" s="74">
        <v>43524</v>
      </c>
      <c r="AV7" s="74">
        <v>43616</v>
      </c>
      <c r="AW7" s="74">
        <v>43708</v>
      </c>
      <c r="AX7" s="74">
        <v>43799</v>
      </c>
      <c r="AY7" s="74">
        <v>43890</v>
      </c>
      <c r="AZ7" s="74">
        <v>43982</v>
      </c>
      <c r="BA7" s="74">
        <v>44074</v>
      </c>
      <c r="BB7" s="74">
        <v>44165</v>
      </c>
      <c r="BC7" s="74">
        <v>44255</v>
      </c>
      <c r="BD7" s="74">
        <v>44347</v>
      </c>
      <c r="BE7" s="74">
        <v>44439</v>
      </c>
      <c r="BF7" s="74">
        <v>44530</v>
      </c>
      <c r="BG7" s="74">
        <v>44620</v>
      </c>
      <c r="BH7" s="74">
        <v>44712</v>
      </c>
      <c r="BJ7" s="106">
        <f>'P&amp;L'!BI7</f>
        <v>39506</v>
      </c>
      <c r="BK7" s="106">
        <f>'P&amp;L'!BJ7</f>
        <v>39872</v>
      </c>
      <c r="BL7" s="106">
        <f>'P&amp;L'!BK7</f>
        <v>40237</v>
      </c>
      <c r="BM7" s="106">
        <f>'P&amp;L'!BL7</f>
        <v>40602</v>
      </c>
      <c r="BN7" s="106">
        <f>'P&amp;L'!BM7</f>
        <v>40967</v>
      </c>
      <c r="BO7" s="106">
        <f>'P&amp;L'!BN7</f>
        <v>41333</v>
      </c>
      <c r="BP7" s="106">
        <f>'P&amp;L'!BO7</f>
        <v>41698</v>
      </c>
      <c r="BQ7" s="106">
        <f>'P&amp;L'!BP7</f>
        <v>42063</v>
      </c>
      <c r="BR7" s="106">
        <f>'P&amp;L'!BQ7</f>
        <v>42429</v>
      </c>
      <c r="BS7" s="106">
        <f>'P&amp;L'!BR7</f>
        <v>42794</v>
      </c>
      <c r="BT7" s="106">
        <f>'P&amp;L'!BS7</f>
        <v>43159</v>
      </c>
      <c r="BU7" s="74">
        <v>43524</v>
      </c>
      <c r="BV7" s="74">
        <v>43890</v>
      </c>
      <c r="BW7" s="74">
        <v>44255</v>
      </c>
      <c r="BX7" s="74">
        <v>44620</v>
      </c>
    </row>
    <row r="8" spans="1:76" x14ac:dyDescent="0.35">
      <c r="B8" s="15"/>
      <c r="C8" s="196"/>
      <c r="D8" s="196"/>
      <c r="E8" s="197"/>
      <c r="F8" s="197"/>
      <c r="G8" s="196"/>
      <c r="H8" s="196"/>
      <c r="I8" s="196"/>
      <c r="J8" s="197"/>
      <c r="K8" s="196"/>
      <c r="L8" s="196"/>
      <c r="M8" s="196"/>
      <c r="N8" s="198"/>
      <c r="O8" s="196"/>
      <c r="P8" s="198"/>
      <c r="Q8" s="198"/>
      <c r="R8" s="198"/>
      <c r="S8" s="196"/>
      <c r="T8" s="198"/>
      <c r="U8" s="198"/>
      <c r="V8" s="198"/>
      <c r="W8" s="196"/>
      <c r="X8" s="199"/>
      <c r="Y8" s="198"/>
      <c r="Z8" s="198"/>
      <c r="AA8" s="196"/>
      <c r="AB8" s="199"/>
      <c r="AC8" s="198"/>
      <c r="AD8" s="198"/>
      <c r="AE8" s="196"/>
      <c r="AF8" s="198"/>
      <c r="AG8" s="196"/>
      <c r="AH8" s="198"/>
      <c r="AI8" s="196"/>
      <c r="AJ8" s="196"/>
      <c r="AK8" s="196"/>
      <c r="AL8" s="198"/>
      <c r="AM8" s="77"/>
      <c r="AN8" s="196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</row>
    <row r="9" spans="1:76" s="7" customFormat="1" x14ac:dyDescent="0.35">
      <c r="A9" s="147"/>
      <c r="B9" s="56" t="str">
        <f>IF(Control!$D$5=1,"Pre-Tax Income","Lucro Líquido antes de Impostos e Contribuição Social")</f>
        <v>Pre-Tax Income</v>
      </c>
      <c r="C9" s="76">
        <v>0</v>
      </c>
      <c r="D9" s="76">
        <v>40.9</v>
      </c>
      <c r="E9" s="76">
        <v>49.500000000000007</v>
      </c>
      <c r="F9" s="76">
        <v>-3.5</v>
      </c>
      <c r="G9" s="248">
        <v>8.6999999999999886</v>
      </c>
      <c r="H9" s="76">
        <v>36.1</v>
      </c>
      <c r="I9" s="76">
        <v>24.799999999999997</v>
      </c>
      <c r="J9" s="76">
        <v>11.199999999999996</v>
      </c>
      <c r="K9" s="248">
        <v>16.5</v>
      </c>
      <c r="L9" s="76">
        <v>32.799999999999997</v>
      </c>
      <c r="M9" s="76">
        <v>15.700000000000003</v>
      </c>
      <c r="N9" s="76">
        <v>17.799999999999997</v>
      </c>
      <c r="O9" s="248">
        <v>14.100000000000009</v>
      </c>
      <c r="P9" s="76">
        <v>30.478000000000002</v>
      </c>
      <c r="Q9" s="76">
        <v>17.231000000000002</v>
      </c>
      <c r="R9" s="76">
        <v>22.444000000000003</v>
      </c>
      <c r="S9" s="76">
        <v>29.763999999999996</v>
      </c>
      <c r="T9" s="76">
        <v>42.198999999999998</v>
      </c>
      <c r="U9" s="76">
        <v>48.120999999999995</v>
      </c>
      <c r="V9" s="76">
        <v>58.938000000000017</v>
      </c>
      <c r="W9" s="76">
        <v>39.795999999999992</v>
      </c>
      <c r="X9" s="76">
        <v>68.593999999999994</v>
      </c>
      <c r="Y9" s="76">
        <v>36.001000000000005</v>
      </c>
      <c r="Z9" s="76">
        <v>33.614000000000004</v>
      </c>
      <c r="AA9" s="76">
        <v>41.09</v>
      </c>
      <c r="AB9" s="76">
        <v>56</v>
      </c>
      <c r="AC9" s="76">
        <v>39.673000000000002</v>
      </c>
      <c r="AD9" s="76">
        <v>35.59899999999999</v>
      </c>
      <c r="AE9" s="76">
        <v>25.427999999999997</v>
      </c>
      <c r="AF9" s="76">
        <v>55</v>
      </c>
      <c r="AG9" s="76">
        <v>42.599999999999994</v>
      </c>
      <c r="AH9" s="76">
        <v>42.400000000000006</v>
      </c>
      <c r="AI9" s="76">
        <v>41.199999999999989</v>
      </c>
      <c r="AJ9" s="76">
        <v>70.7</v>
      </c>
      <c r="AK9" s="76">
        <v>102.91199999999999</v>
      </c>
      <c r="AL9" s="76">
        <v>91.188000000000017</v>
      </c>
      <c r="AM9" s="76">
        <v>37.599999999999966</v>
      </c>
      <c r="AN9" s="76">
        <v>83.3</v>
      </c>
      <c r="AO9" s="76">
        <v>65.7</v>
      </c>
      <c r="AP9" s="76">
        <v>93.1</v>
      </c>
      <c r="AQ9" s="76">
        <v>83.1</v>
      </c>
      <c r="AR9" s="76">
        <v>45.3</v>
      </c>
      <c r="AS9" s="76">
        <v>102.8</v>
      </c>
      <c r="AT9" s="76">
        <v>146.50000000000003</v>
      </c>
      <c r="AU9" s="76">
        <v>71.400000000000006</v>
      </c>
      <c r="AV9" s="76">
        <v>38.4</v>
      </c>
      <c r="AW9" s="76">
        <v>36.806999999999995</v>
      </c>
      <c r="AX9" s="76">
        <v>77.572999999999581</v>
      </c>
      <c r="AY9" s="76">
        <v>83.376000000000005</v>
      </c>
      <c r="AZ9" s="76">
        <v>138.83600000000001</v>
      </c>
      <c r="BA9" s="76">
        <v>151.91300000000001</v>
      </c>
      <c r="BB9" s="76">
        <v>166.42400000000001</v>
      </c>
      <c r="BC9" s="76">
        <v>79.989999999999995</v>
      </c>
      <c r="BD9" s="76">
        <v>117.742</v>
      </c>
      <c r="BE9" s="76">
        <v>126.009</v>
      </c>
      <c r="BF9" s="76">
        <v>133.42599999999999</v>
      </c>
      <c r="BG9" s="76">
        <v>132.16200000000001</v>
      </c>
      <c r="BH9" s="76">
        <v>105.087</v>
      </c>
      <c r="BI9" s="249"/>
      <c r="BJ9" s="76">
        <v>80.099999999999994</v>
      </c>
      <c r="BK9" s="76">
        <v>95.6</v>
      </c>
      <c r="BL9" s="76">
        <v>88.6</v>
      </c>
      <c r="BM9" s="76">
        <v>80.400000000000006</v>
      </c>
      <c r="BN9" s="76">
        <v>99.917000000000002</v>
      </c>
      <c r="BO9" s="76">
        <v>189.054</v>
      </c>
      <c r="BP9" s="76">
        <v>179.29900000000001</v>
      </c>
      <c r="BQ9" s="76">
        <v>156.69999999999999</v>
      </c>
      <c r="BR9" s="76">
        <v>181.2</v>
      </c>
      <c r="BS9" s="76">
        <v>302.39999999999998</v>
      </c>
      <c r="BT9" s="76">
        <v>325.2</v>
      </c>
      <c r="BU9" s="76">
        <v>366.012</v>
      </c>
      <c r="BV9" s="76">
        <v>236.15600000000001</v>
      </c>
      <c r="BW9" s="76">
        <v>537.16300000000001</v>
      </c>
      <c r="BX9" s="76">
        <v>509.339</v>
      </c>
    </row>
    <row r="10" spans="1:76" s="7" customFormat="1" x14ac:dyDescent="0.35">
      <c r="A10" s="147"/>
      <c r="B10" s="56" t="str">
        <f>IF(Control!$D$5=1,"Net Result in Uncons. Subs.","Resultado de Equiv. Patrimonial")</f>
        <v>Net Result in Uncons. Subs.</v>
      </c>
      <c r="C10" s="248">
        <v>0</v>
      </c>
      <c r="D10" s="248">
        <v>0.69799999999999995</v>
      </c>
      <c r="E10" s="76">
        <v>-0.79699999999999993</v>
      </c>
      <c r="F10" s="76">
        <v>0.19900000000000001</v>
      </c>
      <c r="G10" s="248">
        <v>-0.187</v>
      </c>
      <c r="H10" s="248">
        <v>0.48899999999999999</v>
      </c>
      <c r="I10" s="76">
        <v>-0.249</v>
      </c>
      <c r="J10" s="76">
        <v>3.0599999999999996</v>
      </c>
      <c r="K10" s="248">
        <v>-3.286</v>
      </c>
      <c r="L10" s="248">
        <v>0.45300000000000001</v>
      </c>
      <c r="M10" s="76">
        <v>0.49899999999999994</v>
      </c>
      <c r="N10" s="76">
        <v>0.28900000000000015</v>
      </c>
      <c r="O10" s="248">
        <v>-1.131</v>
      </c>
      <c r="P10" s="248">
        <v>0.38300000000000001</v>
      </c>
      <c r="Q10" s="76">
        <v>0.23099999999999998</v>
      </c>
      <c r="R10" s="76">
        <v>0.378</v>
      </c>
      <c r="S10" s="76">
        <v>0.16900000000000004</v>
      </c>
      <c r="T10" s="248">
        <v>-0.255</v>
      </c>
      <c r="U10" s="76">
        <v>-0.91299999999999992</v>
      </c>
      <c r="V10" s="76">
        <v>-1.7190000000000001</v>
      </c>
      <c r="W10" s="76">
        <v>-1.1439999999999997</v>
      </c>
      <c r="X10" s="248">
        <v>0.36099999999999999</v>
      </c>
      <c r="Y10" s="76">
        <v>-0.437</v>
      </c>
      <c r="Z10" s="76">
        <v>0.38200000000000001</v>
      </c>
      <c r="AA10" s="76">
        <v>0.92900000000000005</v>
      </c>
      <c r="AB10" s="248">
        <v>0.2</v>
      </c>
      <c r="AC10" s="76">
        <v>-0.60699999999999998</v>
      </c>
      <c r="AD10" s="76">
        <v>0.16499999999999998</v>
      </c>
      <c r="AE10" s="76">
        <v>0.54499999999999993</v>
      </c>
      <c r="AF10" s="76">
        <v>1.3029999999999999</v>
      </c>
      <c r="AG10" s="76">
        <v>-0.20299999999999985</v>
      </c>
      <c r="AH10" s="76">
        <v>2.4</v>
      </c>
      <c r="AI10" s="76">
        <v>2.0999999999999996</v>
      </c>
      <c r="AJ10" s="76">
        <v>0.996</v>
      </c>
      <c r="AK10" s="76">
        <v>-0.53600000000000003</v>
      </c>
      <c r="AL10" s="76">
        <v>0.45100000000000001</v>
      </c>
      <c r="AM10" s="76">
        <v>-1.611</v>
      </c>
      <c r="AN10" s="76">
        <v>0.875</v>
      </c>
      <c r="AO10" s="76">
        <v>-0.375</v>
      </c>
      <c r="AP10" s="76">
        <v>0.8</v>
      </c>
      <c r="AQ10" s="76">
        <v>0.59999999999999987</v>
      </c>
      <c r="AR10" s="76">
        <v>0.9</v>
      </c>
      <c r="AS10" s="76">
        <v>-0.7</v>
      </c>
      <c r="AT10" s="76">
        <v>0.39999999999999997</v>
      </c>
      <c r="AU10" s="76">
        <v>0.4</v>
      </c>
      <c r="AV10" s="76">
        <v>0.4</v>
      </c>
      <c r="AW10" s="76">
        <v>1.871</v>
      </c>
      <c r="AX10" s="76">
        <v>0.94500000000000028</v>
      </c>
      <c r="AY10" s="76">
        <v>-2.5960000000000001</v>
      </c>
      <c r="AZ10" s="76">
        <v>0.14899999999999999</v>
      </c>
      <c r="BA10" s="76">
        <v>-0.10299999999999999</v>
      </c>
      <c r="BB10" s="76">
        <v>1.4690000000000001</v>
      </c>
      <c r="BC10" s="76">
        <v>-0.19800000000000001</v>
      </c>
      <c r="BD10" s="76">
        <v>-8.6999999999999994E-2</v>
      </c>
      <c r="BE10" s="76">
        <v>-0.32100000000000001</v>
      </c>
      <c r="BF10" s="76">
        <v>0.159</v>
      </c>
      <c r="BG10" s="76">
        <v>8.5000000000000006E-2</v>
      </c>
      <c r="BH10" s="76">
        <v>-0.61399999999999999</v>
      </c>
      <c r="BI10" s="249"/>
      <c r="BJ10" s="76">
        <v>-0.78400000000000003</v>
      </c>
      <c r="BK10" s="76">
        <v>-8.6999999999999994E-2</v>
      </c>
      <c r="BL10" s="76">
        <v>1.4E-2</v>
      </c>
      <c r="BM10" s="76">
        <v>0.11</v>
      </c>
      <c r="BN10" s="76">
        <v>1.161</v>
      </c>
      <c r="BO10" s="76">
        <v>-4.0309999999999997</v>
      </c>
      <c r="BP10" s="76">
        <v>1.2350000000000001</v>
      </c>
      <c r="BQ10" s="76">
        <v>0.30299999999999999</v>
      </c>
      <c r="BR10" s="76">
        <v>5.6</v>
      </c>
      <c r="BS10" s="76">
        <v>-0.7</v>
      </c>
      <c r="BT10" s="76">
        <v>1.9</v>
      </c>
      <c r="BU10" s="76">
        <v>0.996</v>
      </c>
      <c r="BV10" s="76">
        <v>0.62</v>
      </c>
      <c r="BW10" s="76">
        <v>1.3169999999999999</v>
      </c>
      <c r="BX10" s="76">
        <v>-0.16400000000000001</v>
      </c>
    </row>
    <row r="11" spans="1:76" s="7" customFormat="1" x14ac:dyDescent="0.35">
      <c r="A11" s="147"/>
      <c r="B11" s="56" t="str">
        <f>IF(Control!$D$5=1,"Gain on Subsidiary Sale","Ganho na alienação de investimento")</f>
        <v>Gain on Subsidiary Sale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-0.5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/>
      <c r="BF11" s="76">
        <v>0</v>
      </c>
      <c r="BG11" s="76"/>
      <c r="BH11" s="76"/>
      <c r="BI11" s="249"/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v>-0.52400000000000002</v>
      </c>
      <c r="BV11" s="76">
        <v>0</v>
      </c>
      <c r="BW11" s="76">
        <v>0</v>
      </c>
      <c r="BX11" s="76">
        <v>0</v>
      </c>
    </row>
    <row r="12" spans="1:76" s="7" customFormat="1" x14ac:dyDescent="0.35">
      <c r="A12" s="127"/>
      <c r="B12" s="56" t="str">
        <f>IF(Control!$D$5=1,"Accrued Financial Charges","Encargos Financeiros provisionados")</f>
        <v>Accrued Financial Charges</v>
      </c>
      <c r="C12" s="248">
        <v>0</v>
      </c>
      <c r="D12" s="248">
        <v>0</v>
      </c>
      <c r="E12" s="76">
        <v>0</v>
      </c>
      <c r="F12" s="76">
        <v>0</v>
      </c>
      <c r="G12" s="248">
        <v>45.304000000000002</v>
      </c>
      <c r="H12" s="248">
        <v>0</v>
      </c>
      <c r="I12" s="76">
        <v>0</v>
      </c>
      <c r="J12" s="76">
        <v>25.1</v>
      </c>
      <c r="K12" s="248">
        <v>9.5229999999999961</v>
      </c>
      <c r="L12" s="248">
        <v>12.907999999999999</v>
      </c>
      <c r="M12" s="76">
        <v>-12.907999999999999</v>
      </c>
      <c r="N12" s="76">
        <v>43.7</v>
      </c>
      <c r="O12" s="248">
        <v>14.357999999999997</v>
      </c>
      <c r="P12" s="248">
        <v>16.391999999999999</v>
      </c>
      <c r="Q12" s="76">
        <v>22.891999999999999</v>
      </c>
      <c r="R12" s="76">
        <v>32.354999999999997</v>
      </c>
      <c r="S12" s="76">
        <v>19.567000000000007</v>
      </c>
      <c r="T12" s="248">
        <v>20.574000000000002</v>
      </c>
      <c r="U12" s="76">
        <v>20.194999999999997</v>
      </c>
      <c r="V12" s="76">
        <v>21.96</v>
      </c>
      <c r="W12" s="76">
        <v>23.837000000000003</v>
      </c>
      <c r="X12" s="248">
        <v>26.818000000000001</v>
      </c>
      <c r="Y12" s="76">
        <v>26.959999999999997</v>
      </c>
      <c r="Z12" s="76">
        <v>26.880000000000003</v>
      </c>
      <c r="AA12" s="76">
        <v>40.134</v>
      </c>
      <c r="AB12" s="248">
        <v>36.5</v>
      </c>
      <c r="AC12" s="76">
        <v>39.075000000000003</v>
      </c>
      <c r="AD12" s="76">
        <v>46.600999999999999</v>
      </c>
      <c r="AE12" s="76">
        <v>41.054999999999993</v>
      </c>
      <c r="AF12" s="76">
        <v>39.755000000000003</v>
      </c>
      <c r="AG12" s="76">
        <v>48.645000000000003</v>
      </c>
      <c r="AH12" s="76">
        <v>47.900000000000006</v>
      </c>
      <c r="AI12" s="76">
        <v>44.799999999999983</v>
      </c>
      <c r="AJ12" s="76">
        <v>40.735999999999997</v>
      </c>
      <c r="AK12" s="76">
        <v>44.455000000000005</v>
      </c>
      <c r="AL12" s="76">
        <v>40.159999999999997</v>
      </c>
      <c r="AM12" s="76">
        <v>46.049000000000007</v>
      </c>
      <c r="AN12" s="76">
        <v>37.411999999999999</v>
      </c>
      <c r="AO12" s="76">
        <v>32.687999999999995</v>
      </c>
      <c r="AP12" s="76">
        <v>24.800000000000011</v>
      </c>
      <c r="AQ12" s="76">
        <v>19.399999999999991</v>
      </c>
      <c r="AR12" s="76">
        <v>19.399999999999999</v>
      </c>
      <c r="AS12" s="76">
        <v>29.4</v>
      </c>
      <c r="AT12" s="76">
        <v>17.200000000000003</v>
      </c>
      <c r="AU12" s="76">
        <v>17.399999999999999</v>
      </c>
      <c r="AV12" s="76">
        <v>27.9</v>
      </c>
      <c r="AW12" s="76">
        <v>32.392000000000003</v>
      </c>
      <c r="AX12" s="76">
        <v>27.388000000000005</v>
      </c>
      <c r="AY12" s="76">
        <v>19.305</v>
      </c>
      <c r="AZ12" s="76">
        <v>32.061</v>
      </c>
      <c r="BA12" s="76">
        <v>17.361999999999998</v>
      </c>
      <c r="BB12" s="76">
        <v>17.532</v>
      </c>
      <c r="BC12" s="76">
        <v>24.658999999999999</v>
      </c>
      <c r="BD12" s="76">
        <v>24.509</v>
      </c>
      <c r="BE12" s="76">
        <v>32.314</v>
      </c>
      <c r="BF12" s="76">
        <v>47.895000000000003</v>
      </c>
      <c r="BG12" s="76">
        <v>70.951999999999998</v>
      </c>
      <c r="BH12" s="76">
        <v>87.703999999999994</v>
      </c>
      <c r="BI12" s="249"/>
      <c r="BJ12" s="76">
        <v>0</v>
      </c>
      <c r="BK12" s="76">
        <v>45.304000000000002</v>
      </c>
      <c r="BL12" s="76">
        <v>34.622999999999998</v>
      </c>
      <c r="BM12" s="76">
        <v>58.058</v>
      </c>
      <c r="BN12" s="76">
        <v>91.206000000000003</v>
      </c>
      <c r="BO12" s="76">
        <v>86.566000000000003</v>
      </c>
      <c r="BP12" s="76">
        <v>120.792</v>
      </c>
      <c r="BQ12" s="76">
        <v>163.23099999999999</v>
      </c>
      <c r="BR12" s="76">
        <v>181.1</v>
      </c>
      <c r="BS12" s="76">
        <v>171.4</v>
      </c>
      <c r="BT12" s="76">
        <v>114.3</v>
      </c>
      <c r="BU12" s="76">
        <v>83.426000000000002</v>
      </c>
      <c r="BV12" s="76">
        <v>106.985</v>
      </c>
      <c r="BW12" s="76">
        <v>91.614000000000004</v>
      </c>
      <c r="BX12" s="76">
        <v>175.67</v>
      </c>
    </row>
    <row r="13" spans="1:76" s="7" customFormat="1" x14ac:dyDescent="0.35">
      <c r="A13" s="127"/>
      <c r="B13" s="56" t="str">
        <f>IF(Control!$D$5=1,"Interest Provision - Liability Lease","Juros provisionados - Passivo Arrendamento")</f>
        <v>Interest Provision - Liability Lease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76">
        <v>-13.868</v>
      </c>
      <c r="T13" s="248">
        <v>-6.4210000000000003</v>
      </c>
      <c r="U13" s="76">
        <v>6.4210000000000003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</v>
      </c>
      <c r="AV13" s="76">
        <v>1.4</v>
      </c>
      <c r="AW13" s="76">
        <v>1.3149999999999999</v>
      </c>
      <c r="AX13" s="76">
        <v>1.3149999999999999</v>
      </c>
      <c r="AY13" s="76">
        <v>1.389</v>
      </c>
      <c r="AZ13" s="76">
        <v>1.274</v>
      </c>
      <c r="BA13" s="76">
        <v>1.2869999999999999</v>
      </c>
      <c r="BB13" s="76">
        <v>1.7989999999999999</v>
      </c>
      <c r="BC13" s="76">
        <v>1.631</v>
      </c>
      <c r="BD13" s="76">
        <v>1.5580000000000001</v>
      </c>
      <c r="BE13" s="76">
        <v>1.5780000000000001</v>
      </c>
      <c r="BF13" s="76">
        <v>1.5756060200000002</v>
      </c>
      <c r="BG13" s="76">
        <v>1.8428653199999998</v>
      </c>
      <c r="BH13" s="76">
        <v>2.3719999999999999</v>
      </c>
      <c r="BI13" s="80"/>
      <c r="BJ13" s="76">
        <v>0.88100000000000001</v>
      </c>
      <c r="BK13" s="76">
        <v>0</v>
      </c>
      <c r="BL13" s="76">
        <v>8.9999999999999993E-3</v>
      </c>
      <c r="BM13" s="76">
        <v>0</v>
      </c>
      <c r="BN13" s="76">
        <v>-13.868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/>
      <c r="BV13" s="76">
        <v>5.7439999999999998</v>
      </c>
      <c r="BW13" s="76">
        <v>5.9909999999999997</v>
      </c>
      <c r="BX13" s="76">
        <v>6.5540000000000003</v>
      </c>
    </row>
    <row r="14" spans="1:76" s="7" customFormat="1" x14ac:dyDescent="0.35">
      <c r="A14" s="127"/>
      <c r="B14" s="56" t="str">
        <f>IF(Control!$D$5=1,"Allowance for Doubtful Accounts","Provisão Devedores Duvidosos")</f>
        <v>Allowance for Doubtful Accounts</v>
      </c>
      <c r="C14" s="248">
        <v>0</v>
      </c>
      <c r="D14" s="248">
        <v>0</v>
      </c>
      <c r="E14" s="76">
        <v>0</v>
      </c>
      <c r="F14" s="76">
        <v>0</v>
      </c>
      <c r="G14" s="248">
        <v>3.355</v>
      </c>
      <c r="H14" s="248">
        <v>0</v>
      </c>
      <c r="I14" s="76">
        <v>0</v>
      </c>
      <c r="J14" s="76">
        <v>0</v>
      </c>
      <c r="K14" s="248">
        <v>4.875</v>
      </c>
      <c r="L14" s="248">
        <v>4.2629999999999999</v>
      </c>
      <c r="M14" s="76">
        <v>-4.2629999999999999</v>
      </c>
      <c r="N14" s="76">
        <v>4.3579999999999997</v>
      </c>
      <c r="O14" s="248">
        <v>0.13400000000000034</v>
      </c>
      <c r="P14" s="248">
        <v>7.5609999999999999</v>
      </c>
      <c r="Q14" s="76">
        <v>-3.3250000000000002</v>
      </c>
      <c r="R14" s="76">
        <v>-4.4779999999999998</v>
      </c>
      <c r="S14" s="76">
        <v>0.70700000000000007</v>
      </c>
      <c r="T14" s="248">
        <v>0.245</v>
      </c>
      <c r="U14" s="76">
        <v>-1.4580000000000002</v>
      </c>
      <c r="V14" s="76">
        <v>0</v>
      </c>
      <c r="W14" s="76">
        <v>7.7750000000000004</v>
      </c>
      <c r="X14" s="248">
        <v>1.4219999999999999</v>
      </c>
      <c r="Y14" s="76">
        <v>1.49</v>
      </c>
      <c r="Z14" s="76">
        <v>-2.9649999999999999</v>
      </c>
      <c r="AA14" s="76">
        <v>-0.31</v>
      </c>
      <c r="AB14" s="248">
        <v>0.6</v>
      </c>
      <c r="AC14" s="76">
        <v>1.9590000000000001</v>
      </c>
      <c r="AD14" s="76">
        <v>1.2119999999999997</v>
      </c>
      <c r="AE14" s="76">
        <v>-8.3219999999999992</v>
      </c>
      <c r="AF14" s="76">
        <v>-0.64</v>
      </c>
      <c r="AG14" s="76">
        <v>-0.16000000000000003</v>
      </c>
      <c r="AH14" s="76">
        <v>0.70000000000000007</v>
      </c>
      <c r="AI14" s="76">
        <v>1.7000000000000002</v>
      </c>
      <c r="AJ14" s="76">
        <v>2.4929999999999999</v>
      </c>
      <c r="AK14" s="76">
        <v>3.7230000000000003</v>
      </c>
      <c r="AL14" s="76">
        <v>-3.8370000000000002</v>
      </c>
      <c r="AM14" s="76">
        <v>2.5210000000000004</v>
      </c>
      <c r="AN14" s="76">
        <v>-0.39200000000000002</v>
      </c>
      <c r="AO14" s="76">
        <v>-1.4079999999999999</v>
      </c>
      <c r="AP14" s="76">
        <v>-0.49999999999999978</v>
      </c>
      <c r="AQ14" s="76">
        <v>-3.2</v>
      </c>
      <c r="AR14" s="76">
        <v>-0.1</v>
      </c>
      <c r="AS14" s="76">
        <v>-0.9</v>
      </c>
      <c r="AT14" s="76">
        <v>-0.30000000000000004</v>
      </c>
      <c r="AU14" s="76">
        <v>-2.2000000000000002</v>
      </c>
      <c r="AV14" s="76">
        <v>-1.2</v>
      </c>
      <c r="AW14" s="76">
        <v>0.18799999999999994</v>
      </c>
      <c r="AX14" s="76">
        <v>-0.498</v>
      </c>
      <c r="AY14" s="76">
        <v>-0.36199999999999999</v>
      </c>
      <c r="AZ14" s="76">
        <v>-0.748</v>
      </c>
      <c r="BA14" s="76">
        <v>-0.41599999999999998</v>
      </c>
      <c r="BB14" s="76">
        <v>-0.23799999999999999</v>
      </c>
      <c r="BC14" s="76">
        <v>0.11899999999999999</v>
      </c>
      <c r="BD14" s="76">
        <v>-0.245</v>
      </c>
      <c r="BE14" s="76">
        <v>-0.79800000000000004</v>
      </c>
      <c r="BF14" s="76">
        <v>-1.0569999999999999</v>
      </c>
      <c r="BG14" s="76">
        <v>1.05</v>
      </c>
      <c r="BH14" s="76">
        <v>-0.30299999999999999</v>
      </c>
      <c r="BI14" s="249"/>
      <c r="BJ14" s="76">
        <v>0</v>
      </c>
      <c r="BK14" s="76">
        <v>3.355</v>
      </c>
      <c r="BL14" s="76">
        <v>4.875</v>
      </c>
      <c r="BM14" s="76">
        <v>4.492</v>
      </c>
      <c r="BN14" s="76">
        <v>0.46500000000000002</v>
      </c>
      <c r="BO14" s="76">
        <v>6.5620000000000003</v>
      </c>
      <c r="BP14" s="76">
        <v>-0.36299999999999999</v>
      </c>
      <c r="BQ14" s="76">
        <v>-4.5510000000000002</v>
      </c>
      <c r="BR14" s="76">
        <v>1.6</v>
      </c>
      <c r="BS14" s="76">
        <v>4.9000000000000004</v>
      </c>
      <c r="BT14" s="76">
        <v>-5.5</v>
      </c>
      <c r="BU14" s="76">
        <v>-3.5419999999999998</v>
      </c>
      <c r="BV14" s="76">
        <v>-1.8720000000000001</v>
      </c>
      <c r="BW14" s="76">
        <v>-1.2829999999999999</v>
      </c>
      <c r="BX14" s="76">
        <v>-1.05</v>
      </c>
    </row>
    <row r="15" spans="1:76" s="7" customFormat="1" x14ac:dyDescent="0.35">
      <c r="A15" s="127"/>
      <c r="B15" s="56" t="str">
        <f>IF(Control!$D$5=1,"Provision for Discounts","Provisão para Descontos")</f>
        <v>Provision for Discounts</v>
      </c>
      <c r="C15" s="248">
        <v>0</v>
      </c>
      <c r="D15" s="248">
        <v>0</v>
      </c>
      <c r="E15" s="76">
        <v>0</v>
      </c>
      <c r="F15" s="76">
        <v>0</v>
      </c>
      <c r="G15" s="248">
        <v>0</v>
      </c>
      <c r="H15" s="248">
        <v>0</v>
      </c>
      <c r="I15" s="76">
        <v>0</v>
      </c>
      <c r="J15" s="76">
        <v>0</v>
      </c>
      <c r="K15" s="248">
        <v>0</v>
      </c>
      <c r="L15" s="248">
        <v>0</v>
      </c>
      <c r="M15" s="76">
        <v>0</v>
      </c>
      <c r="N15" s="76">
        <v>0</v>
      </c>
      <c r="O15" s="248">
        <v>0</v>
      </c>
      <c r="P15" s="248">
        <v>0</v>
      </c>
      <c r="Q15" s="76">
        <v>0</v>
      </c>
      <c r="R15" s="76">
        <v>0</v>
      </c>
      <c r="S15" s="76">
        <v>1.671</v>
      </c>
      <c r="T15" s="248">
        <v>0</v>
      </c>
      <c r="U15" s="76">
        <v>0</v>
      </c>
      <c r="V15" s="76">
        <v>0</v>
      </c>
      <c r="W15" s="76">
        <v>6.9710000000000001</v>
      </c>
      <c r="X15" s="248">
        <v>0.36399999999999999</v>
      </c>
      <c r="Y15" s="76">
        <v>0</v>
      </c>
      <c r="Z15" s="76">
        <v>-1.4350000000000001</v>
      </c>
      <c r="AA15" s="76">
        <v>-0.65400000000000014</v>
      </c>
      <c r="AB15" s="248">
        <v>2.6</v>
      </c>
      <c r="AC15" s="76">
        <v>3.3080000000000003</v>
      </c>
      <c r="AD15" s="76">
        <v>0.21399999999999952</v>
      </c>
      <c r="AE15" s="76">
        <v>-8.2809999999999988</v>
      </c>
      <c r="AF15" s="76">
        <v>2.1999999999999999E-2</v>
      </c>
      <c r="AG15" s="76">
        <v>4.6779999999999999</v>
      </c>
      <c r="AH15" s="76">
        <v>-2.6</v>
      </c>
      <c r="AI15" s="76">
        <v>10.8</v>
      </c>
      <c r="AJ15" s="76">
        <v>3.081</v>
      </c>
      <c r="AK15" s="76">
        <v>-1.7809999999999999</v>
      </c>
      <c r="AL15" s="76">
        <v>2.3730000000000002</v>
      </c>
      <c r="AM15" s="76">
        <v>3.827</v>
      </c>
      <c r="AN15" s="76">
        <v>-2.165</v>
      </c>
      <c r="AO15" s="76">
        <v>-4.4349999999999996</v>
      </c>
      <c r="AP15" s="76">
        <v>-2.4000000000000004</v>
      </c>
      <c r="AQ15" s="76">
        <v>7.7</v>
      </c>
      <c r="AR15" s="76">
        <v>-8.9</v>
      </c>
      <c r="AS15" s="76">
        <v>-0.5</v>
      </c>
      <c r="AT15" s="76">
        <v>-1.5</v>
      </c>
      <c r="AU15" s="76">
        <v>2.5</v>
      </c>
      <c r="AV15" s="76">
        <v>0.5</v>
      </c>
      <c r="AW15" s="76">
        <v>-3.2919999999999998</v>
      </c>
      <c r="AX15" s="76">
        <v>5.1050000000000004</v>
      </c>
      <c r="AY15" s="76">
        <v>-3.41</v>
      </c>
      <c r="AZ15" s="76">
        <v>2.1589999999999998</v>
      </c>
      <c r="BA15" s="76">
        <v>12.763999999999999</v>
      </c>
      <c r="BB15" s="76">
        <v>8.5879999999999992</v>
      </c>
      <c r="BC15" s="76">
        <v>5.4160000000000004</v>
      </c>
      <c r="BD15" s="76">
        <v>4.4390000000000001</v>
      </c>
      <c r="BE15" s="76">
        <v>-4.6130000000000004</v>
      </c>
      <c r="BF15" s="76">
        <v>5.8879999999999999</v>
      </c>
      <c r="BG15" s="76">
        <v>-9.01</v>
      </c>
      <c r="BH15" s="76">
        <v>17.783999999999999</v>
      </c>
      <c r="BI15" s="249"/>
      <c r="BJ15" s="76">
        <v>0</v>
      </c>
      <c r="BK15" s="76">
        <v>0</v>
      </c>
      <c r="BL15" s="76">
        <v>0</v>
      </c>
      <c r="BM15" s="76">
        <v>0</v>
      </c>
      <c r="BN15" s="76">
        <v>1.671</v>
      </c>
      <c r="BO15" s="76">
        <v>6.9710000000000001</v>
      </c>
      <c r="BP15" s="76">
        <v>-1.7250000000000001</v>
      </c>
      <c r="BQ15" s="76">
        <v>-2.1589999999999998</v>
      </c>
      <c r="BR15" s="76">
        <v>12.9</v>
      </c>
      <c r="BS15" s="76">
        <v>7.5</v>
      </c>
      <c r="BT15" s="76">
        <v>-1.3</v>
      </c>
      <c r="BU15" s="76">
        <v>-8.4350000000000005</v>
      </c>
      <c r="BV15" s="76">
        <v>-1.097</v>
      </c>
      <c r="BW15" s="76">
        <v>28.927</v>
      </c>
      <c r="BX15" s="76">
        <v>-3.2959999999999998</v>
      </c>
    </row>
    <row r="16" spans="1:76" s="7" customFormat="1" x14ac:dyDescent="0.35">
      <c r="A16" s="80"/>
      <c r="B16" s="56" t="str">
        <f>IF(Control!$D$5=1,"Provision for Contigencies","Provisão Demandas Judiciais")</f>
        <v>Provision for Contigencies</v>
      </c>
      <c r="C16" s="248">
        <v>0</v>
      </c>
      <c r="D16" s="248">
        <v>0</v>
      </c>
      <c r="E16" s="76">
        <v>0</v>
      </c>
      <c r="F16" s="76">
        <v>0</v>
      </c>
      <c r="G16" s="248">
        <v>0</v>
      </c>
      <c r="H16" s="248">
        <v>0</v>
      </c>
      <c r="I16" s="76">
        <v>0</v>
      </c>
      <c r="J16" s="76">
        <v>0</v>
      </c>
      <c r="K16" s="248">
        <v>0</v>
      </c>
      <c r="L16" s="248">
        <v>0</v>
      </c>
      <c r="M16" s="76">
        <v>0</v>
      </c>
      <c r="N16" s="76">
        <v>0</v>
      </c>
      <c r="O16" s="248">
        <v>0</v>
      </c>
      <c r="P16" s="248">
        <v>0</v>
      </c>
      <c r="Q16" s="76">
        <v>0</v>
      </c>
      <c r="R16" s="76">
        <v>0</v>
      </c>
      <c r="S16" s="76">
        <v>0</v>
      </c>
      <c r="T16" s="248">
        <v>0</v>
      </c>
      <c r="U16" s="76">
        <v>0</v>
      </c>
      <c r="V16" s="76">
        <v>0</v>
      </c>
      <c r="W16" s="76">
        <v>0.71</v>
      </c>
      <c r="X16" s="248">
        <v>0</v>
      </c>
      <c r="Y16" s="76">
        <v>2.948</v>
      </c>
      <c r="Z16" s="76">
        <v>-2.948</v>
      </c>
      <c r="AA16" s="76">
        <v>3.7650000000000001</v>
      </c>
      <c r="AB16" s="248">
        <v>0</v>
      </c>
      <c r="AC16" s="76">
        <v>1.6180000000000001</v>
      </c>
      <c r="AD16" s="76">
        <v>0.64099999999999979</v>
      </c>
      <c r="AE16" s="76">
        <v>-0.72299999999999986</v>
      </c>
      <c r="AF16" s="76">
        <v>-0.60899999999999999</v>
      </c>
      <c r="AG16" s="76">
        <v>0.60899999999999999</v>
      </c>
      <c r="AH16" s="76">
        <v>3.1</v>
      </c>
      <c r="AI16" s="76">
        <v>0.60000000000000009</v>
      </c>
      <c r="AJ16" s="76">
        <v>1.361</v>
      </c>
      <c r="AK16" s="76">
        <v>-0.10600000000000009</v>
      </c>
      <c r="AL16" s="76">
        <v>1.0609999999999999</v>
      </c>
      <c r="AM16" s="76">
        <v>14.384</v>
      </c>
      <c r="AN16" s="76">
        <v>3.605</v>
      </c>
      <c r="AO16" s="76">
        <v>-0.50499999999999989</v>
      </c>
      <c r="AP16" s="76">
        <v>-0.20000000000000018</v>
      </c>
      <c r="AQ16" s="76">
        <v>1</v>
      </c>
      <c r="AR16" s="76">
        <v>0.5</v>
      </c>
      <c r="AS16" s="76">
        <v>2</v>
      </c>
      <c r="AT16" s="76">
        <v>0.5</v>
      </c>
      <c r="AU16" s="76">
        <v>-1.3</v>
      </c>
      <c r="AV16" s="76">
        <v>3.6</v>
      </c>
      <c r="AW16" s="76">
        <v>0.30399999999999983</v>
      </c>
      <c r="AX16" s="76">
        <v>1.8680000000000003</v>
      </c>
      <c r="AY16" s="76">
        <v>4.2839999999999998</v>
      </c>
      <c r="AZ16" s="76">
        <v>-0.95799999999999996</v>
      </c>
      <c r="BA16" s="76">
        <v>5.2450000000000001</v>
      </c>
      <c r="BB16" s="76">
        <v>-0.96499999999999997</v>
      </c>
      <c r="BC16" s="76">
        <v>1.504</v>
      </c>
      <c r="BD16" s="76">
        <v>6.2350000000000003</v>
      </c>
      <c r="BE16" s="76">
        <v>-8.9999999999999993E-3</v>
      </c>
      <c r="BF16" s="76">
        <v>1.4159999999999999</v>
      </c>
      <c r="BG16" s="76">
        <v>16.757000000000001</v>
      </c>
      <c r="BH16" s="76">
        <v>-9.7829999999999995</v>
      </c>
      <c r="BI16" s="249"/>
      <c r="BJ16" s="76">
        <v>0</v>
      </c>
      <c r="BK16" s="76">
        <v>0</v>
      </c>
      <c r="BL16" s="76">
        <v>0</v>
      </c>
      <c r="BM16" s="76">
        <v>0</v>
      </c>
      <c r="BN16" s="76">
        <v>0</v>
      </c>
      <c r="BO16" s="76">
        <v>0.71</v>
      </c>
      <c r="BP16" s="76">
        <v>3.7650000000000001</v>
      </c>
      <c r="BQ16" s="76">
        <v>1.536</v>
      </c>
      <c r="BR16" s="76">
        <v>3.7</v>
      </c>
      <c r="BS16" s="76">
        <v>16.7</v>
      </c>
      <c r="BT16" s="76">
        <v>3.9</v>
      </c>
      <c r="BU16" s="76">
        <v>1.1599999999999999</v>
      </c>
      <c r="BV16" s="76">
        <v>10.055999999999999</v>
      </c>
      <c r="BW16" s="76">
        <v>4.8259999999999996</v>
      </c>
      <c r="BX16" s="76">
        <v>24.399000000000001</v>
      </c>
    </row>
    <row r="17" spans="1:76" s="7" customFormat="1" x14ac:dyDescent="0.35">
      <c r="A17" s="127"/>
      <c r="B17" s="56" t="str">
        <f>IF(Control!$D$5=1,"Provision for Advances","Provisão (Reversão) outras contas")</f>
        <v>Provision for Advances</v>
      </c>
      <c r="C17" s="248">
        <v>0</v>
      </c>
      <c r="D17" s="248">
        <v>0</v>
      </c>
      <c r="E17" s="76">
        <v>0</v>
      </c>
      <c r="F17" s="76">
        <v>0</v>
      </c>
      <c r="G17" s="248">
        <v>0</v>
      </c>
      <c r="H17" s="248">
        <v>0</v>
      </c>
      <c r="I17" s="76">
        <v>0</v>
      </c>
      <c r="J17" s="76">
        <v>0</v>
      </c>
      <c r="K17" s="248">
        <v>0</v>
      </c>
      <c r="L17" s="248">
        <v>0</v>
      </c>
      <c r="M17" s="76">
        <v>0</v>
      </c>
      <c r="N17" s="76">
        <v>0</v>
      </c>
      <c r="O17" s="248">
        <v>0</v>
      </c>
      <c r="P17" s="248">
        <v>0</v>
      </c>
      <c r="Q17" s="76">
        <v>0</v>
      </c>
      <c r="R17" s="76">
        <v>0</v>
      </c>
      <c r="S17" s="76">
        <v>0</v>
      </c>
      <c r="T17" s="248">
        <v>0</v>
      </c>
      <c r="U17" s="76">
        <v>0</v>
      </c>
      <c r="V17" s="76">
        <v>0</v>
      </c>
      <c r="W17" s="76">
        <v>0</v>
      </c>
      <c r="X17" s="248">
        <v>0</v>
      </c>
      <c r="Y17" s="76">
        <v>0</v>
      </c>
      <c r="Z17" s="76">
        <v>0</v>
      </c>
      <c r="AA17" s="76">
        <v>0</v>
      </c>
      <c r="AB17" s="248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5.157</v>
      </c>
      <c r="AK17" s="76">
        <v>-0.35799999999999965</v>
      </c>
      <c r="AL17" s="76">
        <v>15.329000000000001</v>
      </c>
      <c r="AM17" s="76">
        <v>-32.527999999999999</v>
      </c>
      <c r="AN17" s="76">
        <v>12.864000000000001</v>
      </c>
      <c r="AO17" s="76">
        <v>-10.664000000000001</v>
      </c>
      <c r="AP17" s="76">
        <v>0.5</v>
      </c>
      <c r="AQ17" s="76">
        <v>-13.3</v>
      </c>
      <c r="AR17" s="76">
        <v>1.2</v>
      </c>
      <c r="AS17" s="76">
        <v>-2.8</v>
      </c>
      <c r="AT17" s="76">
        <v>2.9000000000000004</v>
      </c>
      <c r="AU17" s="76">
        <v>10.5</v>
      </c>
      <c r="AV17" s="76">
        <v>-0.8</v>
      </c>
      <c r="AW17" s="76">
        <v>-1.3869999999999998</v>
      </c>
      <c r="AX17" s="76">
        <v>1.1759999999999999</v>
      </c>
      <c r="AY17" s="76">
        <v>2.569</v>
      </c>
      <c r="AZ17" s="76">
        <v>-0.70299999999999996</v>
      </c>
      <c r="BA17" s="76">
        <v>-1.6160000000000001</v>
      </c>
      <c r="BB17" s="76">
        <v>0</v>
      </c>
      <c r="BC17" s="76">
        <v>-3.6560000000000001</v>
      </c>
      <c r="BD17" s="76">
        <v>0.5</v>
      </c>
      <c r="BE17" s="76">
        <v>-0.23100000000000001</v>
      </c>
      <c r="BF17" s="76">
        <v>0.193</v>
      </c>
      <c r="BG17" s="76">
        <v>9.3759999999999994</v>
      </c>
      <c r="BH17" s="76">
        <v>0.90200000000000002</v>
      </c>
      <c r="BI17" s="249"/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-12.4</v>
      </c>
      <c r="BT17" s="76">
        <v>-10.6</v>
      </c>
      <c r="BU17" s="76">
        <v>13.484</v>
      </c>
      <c r="BV17" s="76">
        <v>1.5580000000000001</v>
      </c>
      <c r="BW17" s="76">
        <v>-5.9809999999999999</v>
      </c>
      <c r="BX17" s="76">
        <v>9.8379999999999992</v>
      </c>
    </row>
    <row r="18" spans="1:76" s="7" customFormat="1" x14ac:dyDescent="0.35">
      <c r="A18" s="127"/>
      <c r="B18" s="56" t="str">
        <f>IF(Control!$D$5=1,"Provision for Loss on Assets Retirement","Provisão para Perda de Imobilizado")</f>
        <v>Provision for Loss on Assets Retirement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44.1</v>
      </c>
      <c r="AU18" s="76">
        <v>-39.299999999999997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0.67</v>
      </c>
      <c r="BE18" s="76">
        <v>2E-3</v>
      </c>
      <c r="BF18" s="76">
        <v>0</v>
      </c>
      <c r="BG18" s="76">
        <v>-0.156</v>
      </c>
      <c r="BH18" s="76">
        <v>-5.2999999999999999E-2</v>
      </c>
      <c r="BI18" s="249"/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4.7</v>
      </c>
      <c r="BV18" s="76">
        <v>0</v>
      </c>
      <c r="BW18" s="76">
        <v>0</v>
      </c>
      <c r="BX18" s="76">
        <v>0.51600000000000001</v>
      </c>
    </row>
    <row r="19" spans="1:76" s="7" customFormat="1" x14ac:dyDescent="0.35">
      <c r="A19" s="80"/>
      <c r="B19" s="56" t="str">
        <f>IF(Control!$D$5=1,"Depreciation","Depreciação")</f>
        <v>Depreciation</v>
      </c>
      <c r="C19" s="248">
        <v>0</v>
      </c>
      <c r="D19" s="248">
        <v>3.153</v>
      </c>
      <c r="E19" s="76">
        <v>2.605</v>
      </c>
      <c r="F19" s="76">
        <v>4.1420000000000003</v>
      </c>
      <c r="G19" s="248">
        <v>7.2279999999999998</v>
      </c>
      <c r="H19" s="248">
        <v>3.585</v>
      </c>
      <c r="I19" s="76">
        <v>3.8879999999999999</v>
      </c>
      <c r="J19" s="76">
        <v>4.3270000000000008</v>
      </c>
      <c r="K19" s="248">
        <v>7.1099999999999994</v>
      </c>
      <c r="L19" s="248">
        <v>4.2450000000000001</v>
      </c>
      <c r="M19" s="76">
        <v>6.7060000000000004</v>
      </c>
      <c r="N19" s="76">
        <v>4.6389999999999993</v>
      </c>
      <c r="O19" s="248">
        <v>8.9959999999999987</v>
      </c>
      <c r="P19" s="248">
        <v>7.8979999999999997</v>
      </c>
      <c r="Q19" s="76">
        <v>9.847999999999999</v>
      </c>
      <c r="R19" s="76">
        <v>13.16</v>
      </c>
      <c r="S19" s="76">
        <v>11.483000000000004</v>
      </c>
      <c r="T19" s="248">
        <v>11.375</v>
      </c>
      <c r="U19" s="76">
        <v>11.795000000000002</v>
      </c>
      <c r="V19" s="76">
        <v>15.21</v>
      </c>
      <c r="W19" s="76">
        <v>17.579999999999998</v>
      </c>
      <c r="X19" s="248">
        <v>16.283000000000001</v>
      </c>
      <c r="Y19" s="76">
        <v>14.347999999999999</v>
      </c>
      <c r="Z19" s="76">
        <v>15.417000000000002</v>
      </c>
      <c r="AA19" s="76">
        <v>17.015999999999998</v>
      </c>
      <c r="AB19" s="248">
        <v>15.5</v>
      </c>
      <c r="AC19" s="76">
        <v>16.198</v>
      </c>
      <c r="AD19" s="76">
        <v>16.902999999999999</v>
      </c>
      <c r="AE19" s="76">
        <v>18.813000000000002</v>
      </c>
      <c r="AF19" s="76">
        <v>18.617000000000001</v>
      </c>
      <c r="AG19" s="76">
        <v>18.282999999999998</v>
      </c>
      <c r="AH19" s="76">
        <v>19.899999999999999</v>
      </c>
      <c r="AI19" s="76">
        <v>20.299999999999997</v>
      </c>
      <c r="AJ19" s="76">
        <v>20.853000000000002</v>
      </c>
      <c r="AK19" s="76">
        <v>19.024999999999999</v>
      </c>
      <c r="AL19" s="76">
        <v>19.11</v>
      </c>
      <c r="AM19" s="76">
        <v>19.212000000000003</v>
      </c>
      <c r="AN19" s="76">
        <v>19.620999999999999</v>
      </c>
      <c r="AO19" s="76">
        <v>20.779</v>
      </c>
      <c r="AP19" s="76">
        <v>21.700000000000003</v>
      </c>
      <c r="AQ19" s="76">
        <v>20.9</v>
      </c>
      <c r="AR19" s="76">
        <v>22.8</v>
      </c>
      <c r="AS19" s="76">
        <v>23.7</v>
      </c>
      <c r="AT19" s="76">
        <v>22.700000000000003</v>
      </c>
      <c r="AU19" s="76">
        <v>26.4</v>
      </c>
      <c r="AV19" s="76">
        <v>25</v>
      </c>
      <c r="AW19" s="76">
        <v>24.737000000000002</v>
      </c>
      <c r="AX19" s="76">
        <v>26.719999999999992</v>
      </c>
      <c r="AY19" s="76">
        <v>29.004999999999999</v>
      </c>
      <c r="AZ19" s="76">
        <v>30.3</v>
      </c>
      <c r="BA19" s="76">
        <v>29.396999999999998</v>
      </c>
      <c r="BB19" s="76">
        <v>30.024999999999999</v>
      </c>
      <c r="BC19" s="76">
        <v>29.388999999999999</v>
      </c>
      <c r="BD19" s="76">
        <v>30.236000000000001</v>
      </c>
      <c r="BE19" s="76">
        <v>28.538</v>
      </c>
      <c r="BF19" s="76">
        <v>30.698</v>
      </c>
      <c r="BG19" s="76">
        <v>36.341000000000001</v>
      </c>
      <c r="BH19" s="76">
        <v>40.411999999999999</v>
      </c>
      <c r="BI19" s="249"/>
      <c r="BJ19" s="76">
        <v>9.2159999999999993</v>
      </c>
      <c r="BK19" s="76">
        <v>17.128</v>
      </c>
      <c r="BL19" s="76">
        <v>18.91</v>
      </c>
      <c r="BM19" s="76">
        <v>24.585999999999999</v>
      </c>
      <c r="BN19" s="76">
        <v>42.389000000000003</v>
      </c>
      <c r="BO19" s="76">
        <v>55.96</v>
      </c>
      <c r="BP19" s="76">
        <v>63.064</v>
      </c>
      <c r="BQ19" s="76">
        <v>67.414000000000001</v>
      </c>
      <c r="BR19" s="76">
        <v>77.099999999999994</v>
      </c>
      <c r="BS19" s="76">
        <v>78.2</v>
      </c>
      <c r="BT19" s="76">
        <v>83</v>
      </c>
      <c r="BU19" s="76">
        <v>95.6</v>
      </c>
      <c r="BV19" s="76">
        <v>105.462</v>
      </c>
      <c r="BW19" s="76">
        <v>119.111</v>
      </c>
      <c r="BX19" s="76">
        <v>125.813</v>
      </c>
    </row>
    <row r="20" spans="1:76" s="7" customFormat="1" x14ac:dyDescent="0.35">
      <c r="A20" s="125"/>
      <c r="B20" s="56" t="str">
        <f>IF(Control!$D$5=1,"Amortization","Amortização")</f>
        <v>Amortization</v>
      </c>
      <c r="C20" s="248">
        <v>0</v>
      </c>
      <c r="D20" s="248">
        <v>1.2809999999999999</v>
      </c>
      <c r="E20" s="76">
        <v>1.2329999999999999</v>
      </c>
      <c r="F20" s="76">
        <v>1.286</v>
      </c>
      <c r="G20" s="248">
        <v>-3.7319999999999998</v>
      </c>
      <c r="H20" s="248">
        <v>0</v>
      </c>
      <c r="I20" s="76">
        <v>0</v>
      </c>
      <c r="J20" s="76">
        <v>0</v>
      </c>
      <c r="K20" s="248">
        <v>0.247</v>
      </c>
      <c r="L20" s="248">
        <v>7.1999999999999995E-2</v>
      </c>
      <c r="M20" s="76">
        <v>0.17299999999999999</v>
      </c>
      <c r="N20" s="76">
        <v>-0.14899999999999999</v>
      </c>
      <c r="O20" s="248">
        <v>0.85399999999999998</v>
      </c>
      <c r="P20" s="248">
        <v>0.28199999999999997</v>
      </c>
      <c r="Q20" s="76">
        <v>0.11700000000000005</v>
      </c>
      <c r="R20" s="76">
        <v>0.11599999999999999</v>
      </c>
      <c r="S20" s="76">
        <v>0.19099999999999995</v>
      </c>
      <c r="T20" s="248">
        <v>0.129</v>
      </c>
      <c r="U20" s="76">
        <v>9.9000000000000005E-2</v>
      </c>
      <c r="V20" s="76">
        <v>6.9999999999999979E-2</v>
      </c>
      <c r="W20" s="76">
        <v>1.9769999999999999</v>
      </c>
      <c r="X20" s="248">
        <v>0.77100000000000002</v>
      </c>
      <c r="Y20" s="76">
        <v>8.1859999999999999</v>
      </c>
      <c r="Z20" s="76">
        <v>1.8039999999999985</v>
      </c>
      <c r="AA20" s="76">
        <v>2.6050000000000004</v>
      </c>
      <c r="AB20" s="248">
        <v>2.9</v>
      </c>
      <c r="AC20" s="76">
        <v>2.012</v>
      </c>
      <c r="AD20" s="76">
        <v>2.4560000000000004</v>
      </c>
      <c r="AE20" s="76">
        <v>1.4809999999999999</v>
      </c>
      <c r="AF20" s="76">
        <v>2.1320000000000001</v>
      </c>
      <c r="AG20" s="76">
        <v>2.1679999999999997</v>
      </c>
      <c r="AH20" s="76">
        <v>2.1000000000000005</v>
      </c>
      <c r="AI20" s="76">
        <v>2.1999999999999993</v>
      </c>
      <c r="AJ20" s="76">
        <v>2.2330000000000001</v>
      </c>
      <c r="AK20" s="76">
        <v>2.3080000000000003</v>
      </c>
      <c r="AL20" s="76">
        <v>2.1589999999999998</v>
      </c>
      <c r="AM20" s="76">
        <v>1.7000000000000002</v>
      </c>
      <c r="AN20" s="76">
        <v>1.6719999999999999</v>
      </c>
      <c r="AO20" s="76">
        <v>1.728</v>
      </c>
      <c r="AP20" s="76">
        <v>1.6</v>
      </c>
      <c r="AQ20" s="76">
        <v>2.2000000000000002</v>
      </c>
      <c r="AR20" s="76">
        <v>1.8</v>
      </c>
      <c r="AS20" s="76">
        <v>1.9999999999999998</v>
      </c>
      <c r="AT20" s="76">
        <v>1.1000000000000005</v>
      </c>
      <c r="AU20" s="76">
        <v>0.9</v>
      </c>
      <c r="AV20" s="76">
        <v>8.6999999999999993</v>
      </c>
      <c r="AW20" s="76">
        <v>9.0239999999999991</v>
      </c>
      <c r="AX20" s="76">
        <v>9.3000000000000007</v>
      </c>
      <c r="AY20" s="76">
        <v>11.846</v>
      </c>
      <c r="AZ20" s="76">
        <v>10.709</v>
      </c>
      <c r="BA20" s="70">
        <v>11.8</v>
      </c>
      <c r="BB20" s="70">
        <v>11.1</v>
      </c>
      <c r="BC20" s="70">
        <f>2.6+9.6</f>
        <v>12.2</v>
      </c>
      <c r="BD20" s="70">
        <f>3+7.9</f>
        <v>10.9</v>
      </c>
      <c r="BE20" s="70">
        <v>12.1</v>
      </c>
      <c r="BF20" s="70">
        <v>11.162000000000001</v>
      </c>
      <c r="BG20" s="76">
        <v>12.940999999999999</v>
      </c>
      <c r="BH20" s="76">
        <v>14.2</v>
      </c>
      <c r="BI20" s="302"/>
      <c r="BJ20" s="76">
        <v>3.3969999999999998</v>
      </c>
      <c r="BK20" s="76">
        <v>6.8000000000000005E-2</v>
      </c>
      <c r="BL20" s="76">
        <v>0.247</v>
      </c>
      <c r="BM20" s="76">
        <v>0.95</v>
      </c>
      <c r="BN20" s="76">
        <v>0.70599999999999996</v>
      </c>
      <c r="BO20" s="76">
        <v>2.2749999999999999</v>
      </c>
      <c r="BP20" s="76">
        <v>13.366</v>
      </c>
      <c r="BQ20" s="76">
        <v>8.8490000000000002</v>
      </c>
      <c r="BR20" s="76">
        <v>8.6</v>
      </c>
      <c r="BS20" s="76">
        <v>8.4</v>
      </c>
      <c r="BT20" s="76">
        <v>7.2</v>
      </c>
      <c r="BU20" s="76">
        <v>5.8</v>
      </c>
      <c r="BV20" s="76">
        <v>38.216999999999999</v>
      </c>
      <c r="BW20" s="76">
        <v>45.7</v>
      </c>
      <c r="BX20" s="76">
        <v>47.045000000000002</v>
      </c>
    </row>
    <row r="21" spans="1:76" s="7" customFormat="1" x14ac:dyDescent="0.35">
      <c r="A21" s="125"/>
      <c r="B21" s="56" t="str">
        <f>IF(Control!$D$5=1,"Write-off Intagible Assets","Baixa Intangível")</f>
        <v>Write-off Intagible Assets</v>
      </c>
      <c r="C21" s="248">
        <v>0</v>
      </c>
      <c r="D21" s="248">
        <v>0</v>
      </c>
      <c r="E21" s="76">
        <v>0</v>
      </c>
      <c r="F21" s="76">
        <v>0</v>
      </c>
      <c r="G21" s="248">
        <v>0.09</v>
      </c>
      <c r="H21" s="248">
        <v>0</v>
      </c>
      <c r="I21" s="76">
        <v>0</v>
      </c>
      <c r="J21" s="76">
        <v>0</v>
      </c>
      <c r="K21" s="248">
        <v>0</v>
      </c>
      <c r="L21" s="248">
        <v>1E-3</v>
      </c>
      <c r="M21" s="76">
        <v>-1E-3</v>
      </c>
      <c r="N21" s="76">
        <v>2E-3</v>
      </c>
      <c r="O21" s="248">
        <v>-2E-3</v>
      </c>
      <c r="P21" s="248">
        <v>0</v>
      </c>
      <c r="Q21" s="76">
        <v>17.651</v>
      </c>
      <c r="R21" s="76">
        <v>-17.651</v>
      </c>
      <c r="S21" s="76">
        <v>0</v>
      </c>
      <c r="T21" s="248">
        <v>0</v>
      </c>
      <c r="U21" s="76">
        <v>0</v>
      </c>
      <c r="V21" s="76">
        <v>0</v>
      </c>
      <c r="W21" s="76">
        <v>0</v>
      </c>
      <c r="X21" s="248">
        <v>0</v>
      </c>
      <c r="Y21" s="76">
        <v>0</v>
      </c>
      <c r="Z21" s="76">
        <v>0</v>
      </c>
      <c r="AA21" s="76">
        <v>0</v>
      </c>
      <c r="AB21" s="248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3.1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0.4</v>
      </c>
      <c r="AR21" s="76">
        <v>2.1</v>
      </c>
      <c r="AS21" s="76">
        <v>0</v>
      </c>
      <c r="AT21" s="76">
        <v>0</v>
      </c>
      <c r="AU21" s="76">
        <v>0.7</v>
      </c>
      <c r="AV21" s="76">
        <v>18.100000000000001</v>
      </c>
      <c r="AW21" s="76">
        <v>-17.162000000000003</v>
      </c>
      <c r="AX21" s="76">
        <v>-2.2999999999999909E-2</v>
      </c>
      <c r="AY21" s="76">
        <v>-0.59099999999999997</v>
      </c>
      <c r="AZ21" s="76">
        <v>0</v>
      </c>
      <c r="BA21" s="76">
        <v>-0.16</v>
      </c>
      <c r="BB21" s="76">
        <f>-0.076</f>
        <v>-7.5999999999999998E-2</v>
      </c>
      <c r="BC21" s="76">
        <v>-4.0000000000000001E-3</v>
      </c>
      <c r="BD21" s="76">
        <v>-4.0000000000000001E-3</v>
      </c>
      <c r="BE21" s="76">
        <v>0</v>
      </c>
      <c r="BF21" s="76">
        <v>2E-3</v>
      </c>
      <c r="BG21" s="76">
        <v>0</v>
      </c>
      <c r="BH21" s="76"/>
      <c r="BI21" s="249"/>
      <c r="BJ21" s="76">
        <v>0</v>
      </c>
      <c r="BK21" s="76">
        <v>0.09</v>
      </c>
      <c r="BL21" s="76">
        <v>0</v>
      </c>
      <c r="BM21" s="76">
        <v>0</v>
      </c>
      <c r="BN21" s="76">
        <v>0</v>
      </c>
      <c r="BO21" s="76">
        <v>0</v>
      </c>
      <c r="BP21" s="76">
        <v>0</v>
      </c>
      <c r="BQ21" s="76">
        <v>0</v>
      </c>
      <c r="BR21" s="76">
        <v>3.1</v>
      </c>
      <c r="BS21" s="76">
        <v>0</v>
      </c>
      <c r="BT21" s="76">
        <v>0.4</v>
      </c>
      <c r="BU21" s="76">
        <v>0.7</v>
      </c>
      <c r="BV21" s="76">
        <v>0.32400000000000001</v>
      </c>
      <c r="BW21" s="76">
        <v>-0.251</v>
      </c>
      <c r="BX21" s="76">
        <v>-1.7430000000000001</v>
      </c>
    </row>
    <row r="22" spans="1:76" s="7" customFormat="1" x14ac:dyDescent="0.35">
      <c r="A22" s="127"/>
      <c r="B22" s="56" t="str">
        <f>IF(Control!$D$5=1,"Write-off Plant, Property &amp; Equipment","Baixa bens do Imobilizado")</f>
        <v>Write-off Plant, Property &amp; Equipment</v>
      </c>
      <c r="C22" s="280">
        <v>0</v>
      </c>
      <c r="D22" s="280">
        <v>0</v>
      </c>
      <c r="E22" s="76">
        <v>5.2999999999999999E-2</v>
      </c>
      <c r="F22" s="76">
        <v>1.647</v>
      </c>
      <c r="G22" s="248">
        <v>-1.613</v>
      </c>
      <c r="H22" s="280">
        <v>2.1999999999999999E-2</v>
      </c>
      <c r="I22" s="76">
        <v>-0.52600000000000002</v>
      </c>
      <c r="J22" s="76">
        <v>0.504</v>
      </c>
      <c r="K22" s="248">
        <v>0</v>
      </c>
      <c r="L22" s="280">
        <v>0.68899999999999995</v>
      </c>
      <c r="M22" s="76">
        <v>-0.30299999999999994</v>
      </c>
      <c r="N22" s="76">
        <v>0.24</v>
      </c>
      <c r="O22" s="248">
        <v>0.53700000000000003</v>
      </c>
      <c r="P22" s="280">
        <v>0.30599999999999999</v>
      </c>
      <c r="Q22" s="76">
        <v>0.65500000000000003</v>
      </c>
      <c r="R22" s="76">
        <v>1.2690000000000001</v>
      </c>
      <c r="S22" s="76">
        <v>1.3479999999999999</v>
      </c>
      <c r="T22" s="280">
        <v>7.0000000000000007E-2</v>
      </c>
      <c r="U22" s="76">
        <v>0.51899999999999991</v>
      </c>
      <c r="V22" s="76">
        <v>2.347</v>
      </c>
      <c r="W22" s="76">
        <v>-0.37699999999999978</v>
      </c>
      <c r="X22" s="280">
        <v>9.9000000000000005E-2</v>
      </c>
      <c r="Y22" s="76">
        <v>3.9849999999999994</v>
      </c>
      <c r="Z22" s="76">
        <v>-1.8629999999999995</v>
      </c>
      <c r="AA22" s="76">
        <v>-0.63600000000000012</v>
      </c>
      <c r="AB22" s="248">
        <v>0.6</v>
      </c>
      <c r="AC22" s="76">
        <v>-0.6</v>
      </c>
      <c r="AD22" s="76">
        <v>-1.2130000000000001</v>
      </c>
      <c r="AE22" s="76">
        <v>-1.2869999999999999</v>
      </c>
      <c r="AF22" s="76">
        <v>1.242</v>
      </c>
      <c r="AG22" s="76">
        <v>1.258</v>
      </c>
      <c r="AH22" s="76">
        <v>9.6</v>
      </c>
      <c r="AI22" s="76">
        <v>1.5</v>
      </c>
      <c r="AJ22" s="76">
        <v>0</v>
      </c>
      <c r="AK22" s="76">
        <v>0.71899999999999997</v>
      </c>
      <c r="AL22" s="76">
        <v>1.879</v>
      </c>
      <c r="AM22" s="76">
        <v>0.60200000000000031</v>
      </c>
      <c r="AN22" s="76">
        <v>0.32100000000000001</v>
      </c>
      <c r="AO22" s="76">
        <v>3.9789999999999996</v>
      </c>
      <c r="AP22" s="76">
        <v>1.2999999999999998</v>
      </c>
      <c r="AQ22" s="76">
        <v>5.0999999999999996</v>
      </c>
      <c r="AR22" s="76">
        <v>0</v>
      </c>
      <c r="AS22" s="76">
        <v>2.6</v>
      </c>
      <c r="AT22" s="76">
        <v>0.20000000000000018</v>
      </c>
      <c r="AU22" s="76">
        <v>76.3</v>
      </c>
      <c r="AV22" s="76">
        <v>3.4</v>
      </c>
      <c r="AW22" s="76">
        <v>0.66500000000000048</v>
      </c>
      <c r="AX22" s="76">
        <v>0.30799999999999983</v>
      </c>
      <c r="AY22" s="76">
        <v>-2.129</v>
      </c>
      <c r="AZ22" s="76">
        <v>7.8289999999999997</v>
      </c>
      <c r="BA22" s="76">
        <v>-7.1440000000000001</v>
      </c>
      <c r="BB22" s="76">
        <v>0.59399999999999997</v>
      </c>
      <c r="BC22" s="76">
        <v>0.68</v>
      </c>
      <c r="BD22" s="76">
        <v>14.502000000000001</v>
      </c>
      <c r="BE22" s="76">
        <v>11.958</v>
      </c>
      <c r="BF22" s="76">
        <v>2.302</v>
      </c>
      <c r="BG22" s="76">
        <v>3.0990000000000002</v>
      </c>
      <c r="BH22" s="76">
        <v>0.45600000000000002</v>
      </c>
      <c r="BI22" s="249"/>
      <c r="BJ22" s="76">
        <v>6.9450000000000003</v>
      </c>
      <c r="BK22" s="76">
        <v>8.6999999999999994E-2</v>
      </c>
      <c r="BL22" s="76">
        <v>0</v>
      </c>
      <c r="BM22" s="76">
        <v>1.163</v>
      </c>
      <c r="BN22" s="76">
        <v>3.5779999999999998</v>
      </c>
      <c r="BO22" s="76">
        <v>2.5590000000000002</v>
      </c>
      <c r="BP22" s="76">
        <v>1.585</v>
      </c>
      <c r="BQ22" s="76">
        <v>-2.5</v>
      </c>
      <c r="BR22" s="76">
        <v>13.6</v>
      </c>
      <c r="BS22" s="76">
        <v>3.2</v>
      </c>
      <c r="BT22" s="76">
        <v>10.7</v>
      </c>
      <c r="BU22" s="76">
        <v>81.2</v>
      </c>
      <c r="BV22" s="76">
        <v>2.2440000000000002</v>
      </c>
      <c r="BW22" s="76">
        <v>1.9590000000000001</v>
      </c>
      <c r="BX22" s="76">
        <v>31.861000000000001</v>
      </c>
    </row>
    <row r="23" spans="1:76" s="7" customFormat="1" x14ac:dyDescent="0.35">
      <c r="A23" s="127"/>
      <c r="B23" s="56" t="s">
        <v>21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-1.7569999999999999</v>
      </c>
      <c r="BG23" s="76">
        <v>0.05</v>
      </c>
      <c r="BH23" s="76">
        <v>0</v>
      </c>
      <c r="BI23" s="249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</row>
    <row r="24" spans="1:76" s="7" customFormat="1" x14ac:dyDescent="0.35">
      <c r="A24" s="125"/>
      <c r="B24" s="56" t="str">
        <f>IF(Control!$D$5=1,"Ações Outorgadas","Ações Outorgadas")</f>
        <v>Ações Outorgadas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0.7</v>
      </c>
      <c r="AR24" s="76">
        <v>1</v>
      </c>
      <c r="AS24" s="76">
        <v>0.8</v>
      </c>
      <c r="AT24" s="76">
        <v>0.90000000000000013</v>
      </c>
      <c r="AU24" s="76">
        <v>0.8</v>
      </c>
      <c r="AV24" s="76">
        <v>0.2</v>
      </c>
      <c r="AW24" s="76">
        <v>1.1060000000000001</v>
      </c>
      <c r="AX24" s="76">
        <v>1.0909999999999997</v>
      </c>
      <c r="AY24" s="76">
        <v>0.79800000000000004</v>
      </c>
      <c r="AZ24" s="76">
        <v>1.74</v>
      </c>
      <c r="BA24" s="76">
        <v>1.7</v>
      </c>
      <c r="BB24" s="76">
        <v>1.6659999999999999</v>
      </c>
      <c r="BC24" s="76">
        <v>1.5</v>
      </c>
      <c r="BD24" s="76">
        <v>0.55200000000000005</v>
      </c>
      <c r="BE24" s="76">
        <v>2.101</v>
      </c>
      <c r="BF24" s="76">
        <v>2.3079999999999998</v>
      </c>
      <c r="BG24" s="76">
        <v>0.751</v>
      </c>
      <c r="BH24" s="76">
        <v>2.073</v>
      </c>
      <c r="BI24" s="249"/>
      <c r="BJ24" s="76">
        <v>0</v>
      </c>
      <c r="BK24" s="76">
        <v>0</v>
      </c>
      <c r="BL24" s="76">
        <v>0</v>
      </c>
      <c r="BM24" s="76">
        <v>0</v>
      </c>
      <c r="BN24" s="76">
        <v>0</v>
      </c>
      <c r="BO24" s="76">
        <v>0</v>
      </c>
      <c r="BP24" s="76">
        <v>0</v>
      </c>
      <c r="BQ24" s="76">
        <v>0</v>
      </c>
      <c r="BR24" s="76">
        <v>0</v>
      </c>
      <c r="BS24" s="76">
        <v>0</v>
      </c>
      <c r="BT24" s="76">
        <v>0.7</v>
      </c>
      <c r="BU24" s="76">
        <v>3.5</v>
      </c>
      <c r="BV24" s="76">
        <v>3.1949999999999998</v>
      </c>
      <c r="BW24" s="76">
        <v>6.6459999999999999</v>
      </c>
      <c r="BX24" s="76">
        <v>5.7119999999999997</v>
      </c>
    </row>
    <row r="25" spans="1:76" s="7" customFormat="1" x14ac:dyDescent="0.35">
      <c r="A25" s="80"/>
      <c r="B25" s="56" t="str">
        <f>IF(Control!$D$5=1,"Exchange gains on Cash and Equivalents","Variação Cambial Caixa e Equivalentes")</f>
        <v>Exchange gains on Cash and Equivalents</v>
      </c>
      <c r="C25" s="248">
        <v>0</v>
      </c>
      <c r="D25" s="248">
        <v>0</v>
      </c>
      <c r="E25" s="76">
        <v>0</v>
      </c>
      <c r="F25" s="76">
        <v>0</v>
      </c>
      <c r="G25" s="248">
        <v>0</v>
      </c>
      <c r="H25" s="248">
        <v>0</v>
      </c>
      <c r="I25" s="76">
        <v>0</v>
      </c>
      <c r="J25" s="76">
        <v>0</v>
      </c>
      <c r="K25" s="248">
        <v>0</v>
      </c>
      <c r="L25" s="248">
        <v>0</v>
      </c>
      <c r="M25" s="76">
        <v>0</v>
      </c>
      <c r="N25" s="76">
        <v>0</v>
      </c>
      <c r="O25" s="248">
        <v>0</v>
      </c>
      <c r="P25" s="248">
        <v>0</v>
      </c>
      <c r="Q25" s="76">
        <v>0</v>
      </c>
      <c r="R25" s="76">
        <v>0</v>
      </c>
      <c r="S25" s="76">
        <v>0</v>
      </c>
      <c r="T25" s="248">
        <v>0</v>
      </c>
      <c r="U25" s="76">
        <v>0</v>
      </c>
      <c r="V25" s="76">
        <v>0</v>
      </c>
      <c r="W25" s="76">
        <v>0</v>
      </c>
      <c r="X25" s="248">
        <v>0</v>
      </c>
      <c r="Y25" s="76">
        <v>0</v>
      </c>
      <c r="Z25" s="76">
        <v>0</v>
      </c>
      <c r="AA25" s="76">
        <v>0</v>
      </c>
      <c r="AB25" s="248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6">
        <v>0</v>
      </c>
      <c r="BG25" s="76">
        <v>0</v>
      </c>
      <c r="BH25" s="76">
        <v>0</v>
      </c>
      <c r="BI25" s="249"/>
      <c r="BJ25" s="76">
        <v>0</v>
      </c>
      <c r="BK25" s="76">
        <v>0</v>
      </c>
      <c r="BL25" s="76">
        <v>0</v>
      </c>
      <c r="BM25" s="76">
        <v>0</v>
      </c>
      <c r="BN25" s="76">
        <v>0</v>
      </c>
      <c r="BO25" s="76">
        <v>0</v>
      </c>
      <c r="BP25" s="76">
        <v>0</v>
      </c>
      <c r="BQ25" s="76">
        <v>0</v>
      </c>
      <c r="BR25" s="76">
        <v>0</v>
      </c>
      <c r="BS25" s="76">
        <v>0</v>
      </c>
      <c r="BT25" s="76">
        <v>0</v>
      </c>
      <c r="BU25" s="76">
        <v>0</v>
      </c>
      <c r="BV25" s="76">
        <v>0</v>
      </c>
      <c r="BW25" s="76">
        <v>0</v>
      </c>
      <c r="BX25" s="76"/>
    </row>
    <row r="26" spans="1:76" s="7" customFormat="1" x14ac:dyDescent="0.35">
      <c r="A26" s="80"/>
      <c r="B26" s="56" t="str">
        <f>IF(Control!$D$5=1,"Advantage in Aquisitions","Compra Vantajosa")</f>
        <v>Advantage in Aquisitions</v>
      </c>
      <c r="C26" s="248"/>
      <c r="D26" s="248"/>
      <c r="E26" s="76"/>
      <c r="F26" s="76"/>
      <c r="G26" s="248"/>
      <c r="H26" s="248"/>
      <c r="I26" s="76"/>
      <c r="J26" s="76"/>
      <c r="K26" s="248"/>
      <c r="L26" s="248"/>
      <c r="M26" s="76"/>
      <c r="N26" s="76"/>
      <c r="O26" s="248"/>
      <c r="P26" s="248"/>
      <c r="Q26" s="76"/>
      <c r="R26" s="76"/>
      <c r="S26" s="76"/>
      <c r="T26" s="248"/>
      <c r="U26" s="76"/>
      <c r="V26" s="76"/>
      <c r="W26" s="76"/>
      <c r="X26" s="248"/>
      <c r="Y26" s="76"/>
      <c r="Z26" s="76"/>
      <c r="AA26" s="76"/>
      <c r="AB26" s="248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>
        <v>-46.329000000000001</v>
      </c>
      <c r="BH26" s="76">
        <v>0</v>
      </c>
      <c r="BI26" s="249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>
        <v>-45.411000000000001</v>
      </c>
    </row>
    <row r="27" spans="1:76" s="7" customFormat="1" x14ac:dyDescent="0.35">
      <c r="A27" s="125"/>
      <c r="B27" s="56" t="str">
        <f>IF(Control!$D$5=1,"Deferred Taxes","Impostos Diferidos")</f>
        <v>Deferred Taxes</v>
      </c>
      <c r="C27" s="248">
        <v>0</v>
      </c>
      <c r="D27" s="248">
        <v>0</v>
      </c>
      <c r="E27" s="76">
        <v>0</v>
      </c>
      <c r="F27" s="76">
        <v>0</v>
      </c>
      <c r="G27" s="248">
        <v>0</v>
      </c>
      <c r="H27" s="248">
        <v>0</v>
      </c>
      <c r="I27" s="76">
        <v>0</v>
      </c>
      <c r="J27" s="76">
        <v>0.29999999999999982</v>
      </c>
      <c r="K27" s="248">
        <v>-0.29999999999999982</v>
      </c>
      <c r="L27" s="248">
        <v>-0.58499999999999996</v>
      </c>
      <c r="M27" s="76">
        <v>0.58499999999999996</v>
      </c>
      <c r="N27" s="76">
        <v>0</v>
      </c>
      <c r="O27" s="248">
        <v>0</v>
      </c>
      <c r="P27" s="248">
        <v>27.904</v>
      </c>
      <c r="Q27" s="76">
        <v>-27.904</v>
      </c>
      <c r="R27" s="76">
        <v>19.706</v>
      </c>
      <c r="S27" s="76">
        <v>-16.802</v>
      </c>
      <c r="T27" s="248">
        <v>0</v>
      </c>
      <c r="U27" s="76">
        <v>0</v>
      </c>
      <c r="V27" s="76">
        <v>0</v>
      </c>
      <c r="W27" s="76">
        <v>0</v>
      </c>
      <c r="X27" s="248">
        <v>0</v>
      </c>
      <c r="Y27" s="76">
        <v>0</v>
      </c>
      <c r="Z27" s="76">
        <v>0</v>
      </c>
      <c r="AA27" s="76">
        <v>0</v>
      </c>
      <c r="AB27" s="248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0</v>
      </c>
      <c r="BH27" s="317">
        <v>0</v>
      </c>
      <c r="BI27" s="316"/>
      <c r="BJ27" s="76">
        <v>0</v>
      </c>
      <c r="BK27" s="76">
        <v>0</v>
      </c>
      <c r="BL27" s="76">
        <v>0</v>
      </c>
      <c r="BM27" s="76">
        <v>0</v>
      </c>
      <c r="BN27" s="76">
        <v>2.9039999999999999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76">
        <v>0</v>
      </c>
      <c r="BU27" s="76">
        <v>0</v>
      </c>
      <c r="BV27" s="76">
        <v>0</v>
      </c>
      <c r="BW27" s="76">
        <v>0</v>
      </c>
      <c r="BX27" s="76"/>
    </row>
    <row r="28" spans="1:76" s="80" customFormat="1" x14ac:dyDescent="0.35">
      <c r="B28" s="281" t="str">
        <f>IF(Control!$D$5=1,"Funds From Operations","Recursos de Operações")</f>
        <v>Funds From Operations</v>
      </c>
      <c r="C28" s="282">
        <f t="shared" ref="C28:BT28" si="0">SUM(C9:C27)</f>
        <v>0</v>
      </c>
      <c r="D28" s="282">
        <f t="shared" si="0"/>
        <v>46.031999999999996</v>
      </c>
      <c r="E28" s="282">
        <f t="shared" si="0"/>
        <v>52.594000000000001</v>
      </c>
      <c r="F28" s="282">
        <f t="shared" si="0"/>
        <v>3.774</v>
      </c>
      <c r="G28" s="282">
        <f t="shared" si="0"/>
        <v>59.144999999999996</v>
      </c>
      <c r="H28" s="282">
        <f t="shared" si="0"/>
        <v>40.195999999999998</v>
      </c>
      <c r="I28" s="282">
        <f t="shared" si="0"/>
        <v>27.913</v>
      </c>
      <c r="J28" s="282">
        <f t="shared" si="0"/>
        <v>44.490999999999993</v>
      </c>
      <c r="K28" s="282">
        <f t="shared" si="0"/>
        <v>34.668999999999997</v>
      </c>
      <c r="L28" s="282">
        <f t="shared" si="0"/>
        <v>54.845999999999997</v>
      </c>
      <c r="M28" s="282">
        <f t="shared" si="0"/>
        <v>6.1880000000000024</v>
      </c>
      <c r="N28" s="282">
        <f t="shared" si="0"/>
        <v>70.878999999999991</v>
      </c>
      <c r="O28" s="282">
        <f t="shared" si="0"/>
        <v>37.846000000000004</v>
      </c>
      <c r="P28" s="282">
        <f t="shared" si="0"/>
        <v>91.203999999999994</v>
      </c>
      <c r="Q28" s="282">
        <f t="shared" si="0"/>
        <v>37.396000000000001</v>
      </c>
      <c r="R28" s="282">
        <f t="shared" si="0"/>
        <v>67.298999999999992</v>
      </c>
      <c r="S28" s="282">
        <f t="shared" si="0"/>
        <v>34.230000000000004</v>
      </c>
      <c r="T28" s="282">
        <f t="shared" si="0"/>
        <v>67.915999999999997</v>
      </c>
      <c r="U28" s="282">
        <f t="shared" si="0"/>
        <v>84.779000000000011</v>
      </c>
      <c r="V28" s="282">
        <f t="shared" si="0"/>
        <v>96.805999999999997</v>
      </c>
      <c r="W28" s="282">
        <f t="shared" si="0"/>
        <v>97.125</v>
      </c>
      <c r="X28" s="282">
        <f t="shared" si="0"/>
        <v>114.712</v>
      </c>
      <c r="Y28" s="282">
        <f t="shared" si="0"/>
        <v>93.48099999999998</v>
      </c>
      <c r="Z28" s="282">
        <f t="shared" si="0"/>
        <v>68.885999999999996</v>
      </c>
      <c r="AA28" s="282">
        <f t="shared" si="0"/>
        <v>103.93900000000001</v>
      </c>
      <c r="AB28" s="282">
        <f t="shared" si="0"/>
        <v>114.89999999999999</v>
      </c>
      <c r="AC28" s="282">
        <f t="shared" si="0"/>
        <v>102.63600000000002</v>
      </c>
      <c r="AD28" s="282">
        <f t="shared" si="0"/>
        <v>102.57799999999999</v>
      </c>
      <c r="AE28" s="282">
        <f t="shared" si="0"/>
        <v>68.708999999999975</v>
      </c>
      <c r="AF28" s="282">
        <f t="shared" si="0"/>
        <v>116.82200000000002</v>
      </c>
      <c r="AG28" s="282">
        <f t="shared" si="0"/>
        <v>117.878</v>
      </c>
      <c r="AH28" s="282">
        <f t="shared" si="0"/>
        <v>125.5</v>
      </c>
      <c r="AI28" s="282">
        <f t="shared" si="0"/>
        <v>128.29999999999995</v>
      </c>
      <c r="AJ28" s="282">
        <f t="shared" si="0"/>
        <v>147.60999999999999</v>
      </c>
      <c r="AK28" s="282">
        <f t="shared" si="0"/>
        <v>170.36099999999999</v>
      </c>
      <c r="AL28" s="282">
        <f t="shared" si="0"/>
        <v>169.87300000000002</v>
      </c>
      <c r="AM28" s="282">
        <f t="shared" si="0"/>
        <v>91.756</v>
      </c>
      <c r="AN28" s="282">
        <f t="shared" si="0"/>
        <v>157.113</v>
      </c>
      <c r="AO28" s="282">
        <f t="shared" si="0"/>
        <v>107.48699999999999</v>
      </c>
      <c r="AP28" s="282">
        <f t="shared" si="0"/>
        <v>140.70000000000002</v>
      </c>
      <c r="AQ28" s="282">
        <f t="shared" si="0"/>
        <v>124.6</v>
      </c>
      <c r="AR28" s="282">
        <f t="shared" si="0"/>
        <v>86</v>
      </c>
      <c r="AS28" s="282">
        <f t="shared" si="0"/>
        <v>157.89999999999998</v>
      </c>
      <c r="AT28" s="282">
        <f t="shared" si="0"/>
        <v>234.7</v>
      </c>
      <c r="AU28" s="282">
        <f t="shared" si="0"/>
        <v>164.50000000000003</v>
      </c>
      <c r="AV28" s="282">
        <f t="shared" si="0"/>
        <v>125.60000000000001</v>
      </c>
      <c r="AW28" s="282">
        <f t="shared" si="0"/>
        <v>86.567999999999998</v>
      </c>
      <c r="AX28" s="282">
        <f t="shared" si="0"/>
        <v>152.26799999999957</v>
      </c>
      <c r="AY28" s="282">
        <f t="shared" si="0"/>
        <v>143.48400000000004</v>
      </c>
      <c r="AZ28" s="282">
        <f t="shared" si="0"/>
        <v>222.64800000000005</v>
      </c>
      <c r="BA28" s="282">
        <f t="shared" si="0"/>
        <v>222.029</v>
      </c>
      <c r="BB28" s="282">
        <f t="shared" si="0"/>
        <v>237.91800000000001</v>
      </c>
      <c r="BC28" s="282">
        <f t="shared" ref="BC28:BH28" si="1">SUM(BC9:BC27)</f>
        <v>153.22999999999999</v>
      </c>
      <c r="BD28" s="282">
        <f t="shared" si="1"/>
        <v>211.50699999999998</v>
      </c>
      <c r="BE28" s="282">
        <f t="shared" si="1"/>
        <v>208.62800000000004</v>
      </c>
      <c r="BF28" s="282">
        <f t="shared" si="1"/>
        <v>234.21060602000003</v>
      </c>
      <c r="BG28" s="282">
        <f t="shared" si="1"/>
        <v>229.91186531999995</v>
      </c>
      <c r="BH28" s="282">
        <f t="shared" si="1"/>
        <v>260.23699999999997</v>
      </c>
      <c r="BI28" s="282"/>
      <c r="BJ28" s="282">
        <f t="shared" si="0"/>
        <v>99.754999999999995</v>
      </c>
      <c r="BK28" s="282">
        <f t="shared" si="0"/>
        <v>161.54500000000002</v>
      </c>
      <c r="BL28" s="282">
        <f t="shared" si="0"/>
        <v>147.27799999999999</v>
      </c>
      <c r="BM28" s="282">
        <f t="shared" si="0"/>
        <v>169.75900000000001</v>
      </c>
      <c r="BN28" s="282">
        <f t="shared" si="0"/>
        <v>230.12899999999999</v>
      </c>
      <c r="BO28" s="282">
        <f t="shared" si="0"/>
        <v>346.62599999999998</v>
      </c>
      <c r="BP28" s="282">
        <f t="shared" si="0"/>
        <v>381.01799999999997</v>
      </c>
      <c r="BQ28" s="282">
        <f t="shared" si="0"/>
        <v>388.82299999999998</v>
      </c>
      <c r="BR28" s="282">
        <f t="shared" si="0"/>
        <v>488.5</v>
      </c>
      <c r="BS28" s="282">
        <f t="shared" si="0"/>
        <v>579.6</v>
      </c>
      <c r="BT28" s="282">
        <f t="shared" si="0"/>
        <v>529.9</v>
      </c>
      <c r="BU28" s="282">
        <f>SUM(BU9:BU27)</f>
        <v>644.077</v>
      </c>
      <c r="BV28" s="282">
        <f>SUM(BV9:BV27)</f>
        <v>507.59199999999998</v>
      </c>
      <c r="BW28" s="282">
        <f>SUM(BW9:BW27)</f>
        <v>835.73900000000003</v>
      </c>
      <c r="BX28" s="282">
        <f>SUM(BX9:BX27)</f>
        <v>885.08299999999986</v>
      </c>
    </row>
    <row r="29" spans="1:76" s="80" customFormat="1" ht="6.75" customHeight="1" x14ac:dyDescent="0.35">
      <c r="A29" s="127"/>
      <c r="B29" s="96"/>
      <c r="C29" s="157"/>
      <c r="D29" s="157"/>
      <c r="E29" s="284"/>
      <c r="F29" s="284"/>
      <c r="G29" s="283"/>
      <c r="H29" s="157"/>
      <c r="I29" s="284"/>
      <c r="J29" s="284"/>
      <c r="K29" s="283"/>
      <c r="L29" s="157"/>
      <c r="M29" s="284"/>
      <c r="N29" s="284"/>
      <c r="O29" s="283"/>
      <c r="P29" s="157"/>
      <c r="Q29" s="284"/>
      <c r="R29" s="284"/>
      <c r="S29" s="284"/>
      <c r="T29" s="157"/>
      <c r="U29" s="284"/>
      <c r="V29" s="284"/>
      <c r="W29" s="284"/>
      <c r="X29" s="283"/>
      <c r="Y29" s="284"/>
      <c r="Z29" s="284"/>
      <c r="AA29" s="284"/>
      <c r="AB29" s="283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157"/>
      <c r="AN29" s="284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</row>
    <row r="30" spans="1:76" s="80" customFormat="1" x14ac:dyDescent="0.35">
      <c r="A30" s="127"/>
      <c r="B30" s="285" t="str">
        <f>IF(Control!$D$5=1,"(Inc.) / Dec. In:","(Aum.) / Dim. Em:")</f>
        <v>(Inc.) / Dec. In:</v>
      </c>
      <c r="C30" s="158"/>
      <c r="D30" s="158"/>
      <c r="E30" s="284"/>
      <c r="F30" s="284"/>
      <c r="G30" s="283"/>
      <c r="H30" s="158"/>
      <c r="I30" s="284"/>
      <c r="J30" s="284"/>
      <c r="K30" s="283"/>
      <c r="L30" s="286"/>
      <c r="M30" s="284"/>
      <c r="N30" s="284"/>
      <c r="O30" s="283"/>
      <c r="P30" s="158"/>
      <c r="Q30" s="284"/>
      <c r="R30" s="284"/>
      <c r="S30" s="284"/>
      <c r="T30" s="158"/>
      <c r="U30" s="284"/>
      <c r="V30" s="284"/>
      <c r="W30" s="284"/>
      <c r="X30" s="283"/>
      <c r="Y30" s="284"/>
      <c r="Z30" s="284"/>
      <c r="AA30" s="284"/>
      <c r="AB30" s="283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158"/>
      <c r="AN30" s="284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249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</row>
    <row r="31" spans="1:76" s="7" customFormat="1" x14ac:dyDescent="0.35">
      <c r="A31" s="127"/>
      <c r="B31" s="96" t="str">
        <f>IF(Control!$D$5=1,"Current Assets","Ativo Circulante")</f>
        <v>Current Assets</v>
      </c>
      <c r="C31" s="284">
        <f t="shared" ref="C31:BT31" si="2">SUM(C32:C36)</f>
        <v>0</v>
      </c>
      <c r="D31" s="284">
        <f t="shared" si="2"/>
        <v>-357.17500000000001</v>
      </c>
      <c r="E31" s="284">
        <f t="shared" si="2"/>
        <v>83.305000000000007</v>
      </c>
      <c r="F31" s="284">
        <f t="shared" si="2"/>
        <v>-17.129999999999988</v>
      </c>
      <c r="G31" s="284">
        <f t="shared" si="2"/>
        <v>70.173000000000002</v>
      </c>
      <c r="H31" s="284">
        <f t="shared" si="2"/>
        <v>-120.03999999999998</v>
      </c>
      <c r="I31" s="284">
        <f t="shared" si="2"/>
        <v>82.762999999999977</v>
      </c>
      <c r="J31" s="284">
        <f t="shared" si="2"/>
        <v>84.87700000000001</v>
      </c>
      <c r="K31" s="284">
        <f t="shared" si="2"/>
        <v>-4.1859999999999999</v>
      </c>
      <c r="L31" s="284">
        <f t="shared" si="2"/>
        <v>-255.47399999999999</v>
      </c>
      <c r="M31" s="284">
        <f t="shared" si="2"/>
        <v>120.41699999999997</v>
      </c>
      <c r="N31" s="284">
        <f t="shared" si="2"/>
        <v>56.864999999999981</v>
      </c>
      <c r="O31" s="284">
        <f t="shared" si="2"/>
        <v>82.376000000000005</v>
      </c>
      <c r="P31" s="284">
        <f t="shared" si="2"/>
        <v>-362.226</v>
      </c>
      <c r="Q31" s="284">
        <f t="shared" si="2"/>
        <v>64.646000000000029</v>
      </c>
      <c r="R31" s="284">
        <f t="shared" si="2"/>
        <v>-1.5100000000000051</v>
      </c>
      <c r="S31" s="284">
        <f t="shared" si="2"/>
        <v>-44.632999999999996</v>
      </c>
      <c r="T31" s="284">
        <f t="shared" si="2"/>
        <v>-393.58600000000001</v>
      </c>
      <c r="U31" s="284">
        <f t="shared" si="2"/>
        <v>57.343000000000011</v>
      </c>
      <c r="V31" s="284">
        <f t="shared" si="2"/>
        <v>75.466999999999999</v>
      </c>
      <c r="W31" s="284">
        <f t="shared" si="2"/>
        <v>88.818999999999988</v>
      </c>
      <c r="X31" s="284">
        <f t="shared" si="2"/>
        <v>-370.07700000000006</v>
      </c>
      <c r="Y31" s="284">
        <f t="shared" si="2"/>
        <v>-15.471000000000011</v>
      </c>
      <c r="Z31" s="284">
        <f t="shared" si="2"/>
        <v>43.203000000000031</v>
      </c>
      <c r="AA31" s="284">
        <f t="shared" si="2"/>
        <v>139.76</v>
      </c>
      <c r="AB31" s="284">
        <f t="shared" si="2"/>
        <v>-407.79999999999995</v>
      </c>
      <c r="AC31" s="284">
        <f t="shared" si="2"/>
        <v>168.89100000000002</v>
      </c>
      <c r="AD31" s="284">
        <f t="shared" si="2"/>
        <v>13.049999999999997</v>
      </c>
      <c r="AE31" s="284">
        <f t="shared" si="2"/>
        <v>243.62800000000001</v>
      </c>
      <c r="AF31" s="284">
        <f t="shared" si="2"/>
        <v>-494.12400000000008</v>
      </c>
      <c r="AG31" s="284">
        <f t="shared" si="2"/>
        <v>168.12400000000002</v>
      </c>
      <c r="AH31" s="284">
        <f t="shared" si="2"/>
        <v>-112.70000000000002</v>
      </c>
      <c r="AI31" s="284">
        <f t="shared" si="2"/>
        <v>227.2</v>
      </c>
      <c r="AJ31" s="284">
        <f t="shared" si="2"/>
        <v>-550.00400000000002</v>
      </c>
      <c r="AK31" s="284">
        <f t="shared" si="2"/>
        <v>-10.03799999999999</v>
      </c>
      <c r="AL31" s="284">
        <f t="shared" si="2"/>
        <v>90.088000000000022</v>
      </c>
      <c r="AM31" s="284">
        <f t="shared" si="2"/>
        <v>117.75399999999996</v>
      </c>
      <c r="AN31" s="284">
        <f t="shared" si="2"/>
        <v>-394.92</v>
      </c>
      <c r="AO31" s="284">
        <f t="shared" si="2"/>
        <v>250.01499999999999</v>
      </c>
      <c r="AP31" s="284">
        <f t="shared" si="2"/>
        <v>151.83226433999999</v>
      </c>
      <c r="AQ31" s="284">
        <f t="shared" si="2"/>
        <v>192.47273566000004</v>
      </c>
      <c r="AR31" s="284">
        <f t="shared" si="2"/>
        <v>-445.2</v>
      </c>
      <c r="AS31" s="284">
        <f t="shared" si="2"/>
        <v>57.200000000000024</v>
      </c>
      <c r="AT31" s="284">
        <f t="shared" si="2"/>
        <v>-227.4</v>
      </c>
      <c r="AU31" s="284">
        <f t="shared" si="2"/>
        <v>-40.200000000000017</v>
      </c>
      <c r="AV31" s="284">
        <f t="shared" si="2"/>
        <v>-510.4</v>
      </c>
      <c r="AW31" s="284">
        <f t="shared" si="2"/>
        <v>237.11100000000002</v>
      </c>
      <c r="AX31" s="284">
        <f t="shared" si="2"/>
        <v>-180.18500000000003</v>
      </c>
      <c r="AY31" s="284">
        <f t="shared" ref="AY31:BH31" si="3">SUM(AY32:AY36)</f>
        <v>516.19000000000005</v>
      </c>
      <c r="AZ31" s="284">
        <f t="shared" si="3"/>
        <v>-967.25300000000016</v>
      </c>
      <c r="BA31" s="284">
        <f t="shared" si="3"/>
        <v>166.14699999999999</v>
      </c>
      <c r="BB31" s="284">
        <f t="shared" si="3"/>
        <v>-18.391999999999999</v>
      </c>
      <c r="BC31" s="284">
        <f t="shared" si="3"/>
        <v>473.06799999999998</v>
      </c>
      <c r="BD31" s="284">
        <f t="shared" si="3"/>
        <v>-1006.097</v>
      </c>
      <c r="BE31" s="284">
        <f t="shared" si="3"/>
        <v>549.98700000000008</v>
      </c>
      <c r="BF31" s="284">
        <f t="shared" si="3"/>
        <v>-200.11100000000002</v>
      </c>
      <c r="BG31" s="284">
        <f t="shared" si="3"/>
        <v>192.89100000000002</v>
      </c>
      <c r="BH31" s="284">
        <f t="shared" si="3"/>
        <v>-995.0147358527729</v>
      </c>
      <c r="BI31" s="284"/>
      <c r="BJ31" s="284">
        <f t="shared" si="2"/>
        <v>5.2020000000000017</v>
      </c>
      <c r="BK31" s="284">
        <f t="shared" si="2"/>
        <v>-220.827</v>
      </c>
      <c r="BL31" s="284">
        <f t="shared" si="2"/>
        <v>43.414000000000001</v>
      </c>
      <c r="BM31" s="284">
        <f t="shared" si="2"/>
        <v>4.1840000000000002</v>
      </c>
      <c r="BN31" s="284">
        <f t="shared" si="2"/>
        <v>-343.72300000000001</v>
      </c>
      <c r="BO31" s="284">
        <f t="shared" si="2"/>
        <v>-171.95699999999999</v>
      </c>
      <c r="BP31" s="284">
        <f t="shared" si="2"/>
        <v>-202.58500000000001</v>
      </c>
      <c r="BQ31" s="284">
        <f t="shared" si="2"/>
        <v>17.769000000000005</v>
      </c>
      <c r="BR31" s="284">
        <f t="shared" si="2"/>
        <v>-211.5</v>
      </c>
      <c r="BS31" s="284">
        <f t="shared" si="2"/>
        <v>-352.20000000000005</v>
      </c>
      <c r="BT31" s="284">
        <f t="shared" si="2"/>
        <v>199.39999999999998</v>
      </c>
      <c r="BU31" s="284">
        <f>SUM(BU32:BU36)</f>
        <v>-450.69299999999998</v>
      </c>
      <c r="BV31" s="284">
        <f>SUM(BV32:BV36)</f>
        <v>68.045999999999992</v>
      </c>
      <c r="BW31" s="284">
        <f>SUM(BW32:BW36)</f>
        <v>-346.43599999999998</v>
      </c>
      <c r="BX31" s="284">
        <f>SUM(BX32:BX36)</f>
        <v>-466.73104899999998</v>
      </c>
    </row>
    <row r="32" spans="1:76" s="127" customFormat="1" x14ac:dyDescent="0.35">
      <c r="B32" s="267" t="str">
        <f>IF(Control!$D$5=1,"Trade Accounts Receivable","Contas a Receber")</f>
        <v>Trade Accounts Receivable</v>
      </c>
      <c r="C32" s="248">
        <v>0</v>
      </c>
      <c r="D32" s="248">
        <v>-27.334</v>
      </c>
      <c r="E32" s="76">
        <v>-3.370000000000001</v>
      </c>
      <c r="F32" s="76">
        <v>-3.4960000000000022</v>
      </c>
      <c r="G32" s="248">
        <v>-35.915999999999997</v>
      </c>
      <c r="H32" s="248">
        <v>15.217000000000001</v>
      </c>
      <c r="I32" s="76">
        <v>19.527999999999999</v>
      </c>
      <c r="J32" s="76">
        <v>9.855000000000004</v>
      </c>
      <c r="K32" s="248">
        <v>-37.169000000000004</v>
      </c>
      <c r="L32" s="248">
        <v>-43.688000000000002</v>
      </c>
      <c r="M32" s="76">
        <v>38.925000000000004</v>
      </c>
      <c r="N32" s="76">
        <v>-7.8079999999999998</v>
      </c>
      <c r="O32" s="248">
        <v>4.8199999999999994</v>
      </c>
      <c r="P32" s="248">
        <v>-58.551000000000002</v>
      </c>
      <c r="Q32" s="76">
        <v>28.273000000000003</v>
      </c>
      <c r="R32" s="76">
        <v>-65.548000000000002</v>
      </c>
      <c r="S32" s="76">
        <v>-37.951999999999998</v>
      </c>
      <c r="T32" s="248">
        <v>-9.1760000000000002</v>
      </c>
      <c r="U32" s="76">
        <v>-32.833999999999996</v>
      </c>
      <c r="V32" s="76">
        <v>-30.991999999999997</v>
      </c>
      <c r="W32" s="76">
        <v>11.543999999999997</v>
      </c>
      <c r="X32" s="248">
        <v>2.7679999999999998</v>
      </c>
      <c r="Y32" s="76">
        <v>-30.863</v>
      </c>
      <c r="Z32" s="76">
        <v>9.1050000000000004</v>
      </c>
      <c r="AA32" s="76">
        <v>-52.168000000000006</v>
      </c>
      <c r="AB32" s="248">
        <v>19.8</v>
      </c>
      <c r="AC32" s="76">
        <v>1.3499999999999979</v>
      </c>
      <c r="AD32" s="76">
        <v>-56.533000000000001</v>
      </c>
      <c r="AE32" s="76">
        <v>40.288000000000004</v>
      </c>
      <c r="AF32" s="76">
        <v>35.448999999999998</v>
      </c>
      <c r="AG32" s="76">
        <v>-7.4489999999999981</v>
      </c>
      <c r="AH32" s="76">
        <v>-88.4</v>
      </c>
      <c r="AI32" s="76">
        <v>69.2</v>
      </c>
      <c r="AJ32" s="76">
        <v>-3.4489999999999998</v>
      </c>
      <c r="AK32" s="76">
        <v>-20.487000000000002</v>
      </c>
      <c r="AL32" s="76">
        <v>-29.673999999999999</v>
      </c>
      <c r="AM32" s="76">
        <v>-75.690000000000012</v>
      </c>
      <c r="AN32" s="76">
        <v>83.972999999999999</v>
      </c>
      <c r="AO32" s="76">
        <v>27.293999999999997</v>
      </c>
      <c r="AP32" s="76">
        <v>-13.173000000000002</v>
      </c>
      <c r="AQ32" s="76">
        <v>-14.793999999999997</v>
      </c>
      <c r="AR32" s="76">
        <v>88.5</v>
      </c>
      <c r="AS32" s="76">
        <v>-8.7999999999999972</v>
      </c>
      <c r="AT32" s="76">
        <v>-104</v>
      </c>
      <c r="AU32" s="76">
        <v>-18.399999999999999</v>
      </c>
      <c r="AV32" s="76">
        <v>31.1</v>
      </c>
      <c r="AW32" s="76">
        <v>43.374000000000002</v>
      </c>
      <c r="AX32" s="76">
        <v>-282.67700000000002</v>
      </c>
      <c r="AY32" s="76">
        <v>200.815</v>
      </c>
      <c r="AZ32" s="76">
        <v>-88.465000000000003</v>
      </c>
      <c r="BA32" s="76">
        <v>-122.104</v>
      </c>
      <c r="BB32" s="76">
        <v>-0.158</v>
      </c>
      <c r="BC32" s="76">
        <v>27.981999999999999</v>
      </c>
      <c r="BD32" s="76">
        <v>-270.94099999999997</v>
      </c>
      <c r="BE32" s="76">
        <v>143.11199999999999</v>
      </c>
      <c r="BF32" s="76">
        <v>-181.66200000000001</v>
      </c>
      <c r="BG32" s="76">
        <v>47.564</v>
      </c>
      <c r="BH32" s="76">
        <v>-240.23370705563602</v>
      </c>
      <c r="BI32" s="249"/>
      <c r="BJ32" s="76">
        <v>-35.433999999999997</v>
      </c>
      <c r="BK32" s="76">
        <v>-70.116</v>
      </c>
      <c r="BL32" s="76">
        <v>7.431</v>
      </c>
      <c r="BM32" s="76">
        <v>-7.7510000000000003</v>
      </c>
      <c r="BN32" s="76">
        <v>-133.77799999999999</v>
      </c>
      <c r="BO32" s="76">
        <v>-61.457999999999998</v>
      </c>
      <c r="BP32" s="76">
        <v>-71.158000000000001</v>
      </c>
      <c r="BQ32" s="76">
        <v>4.9050000000000002</v>
      </c>
      <c r="BR32" s="76">
        <v>8.8000000000000007</v>
      </c>
      <c r="BS32" s="76">
        <v>-129.30000000000001</v>
      </c>
      <c r="BT32" s="76">
        <v>83.3</v>
      </c>
      <c r="BU32" s="76">
        <v>18.814</v>
      </c>
      <c r="BV32" s="76">
        <v>-7.3879999999999999</v>
      </c>
      <c r="BW32" s="76">
        <v>-182.745</v>
      </c>
      <c r="BX32" s="76">
        <v>-261.92599999999999</v>
      </c>
    </row>
    <row r="33" spans="1:76" s="7" customFormat="1" x14ac:dyDescent="0.35">
      <c r="A33" s="80"/>
      <c r="B33" s="56" t="str">
        <f>IF(Control!$D$5=1,"Inventories","Estoques")</f>
        <v>Inventories</v>
      </c>
      <c r="C33" s="248">
        <v>0</v>
      </c>
      <c r="D33" s="248">
        <v>-304.08100000000002</v>
      </c>
      <c r="E33" s="76">
        <v>43.163000000000011</v>
      </c>
      <c r="F33" s="76">
        <v>22.218000000000018</v>
      </c>
      <c r="G33" s="248">
        <v>158.512</v>
      </c>
      <c r="H33" s="248">
        <v>-192.24799999999999</v>
      </c>
      <c r="I33" s="76">
        <v>78.996999999999986</v>
      </c>
      <c r="J33" s="76">
        <v>84.951000000000008</v>
      </c>
      <c r="K33" s="248">
        <v>64.177000000000007</v>
      </c>
      <c r="L33" s="248">
        <v>-224.93199999999999</v>
      </c>
      <c r="M33" s="76">
        <v>224.93199999999999</v>
      </c>
      <c r="N33" s="76">
        <v>-87.837000000000003</v>
      </c>
      <c r="O33" s="248">
        <v>100.001</v>
      </c>
      <c r="P33" s="248">
        <v>-296.17</v>
      </c>
      <c r="Q33" s="76">
        <v>9.5950000000000273</v>
      </c>
      <c r="R33" s="76">
        <v>100.44499999999999</v>
      </c>
      <c r="S33" s="76">
        <v>52.302999999999997</v>
      </c>
      <c r="T33" s="248">
        <v>-373.94900000000001</v>
      </c>
      <c r="U33" s="76">
        <v>79.716000000000008</v>
      </c>
      <c r="V33" s="76">
        <v>91.22</v>
      </c>
      <c r="W33" s="76">
        <v>141.5</v>
      </c>
      <c r="X33" s="248">
        <v>-383.03300000000002</v>
      </c>
      <c r="Y33" s="76">
        <v>-9.7690000000000055</v>
      </c>
      <c r="Z33" s="76">
        <v>146.80400000000003</v>
      </c>
      <c r="AA33" s="76">
        <v>158.97399999999999</v>
      </c>
      <c r="AB33" s="248">
        <v>-421.7</v>
      </c>
      <c r="AC33" s="76">
        <v>141.86000000000001</v>
      </c>
      <c r="AD33" s="76">
        <v>162.017</v>
      </c>
      <c r="AE33" s="76">
        <v>164.45599999999999</v>
      </c>
      <c r="AF33" s="76">
        <v>-550.05200000000002</v>
      </c>
      <c r="AG33" s="76">
        <v>120.55200000000002</v>
      </c>
      <c r="AH33" s="76">
        <v>117</v>
      </c>
      <c r="AI33" s="76">
        <v>154.5</v>
      </c>
      <c r="AJ33" s="76">
        <v>-547.74400000000003</v>
      </c>
      <c r="AK33" s="76">
        <v>-26.663999999999987</v>
      </c>
      <c r="AL33" s="76">
        <v>111.70300000000003</v>
      </c>
      <c r="AM33" s="76">
        <v>271.30499999999995</v>
      </c>
      <c r="AN33" s="76">
        <v>-463.53300000000002</v>
      </c>
      <c r="AO33" s="76">
        <v>188.26600000000002</v>
      </c>
      <c r="AP33" s="76">
        <v>160.53144190999998</v>
      </c>
      <c r="AQ33" s="76">
        <v>225.13555809000002</v>
      </c>
      <c r="AR33" s="76">
        <v>-503.3</v>
      </c>
      <c r="AS33" s="76">
        <v>61.600000000000023</v>
      </c>
      <c r="AT33" s="76">
        <v>32.5</v>
      </c>
      <c r="AU33" s="76">
        <v>175.1</v>
      </c>
      <c r="AV33" s="76">
        <v>-540</v>
      </c>
      <c r="AW33" s="76">
        <v>161.584</v>
      </c>
      <c r="AX33" s="76">
        <v>90.507000000000005</v>
      </c>
      <c r="AY33" s="76">
        <v>286.35700000000003</v>
      </c>
      <c r="AZ33" s="76">
        <v>-814.60900000000004</v>
      </c>
      <c r="BA33" s="76">
        <v>206.10699999999997</v>
      </c>
      <c r="BB33" s="76">
        <v>-23.811</v>
      </c>
      <c r="BC33" s="76">
        <v>440.13900000000001</v>
      </c>
      <c r="BD33" s="76">
        <v>-694.77</v>
      </c>
      <c r="BE33" s="76">
        <v>397.21800000000002</v>
      </c>
      <c r="BF33" s="76">
        <v>3.9580000000000002</v>
      </c>
      <c r="BG33" s="76">
        <v>119.929</v>
      </c>
      <c r="BH33" s="76">
        <v>-724.60238297739795</v>
      </c>
      <c r="BI33" s="249"/>
      <c r="BJ33" s="76">
        <v>53.442</v>
      </c>
      <c r="BK33" s="76">
        <v>-80.188000000000002</v>
      </c>
      <c r="BL33" s="76">
        <v>35.877000000000002</v>
      </c>
      <c r="BM33" s="76">
        <v>12.164</v>
      </c>
      <c r="BN33" s="76">
        <v>-133.827</v>
      </c>
      <c r="BO33" s="76">
        <v>-61.512999999999998</v>
      </c>
      <c r="BP33" s="76">
        <v>-87.024000000000001</v>
      </c>
      <c r="BQ33" s="76">
        <v>46.633000000000003</v>
      </c>
      <c r="BR33" s="76">
        <v>-158</v>
      </c>
      <c r="BS33" s="76">
        <v>-191.4</v>
      </c>
      <c r="BT33" s="76">
        <v>110.4</v>
      </c>
      <c r="BU33" s="76">
        <v>-193.124</v>
      </c>
      <c r="BV33" s="76">
        <v>-1.552</v>
      </c>
      <c r="BW33" s="76">
        <v>-192.16499999999999</v>
      </c>
      <c r="BX33" s="76">
        <v>-173.66499999999999</v>
      </c>
    </row>
    <row r="34" spans="1:76" s="7" customFormat="1" x14ac:dyDescent="0.35">
      <c r="A34" s="80"/>
      <c r="B34" s="56" t="str">
        <f>IF(Control!$D$5=1,"Recoverable Taxes","Impostos a Recuperar")</f>
        <v>Recoverable Taxes</v>
      </c>
      <c r="C34" s="248">
        <v>0</v>
      </c>
      <c r="D34" s="248">
        <v>0</v>
      </c>
      <c r="E34" s="76">
        <v>0</v>
      </c>
      <c r="F34" s="76">
        <v>0</v>
      </c>
      <c r="G34" s="248">
        <v>0</v>
      </c>
      <c r="H34" s="248">
        <v>0</v>
      </c>
      <c r="I34" s="76">
        <v>0</v>
      </c>
      <c r="J34" s="76">
        <v>0</v>
      </c>
      <c r="K34" s="248">
        <v>0</v>
      </c>
      <c r="L34" s="248">
        <v>0</v>
      </c>
      <c r="M34" s="76">
        <v>-161.24299999999999</v>
      </c>
      <c r="N34" s="76">
        <v>161.24299999999999</v>
      </c>
      <c r="O34" s="248">
        <v>0</v>
      </c>
      <c r="P34" s="248">
        <v>0.63800000000000001</v>
      </c>
      <c r="Q34" s="76">
        <v>-0.63800000000000001</v>
      </c>
      <c r="R34" s="76">
        <v>0</v>
      </c>
      <c r="S34" s="76">
        <v>0</v>
      </c>
      <c r="T34" s="248">
        <v>0</v>
      </c>
      <c r="U34" s="76">
        <v>0</v>
      </c>
      <c r="V34" s="76">
        <v>0</v>
      </c>
      <c r="W34" s="76">
        <v>0</v>
      </c>
      <c r="X34" s="248">
        <v>0</v>
      </c>
      <c r="Y34" s="76">
        <v>0</v>
      </c>
      <c r="Z34" s="76">
        <v>0</v>
      </c>
      <c r="AA34" s="76">
        <v>0</v>
      </c>
      <c r="AB34" s="248">
        <v>0</v>
      </c>
      <c r="AC34" s="76">
        <v>0</v>
      </c>
      <c r="AD34" s="76">
        <v>0</v>
      </c>
      <c r="AE34" s="76">
        <v>0</v>
      </c>
      <c r="AF34" s="248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-176.3</v>
      </c>
      <c r="AU34" s="76">
        <v>-137.9</v>
      </c>
      <c r="AV34" s="76">
        <v>3.8</v>
      </c>
      <c r="AW34" s="76">
        <v>5.883</v>
      </c>
      <c r="AX34" s="76">
        <v>6.6230000000000011</v>
      </c>
      <c r="AY34" s="76">
        <v>11.459</v>
      </c>
      <c r="AZ34" s="76">
        <v>-24.594000000000001</v>
      </c>
      <c r="BA34" s="76">
        <v>8.8550000000000004</v>
      </c>
      <c r="BB34" s="76">
        <v>18.379000000000001</v>
      </c>
      <c r="BC34" s="76">
        <v>10.567</v>
      </c>
      <c r="BD34" s="76">
        <v>5.0179999999999998</v>
      </c>
      <c r="BE34" s="76">
        <v>17.202000000000002</v>
      </c>
      <c r="BF34" s="76">
        <v>-12.698</v>
      </c>
      <c r="BG34" s="76">
        <v>-25.966999999999999</v>
      </c>
      <c r="BH34" s="76">
        <v>-36.607999999999997</v>
      </c>
      <c r="BI34" s="249"/>
      <c r="BJ34" s="76">
        <v>0</v>
      </c>
      <c r="BK34" s="76">
        <v>0</v>
      </c>
      <c r="BL34" s="76">
        <v>0</v>
      </c>
      <c r="BM34" s="76">
        <v>0</v>
      </c>
      <c r="BN34" s="76">
        <v>0</v>
      </c>
      <c r="BO34" s="76">
        <v>0</v>
      </c>
      <c r="BP34" s="76">
        <v>0</v>
      </c>
      <c r="BQ34" s="76">
        <v>0</v>
      </c>
      <c r="BR34" s="76">
        <v>0</v>
      </c>
      <c r="BS34" s="76">
        <v>0</v>
      </c>
      <c r="BT34" s="76">
        <v>16.100000000000001</v>
      </c>
      <c r="BU34" s="76">
        <v>-218.846</v>
      </c>
      <c r="BV34" s="76">
        <v>27.765000000000001</v>
      </c>
      <c r="BW34" s="76">
        <v>13.207000000000001</v>
      </c>
      <c r="BX34" s="76">
        <v>-16.445</v>
      </c>
    </row>
    <row r="35" spans="1:76" s="7" customFormat="1" x14ac:dyDescent="0.35">
      <c r="A35" s="127"/>
      <c r="B35" s="56" t="str">
        <f>IF(Control!$D$5=1,"Payments in Advance","Adiantamentos a Fornecedores")</f>
        <v>Payments in Advance</v>
      </c>
      <c r="C35" s="248">
        <v>0</v>
      </c>
      <c r="D35" s="248">
        <v>0</v>
      </c>
      <c r="E35" s="76">
        <v>0</v>
      </c>
      <c r="F35" s="76">
        <v>0</v>
      </c>
      <c r="G35" s="248">
        <v>0</v>
      </c>
      <c r="H35" s="248">
        <v>0</v>
      </c>
      <c r="I35" s="76">
        <v>0</v>
      </c>
      <c r="J35" s="76">
        <v>0</v>
      </c>
      <c r="K35" s="248">
        <v>0</v>
      </c>
      <c r="L35" s="248">
        <v>0</v>
      </c>
      <c r="M35" s="76">
        <v>0</v>
      </c>
      <c r="N35" s="76">
        <v>0</v>
      </c>
      <c r="O35" s="248">
        <v>0</v>
      </c>
      <c r="P35" s="248">
        <v>0</v>
      </c>
      <c r="Q35" s="76">
        <v>0</v>
      </c>
      <c r="R35" s="76">
        <v>0</v>
      </c>
      <c r="S35" s="76">
        <v>0</v>
      </c>
      <c r="T35" s="248">
        <v>0</v>
      </c>
      <c r="U35" s="76">
        <v>0</v>
      </c>
      <c r="V35" s="76">
        <v>0</v>
      </c>
      <c r="W35" s="76">
        <v>0</v>
      </c>
      <c r="X35" s="248">
        <v>0</v>
      </c>
      <c r="Y35" s="76">
        <v>0</v>
      </c>
      <c r="Z35" s="76">
        <v>0</v>
      </c>
      <c r="AA35" s="76">
        <v>0</v>
      </c>
      <c r="AB35" s="248">
        <v>0</v>
      </c>
      <c r="AC35" s="76">
        <v>0</v>
      </c>
      <c r="AD35" s="76">
        <v>0</v>
      </c>
      <c r="AE35" s="76">
        <v>0</v>
      </c>
      <c r="AF35" s="248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-12.802</v>
      </c>
      <c r="BC35" s="76">
        <v>0</v>
      </c>
      <c r="BD35" s="76">
        <v>0</v>
      </c>
      <c r="BE35" s="76"/>
      <c r="BF35" s="76"/>
      <c r="BG35" s="76"/>
      <c r="BH35" s="76"/>
      <c r="BI35" s="249"/>
      <c r="BJ35" s="76">
        <v>3.8969999999999998</v>
      </c>
      <c r="BK35" s="76">
        <v>0</v>
      </c>
      <c r="BL35" s="76">
        <v>0</v>
      </c>
      <c r="BM35" s="76">
        <v>0</v>
      </c>
      <c r="BN35" s="76">
        <v>0</v>
      </c>
      <c r="BO35" s="76">
        <v>0</v>
      </c>
      <c r="BP35" s="76">
        <v>0</v>
      </c>
      <c r="BQ35" s="76">
        <v>0</v>
      </c>
      <c r="BR35" s="76">
        <v>0</v>
      </c>
      <c r="BS35" s="76">
        <v>0</v>
      </c>
      <c r="BT35" s="76">
        <v>0</v>
      </c>
      <c r="BU35" s="76">
        <v>0</v>
      </c>
      <c r="BV35" s="76">
        <v>0</v>
      </c>
      <c r="BW35" s="76">
        <v>0</v>
      </c>
      <c r="BX35" s="76">
        <v>0</v>
      </c>
    </row>
    <row r="36" spans="1:76" s="7" customFormat="1" x14ac:dyDescent="0.35">
      <c r="A36" s="127"/>
      <c r="B36" s="56" t="str">
        <f>IF(Control!$D$5=1,"Other Current Assets","Outros Ativos Circulantes")</f>
        <v>Other Current Assets</v>
      </c>
      <c r="C36" s="248">
        <v>0</v>
      </c>
      <c r="D36" s="248">
        <v>-25.76</v>
      </c>
      <c r="E36" s="76">
        <v>43.512</v>
      </c>
      <c r="F36" s="76">
        <v>-35.852000000000004</v>
      </c>
      <c r="G36" s="248">
        <v>-52.422999999999995</v>
      </c>
      <c r="H36" s="248">
        <v>56.991</v>
      </c>
      <c r="I36" s="76">
        <v>-15.762</v>
      </c>
      <c r="J36" s="76">
        <v>-9.9289999999999985</v>
      </c>
      <c r="K36" s="248">
        <v>-31.194000000000003</v>
      </c>
      <c r="L36" s="248">
        <v>13.146000000000001</v>
      </c>
      <c r="M36" s="76">
        <v>17.803000000000001</v>
      </c>
      <c r="N36" s="76">
        <v>-8.7330000000000005</v>
      </c>
      <c r="O36" s="248">
        <v>-22.445</v>
      </c>
      <c r="P36" s="248">
        <v>-8.1430000000000007</v>
      </c>
      <c r="Q36" s="76">
        <v>27.416</v>
      </c>
      <c r="R36" s="76">
        <v>-36.406999999999996</v>
      </c>
      <c r="S36" s="76">
        <v>-58.983999999999995</v>
      </c>
      <c r="T36" s="248">
        <v>-10.461</v>
      </c>
      <c r="U36" s="76">
        <v>10.461</v>
      </c>
      <c r="V36" s="76">
        <v>15.239000000000001</v>
      </c>
      <c r="W36" s="76">
        <v>-64.224999999999994</v>
      </c>
      <c r="X36" s="248">
        <v>10.188000000000001</v>
      </c>
      <c r="Y36" s="76">
        <v>25.160999999999994</v>
      </c>
      <c r="Z36" s="76">
        <v>-112.70599999999999</v>
      </c>
      <c r="AA36" s="76">
        <v>32.954000000000001</v>
      </c>
      <c r="AB36" s="248">
        <v>-5.9</v>
      </c>
      <c r="AC36" s="76">
        <v>25.680999999999997</v>
      </c>
      <c r="AD36" s="76">
        <v>-92.433999999999997</v>
      </c>
      <c r="AE36" s="76">
        <v>38.884000000000007</v>
      </c>
      <c r="AF36" s="76">
        <v>20.478999999999999</v>
      </c>
      <c r="AG36" s="76">
        <v>55.021000000000001</v>
      </c>
      <c r="AH36" s="76">
        <v>-141.30000000000001</v>
      </c>
      <c r="AI36" s="76">
        <v>3.5</v>
      </c>
      <c r="AJ36" s="76">
        <v>1.1890000000000001</v>
      </c>
      <c r="AK36" s="76">
        <v>37.113</v>
      </c>
      <c r="AL36" s="76">
        <v>8.0589999999999975</v>
      </c>
      <c r="AM36" s="76">
        <v>-77.86099999999999</v>
      </c>
      <c r="AN36" s="76">
        <v>-15.36</v>
      </c>
      <c r="AO36" s="76">
        <v>34.454999999999998</v>
      </c>
      <c r="AP36" s="76">
        <v>4.473822430000002</v>
      </c>
      <c r="AQ36" s="76">
        <v>-17.868822430000002</v>
      </c>
      <c r="AR36" s="76">
        <v>-30.4</v>
      </c>
      <c r="AS36" s="76">
        <v>4.3999999999999986</v>
      </c>
      <c r="AT36" s="76">
        <v>20.400000000000002</v>
      </c>
      <c r="AU36" s="76">
        <v>-59</v>
      </c>
      <c r="AV36" s="76">
        <v>-5.3</v>
      </c>
      <c r="AW36" s="76">
        <v>26.27</v>
      </c>
      <c r="AX36" s="76">
        <v>5.3619999999999983</v>
      </c>
      <c r="AY36" s="76">
        <v>17.559000000000001</v>
      </c>
      <c r="AZ36" s="76">
        <v>-39.585000000000001</v>
      </c>
      <c r="BA36" s="76">
        <v>73.289000000000001</v>
      </c>
      <c r="BB36" s="76"/>
      <c r="BC36" s="76">
        <v>-5.62</v>
      </c>
      <c r="BD36" s="76">
        <v>-45.404000000000003</v>
      </c>
      <c r="BE36" s="76">
        <v>-7.5449999999999999</v>
      </c>
      <c r="BF36" s="76">
        <v>-9.7089999999999996</v>
      </c>
      <c r="BG36" s="76">
        <v>51.365000000000002</v>
      </c>
      <c r="BH36" s="76">
        <v>6.4293541802609999</v>
      </c>
      <c r="BI36" s="249"/>
      <c r="BJ36" s="76">
        <v>-16.702999999999999</v>
      </c>
      <c r="BK36" s="76">
        <v>-70.522999999999996</v>
      </c>
      <c r="BL36" s="76">
        <v>0.10599999999999987</v>
      </c>
      <c r="BM36" s="76">
        <v>-0.2289999999999992</v>
      </c>
      <c r="BN36" s="76">
        <v>-76.117999999999995</v>
      </c>
      <c r="BO36" s="76">
        <v>-48.985999999999997</v>
      </c>
      <c r="BP36" s="76">
        <v>-44.402999999999999</v>
      </c>
      <c r="BQ36" s="76">
        <v>-33.768999999999998</v>
      </c>
      <c r="BR36" s="76">
        <v>-62.3</v>
      </c>
      <c r="BS36" s="76">
        <v>-31.5</v>
      </c>
      <c r="BT36" s="76">
        <v>-10.4</v>
      </c>
      <c r="BU36" s="76">
        <v>-57.536999999999999</v>
      </c>
      <c r="BV36" s="76">
        <v>49.220999999999997</v>
      </c>
      <c r="BW36" s="76">
        <v>15.266999999999999</v>
      </c>
      <c r="BX36" s="76">
        <v>-14.695048999999999</v>
      </c>
    </row>
    <row r="37" spans="1:76" s="80" customFormat="1" ht="6.75" customHeight="1" x14ac:dyDescent="0.35">
      <c r="A37" s="130"/>
      <c r="B37" s="96"/>
      <c r="C37" s="283">
        <v>0</v>
      </c>
      <c r="D37" s="283"/>
      <c r="E37" s="284"/>
      <c r="F37" s="284"/>
      <c r="G37" s="283"/>
      <c r="H37" s="283"/>
      <c r="I37" s="284"/>
      <c r="J37" s="284"/>
      <c r="K37" s="283"/>
      <c r="L37" s="283"/>
      <c r="M37" s="284"/>
      <c r="N37" s="284"/>
      <c r="O37" s="283"/>
      <c r="P37" s="283"/>
      <c r="Q37" s="284"/>
      <c r="R37" s="284"/>
      <c r="S37" s="284"/>
      <c r="T37" s="283"/>
      <c r="U37" s="284"/>
      <c r="V37" s="284"/>
      <c r="W37" s="284"/>
      <c r="X37" s="283"/>
      <c r="Y37" s="284"/>
      <c r="Z37" s="284"/>
      <c r="AA37" s="284"/>
      <c r="AB37" s="283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49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</row>
    <row r="38" spans="1:76" s="7" customFormat="1" x14ac:dyDescent="0.35">
      <c r="B38" s="96" t="str">
        <f>IF(Control!$D$5=1,"Current Liabilities","Passivo Circulante")</f>
        <v>Current Liabilities</v>
      </c>
      <c r="C38" s="283">
        <v>0</v>
      </c>
      <c r="D38" s="283">
        <v>227.78699999999998</v>
      </c>
      <c r="E38" s="284">
        <v>-126.85400000000001</v>
      </c>
      <c r="F38" s="284">
        <v>39.567000000000007</v>
      </c>
      <c r="G38" s="283">
        <v>-26.110999999999997</v>
      </c>
      <c r="H38" s="283">
        <v>161.601</v>
      </c>
      <c r="I38" s="284">
        <v>-144.08399999999997</v>
      </c>
      <c r="J38" s="284">
        <v>-59.01700000000001</v>
      </c>
      <c r="K38" s="283">
        <v>-18.373999999999999</v>
      </c>
      <c r="L38" s="283">
        <v>208.62800000000001</v>
      </c>
      <c r="M38" s="284">
        <v>-178.25</v>
      </c>
      <c r="N38" s="284">
        <v>-30.946999999999996</v>
      </c>
      <c r="O38" s="283">
        <v>-51.468000000000004</v>
      </c>
      <c r="P38" s="283">
        <v>275.65699999999998</v>
      </c>
      <c r="Q38" s="284">
        <v>-182.18499999999997</v>
      </c>
      <c r="R38" s="284">
        <v>39.102999999999987</v>
      </c>
      <c r="S38" s="284">
        <v>95.153999999999996</v>
      </c>
      <c r="T38" s="283">
        <v>289.887</v>
      </c>
      <c r="U38" s="284">
        <v>-251.80099999999999</v>
      </c>
      <c r="V38" s="284">
        <v>-214.17499999999995</v>
      </c>
      <c r="W38" s="284">
        <v>-29.068000000000008</v>
      </c>
      <c r="X38" s="283">
        <v>259.93600000000004</v>
      </c>
      <c r="Y38" s="284">
        <v>-185.68700000000001</v>
      </c>
      <c r="Z38" s="284">
        <v>-7.778000000000004</v>
      </c>
      <c r="AA38" s="284">
        <v>-155.28000000000003</v>
      </c>
      <c r="AB38" s="283">
        <v>352.79999999999995</v>
      </c>
      <c r="AC38" s="284">
        <v>-256.55399999999997</v>
      </c>
      <c r="AD38" s="284">
        <v>-7.3130000000000033</v>
      </c>
      <c r="AE38" s="284">
        <v>-46.871000000000002</v>
      </c>
      <c r="AF38" s="284">
        <v>392.91399999999993</v>
      </c>
      <c r="AG38" s="284">
        <v>-280.714</v>
      </c>
      <c r="AH38" s="284">
        <v>-51.70000000000001</v>
      </c>
      <c r="AI38" s="284">
        <v>0.79999999999999361</v>
      </c>
      <c r="AJ38" s="284">
        <v>425.21499999999992</v>
      </c>
      <c r="AK38" s="284">
        <v>-381.76100000000002</v>
      </c>
      <c r="AL38" s="284">
        <v>-20.472999999999999</v>
      </c>
      <c r="AM38" s="284">
        <v>43.919000000000004</v>
      </c>
      <c r="AN38" s="284">
        <v>336.83799999999997</v>
      </c>
      <c r="AO38" s="284">
        <v>-445.75200000000001</v>
      </c>
      <c r="AP38" s="284">
        <v>-110.2760356566568</v>
      </c>
      <c r="AQ38" s="284">
        <v>-22.109964343343208</v>
      </c>
      <c r="AR38" s="284">
        <v>426.7</v>
      </c>
      <c r="AS38" s="284">
        <v>-352.2</v>
      </c>
      <c r="AT38" s="284">
        <v>-24.799999999999997</v>
      </c>
      <c r="AU38" s="284">
        <v>56.7</v>
      </c>
      <c r="AV38" s="284">
        <v>484.90000000000003</v>
      </c>
      <c r="AW38" s="284">
        <v>-424.41700000000003</v>
      </c>
      <c r="AX38" s="284">
        <v>8.0689999999999937</v>
      </c>
      <c r="AY38" s="284">
        <f t="shared" ref="AY38:BH38" si="4">SUM(AY39:AY44)</f>
        <v>-69.644000000000005</v>
      </c>
      <c r="AZ38" s="284">
        <f t="shared" si="4"/>
        <v>669.01199999999994</v>
      </c>
      <c r="BA38" s="284">
        <f t="shared" si="4"/>
        <v>-460.10999999999996</v>
      </c>
      <c r="BB38" s="284">
        <f t="shared" si="4"/>
        <v>-73.045000000000002</v>
      </c>
      <c r="BC38" s="284">
        <f t="shared" si="4"/>
        <v>-152.11700000000002</v>
      </c>
      <c r="BD38" s="284">
        <f t="shared" si="4"/>
        <v>826.23900000000003</v>
      </c>
      <c r="BE38" s="284">
        <f t="shared" si="4"/>
        <v>-717.351</v>
      </c>
      <c r="BF38" s="284">
        <f t="shared" si="4"/>
        <v>152.28699999999998</v>
      </c>
      <c r="BG38" s="284">
        <f t="shared" si="4"/>
        <v>-196.42</v>
      </c>
      <c r="BH38" s="284">
        <f t="shared" si="4"/>
        <v>447.44400000000002</v>
      </c>
      <c r="BI38" s="80"/>
      <c r="BJ38" s="284">
        <f>SUM(BJ39:BJ44)</f>
        <v>-21.567999999999998</v>
      </c>
      <c r="BK38" s="284">
        <f>SUM(BK39:BK44)</f>
        <v>90.419000000000011</v>
      </c>
      <c r="BL38" s="284">
        <f>SUM(BL39:BL44)</f>
        <v>-96.82</v>
      </c>
      <c r="BM38" s="284">
        <f t="shared" ref="BM38:BS38" si="5">SUM(BM39:BM44)</f>
        <v>-104.739</v>
      </c>
      <c r="BN38" s="284">
        <f t="shared" si="5"/>
        <v>145.34</v>
      </c>
      <c r="BO38" s="284">
        <f t="shared" si="5"/>
        <v>-281.38100000000003</v>
      </c>
      <c r="BP38" s="284">
        <f t="shared" si="5"/>
        <v>-179.27199999999999</v>
      </c>
      <c r="BQ38" s="284">
        <f t="shared" si="5"/>
        <v>-64.638999999999996</v>
      </c>
      <c r="BR38" s="284">
        <f t="shared" si="5"/>
        <v>-96.3</v>
      </c>
      <c r="BS38" s="284">
        <f t="shared" si="5"/>
        <v>-90.7</v>
      </c>
      <c r="BT38" s="284">
        <f>SUM(BT39:BT44)</f>
        <v>-410.3</v>
      </c>
      <c r="BU38" s="284">
        <f>SUM(BU39:BU44)</f>
        <v>-50.609999999999985</v>
      </c>
      <c r="BV38" s="284">
        <f>SUM(BV39:BV44)</f>
        <v>-75.742999999999995</v>
      </c>
      <c r="BW38" s="284">
        <f>SUM(BW39:BW44)</f>
        <v>-16.260000000000012</v>
      </c>
      <c r="BX38" s="284">
        <f>SUM(BX39:BX44)</f>
        <v>-109.36061900000003</v>
      </c>
    </row>
    <row r="39" spans="1:76" s="7" customFormat="1" x14ac:dyDescent="0.35">
      <c r="B39" s="56" t="str">
        <f>IF(Control!$D$5=1,"Accounts Payable","Fornecedores")</f>
        <v>Accounts Payable</v>
      </c>
      <c r="C39" s="248">
        <v>0</v>
      </c>
      <c r="D39" s="248">
        <v>215.46299999999999</v>
      </c>
      <c r="E39" s="76">
        <v>-106.21899999999999</v>
      </c>
      <c r="F39" s="76">
        <v>7.1560000000000059</v>
      </c>
      <c r="G39" s="248">
        <v>-22.009</v>
      </c>
      <c r="H39" s="248">
        <v>166.02199999999999</v>
      </c>
      <c r="I39" s="76">
        <v>-118.89399999999999</v>
      </c>
      <c r="J39" s="76">
        <v>-41.027999999999999</v>
      </c>
      <c r="K39" s="248">
        <v>-33.912999999999997</v>
      </c>
      <c r="L39" s="248">
        <v>186.143</v>
      </c>
      <c r="M39" s="76">
        <v>-155.36500000000001</v>
      </c>
      <c r="N39" s="76">
        <v>-16.924999999999997</v>
      </c>
      <c r="O39" s="248">
        <v>-32.261000000000003</v>
      </c>
      <c r="P39" s="248">
        <v>193.24199999999999</v>
      </c>
      <c r="Q39" s="76">
        <v>-161.94999999999999</v>
      </c>
      <c r="R39" s="76">
        <v>0.47599999999999909</v>
      </c>
      <c r="S39" s="76">
        <v>64.533000000000001</v>
      </c>
      <c r="T39" s="248">
        <v>256.11099999999999</v>
      </c>
      <c r="U39" s="76">
        <v>-226.00899999999999</v>
      </c>
      <c r="V39" s="76">
        <v>-267.88099999999997</v>
      </c>
      <c r="W39" s="76">
        <v>25.957999999999998</v>
      </c>
      <c r="X39" s="248">
        <v>237.41800000000001</v>
      </c>
      <c r="Y39" s="76">
        <v>-172.24099999999999</v>
      </c>
      <c r="Z39" s="76">
        <v>-10.284000000000006</v>
      </c>
      <c r="AA39" s="76">
        <v>-47.793999999999997</v>
      </c>
      <c r="AB39" s="248">
        <v>311.89999999999998</v>
      </c>
      <c r="AC39" s="76">
        <v>-258.12599999999998</v>
      </c>
      <c r="AD39" s="76">
        <v>-33.627000000000002</v>
      </c>
      <c r="AE39" s="76">
        <v>11.701000000000001</v>
      </c>
      <c r="AF39" s="76">
        <v>317.34699999999998</v>
      </c>
      <c r="AG39" s="76">
        <v>-268.34699999999998</v>
      </c>
      <c r="AH39" s="76">
        <v>-30.1</v>
      </c>
      <c r="AI39" s="76">
        <v>-44.4</v>
      </c>
      <c r="AJ39" s="76">
        <v>410.60399999999998</v>
      </c>
      <c r="AK39" s="76">
        <v>-340.899</v>
      </c>
      <c r="AL39" s="76">
        <v>-8.3339999999999961</v>
      </c>
      <c r="AM39" s="76">
        <v>-13.371000000000002</v>
      </c>
      <c r="AN39" s="76">
        <v>326.19499999999999</v>
      </c>
      <c r="AO39" s="76">
        <v>-415.42700000000002</v>
      </c>
      <c r="AP39" s="76">
        <v>-44.620000000000005</v>
      </c>
      <c r="AQ39" s="76">
        <v>23.451999999999998</v>
      </c>
      <c r="AR39" s="76">
        <v>388</v>
      </c>
      <c r="AS39" s="76">
        <v>-328.3</v>
      </c>
      <c r="AT39" s="76">
        <v>-41.400000000000006</v>
      </c>
      <c r="AU39" s="76">
        <v>20.100000000000001</v>
      </c>
      <c r="AV39" s="76">
        <v>480.3</v>
      </c>
      <c r="AW39" s="76">
        <v>-413.577</v>
      </c>
      <c r="AX39" s="76">
        <v>5.6239999999999952</v>
      </c>
      <c r="AY39" s="76">
        <v>-1.3069999999999999</v>
      </c>
      <c r="AZ39" s="76">
        <v>622.40099999999995</v>
      </c>
      <c r="BA39" s="76">
        <v>-395.84899999999999</v>
      </c>
      <c r="BB39" s="76">
        <v>-29.818999999999999</v>
      </c>
      <c r="BC39" s="76">
        <v>-83.468999999999994</v>
      </c>
      <c r="BD39" s="76">
        <v>852.29399999999998</v>
      </c>
      <c r="BE39" s="76">
        <v>-669.75400000000002</v>
      </c>
      <c r="BF39" s="76">
        <v>126.33199999999999</v>
      </c>
      <c r="BG39" s="76">
        <v>141.376</v>
      </c>
      <c r="BH39" s="76">
        <v>507.11</v>
      </c>
      <c r="BI39" s="249"/>
      <c r="BJ39" s="76">
        <v>0</v>
      </c>
      <c r="BK39" s="76">
        <v>94.391000000000005</v>
      </c>
      <c r="BL39" s="76">
        <v>-27.812999999999999</v>
      </c>
      <c r="BM39" s="76">
        <v>-18.408000000000001</v>
      </c>
      <c r="BN39" s="76">
        <v>96.301000000000002</v>
      </c>
      <c r="BO39" s="76">
        <v>-211.821</v>
      </c>
      <c r="BP39" s="76">
        <v>7.0990000000000002</v>
      </c>
      <c r="BQ39" s="76">
        <v>31.847999999999999</v>
      </c>
      <c r="BR39" s="76">
        <v>-25.5</v>
      </c>
      <c r="BS39" s="76">
        <v>48</v>
      </c>
      <c r="BT39" s="76">
        <v>-110.4</v>
      </c>
      <c r="BU39" s="76">
        <v>23.288</v>
      </c>
      <c r="BV39" s="76">
        <v>71.040000000000006</v>
      </c>
      <c r="BW39" s="76">
        <v>113.264</v>
      </c>
      <c r="BX39" s="76">
        <v>450.24799999999999</v>
      </c>
    </row>
    <row r="40" spans="1:76" s="7" customFormat="1" x14ac:dyDescent="0.35">
      <c r="A40" s="130"/>
      <c r="B40" s="56" t="str">
        <f>IF(Control!$D$5=1,"Other Current Liabilities","Sal., Prov. e Contr. Sociais")</f>
        <v>Other Current Liabilities</v>
      </c>
      <c r="C40" s="248">
        <v>0</v>
      </c>
      <c r="D40" s="248">
        <v>-1.181</v>
      </c>
      <c r="E40" s="76">
        <v>-0.71799999999999997</v>
      </c>
      <c r="F40" s="76">
        <v>5.0990000000000002</v>
      </c>
      <c r="G40" s="248">
        <v>-1.3870000000000002</v>
      </c>
      <c r="H40" s="248">
        <v>0.66700000000000004</v>
      </c>
      <c r="I40" s="76">
        <v>-0.97900000000000009</v>
      </c>
      <c r="J40" s="76">
        <v>3.512</v>
      </c>
      <c r="K40" s="248">
        <v>-3.9910000000000001</v>
      </c>
      <c r="L40" s="248">
        <v>2.222</v>
      </c>
      <c r="M40" s="76">
        <v>0.2629999999999999</v>
      </c>
      <c r="N40" s="76">
        <v>2.4579999999999997</v>
      </c>
      <c r="O40" s="248">
        <v>-4.1649999999999991</v>
      </c>
      <c r="P40" s="248">
        <v>5.7389999999999999</v>
      </c>
      <c r="Q40" s="76">
        <v>2.8440000000000003</v>
      </c>
      <c r="R40" s="76">
        <v>7.0239999999999991</v>
      </c>
      <c r="S40" s="76">
        <v>-6.9999999999996732E-3</v>
      </c>
      <c r="T40" s="248">
        <v>6.5640000000000001</v>
      </c>
      <c r="U40" s="76">
        <v>1.9659999999999993</v>
      </c>
      <c r="V40" s="76">
        <v>9.2550000000000008</v>
      </c>
      <c r="W40" s="76">
        <v>-9.2940000000000005</v>
      </c>
      <c r="X40" s="248">
        <v>14.013999999999999</v>
      </c>
      <c r="Y40" s="76">
        <v>-1.0219999999999985</v>
      </c>
      <c r="Z40" s="76">
        <v>5.7330000000000005</v>
      </c>
      <c r="AA40" s="76">
        <v>-14.849000000000002</v>
      </c>
      <c r="AB40" s="248">
        <v>5.4</v>
      </c>
      <c r="AC40" s="76">
        <v>-2.5120000000000005</v>
      </c>
      <c r="AD40" s="76">
        <v>7.3330000000000002</v>
      </c>
      <c r="AE40" s="76">
        <v>-16.739000000000001</v>
      </c>
      <c r="AF40" s="76">
        <v>9.9380000000000006</v>
      </c>
      <c r="AG40" s="76">
        <v>-0.6379999999999999</v>
      </c>
      <c r="AH40" s="76">
        <v>12.5</v>
      </c>
      <c r="AI40" s="76">
        <v>-9.2000000000000011</v>
      </c>
      <c r="AJ40" s="76">
        <v>17.561</v>
      </c>
      <c r="AK40" s="76">
        <v>-3.327</v>
      </c>
      <c r="AL40" s="76">
        <v>11.386999999999999</v>
      </c>
      <c r="AM40" s="76">
        <v>-16.720999999999997</v>
      </c>
      <c r="AN40" s="76">
        <v>12.971</v>
      </c>
      <c r="AO40" s="76">
        <v>-12.629</v>
      </c>
      <c r="AP40" s="76">
        <v>3.5840000000000001</v>
      </c>
      <c r="AQ40" s="76">
        <v>-16.026</v>
      </c>
      <c r="AR40" s="76">
        <v>27.2</v>
      </c>
      <c r="AS40" s="76">
        <v>-12.5</v>
      </c>
      <c r="AT40" s="76">
        <v>1.5</v>
      </c>
      <c r="AU40" s="76">
        <v>-13.6</v>
      </c>
      <c r="AV40" s="76">
        <v>2.2999999999999998</v>
      </c>
      <c r="AW40" s="76">
        <v>9.2070000000000007</v>
      </c>
      <c r="AX40" s="76">
        <v>9.5950000000000006</v>
      </c>
      <c r="AY40" s="76">
        <v>-17.866</v>
      </c>
      <c r="AZ40" s="76">
        <v>12.816000000000001</v>
      </c>
      <c r="BA40" s="76">
        <v>12.462999999999999</v>
      </c>
      <c r="BB40" s="76">
        <v>17.66</v>
      </c>
      <c r="BC40" s="76">
        <v>-17.628</v>
      </c>
      <c r="BD40" s="76">
        <v>-4.9580000000000002</v>
      </c>
      <c r="BE40" s="76">
        <v>2.544</v>
      </c>
      <c r="BF40" s="76">
        <v>28.14</v>
      </c>
      <c r="BG40" s="76">
        <v>-28.135000000000002</v>
      </c>
      <c r="BH40" s="76">
        <v>15.19</v>
      </c>
      <c r="BI40" s="249"/>
      <c r="BJ40" s="76">
        <v>-6.4000000000000001E-2</v>
      </c>
      <c r="BK40" s="76">
        <v>1.8129999999999999</v>
      </c>
      <c r="BL40" s="76">
        <v>-0.79100000000000004</v>
      </c>
      <c r="BM40" s="76">
        <v>0.77800000000000002</v>
      </c>
      <c r="BN40" s="76">
        <v>15.6</v>
      </c>
      <c r="BO40" s="76">
        <v>8.4909999999999997</v>
      </c>
      <c r="BP40" s="76">
        <v>3.8759999999999999</v>
      </c>
      <c r="BQ40" s="76">
        <v>-6.5179999999999998</v>
      </c>
      <c r="BR40" s="76">
        <v>12.6</v>
      </c>
      <c r="BS40" s="76">
        <v>8.9</v>
      </c>
      <c r="BT40" s="76">
        <v>-12.1</v>
      </c>
      <c r="BU40" s="76">
        <v>-1.6519999999999999</v>
      </c>
      <c r="BV40" s="76">
        <v>3.2360000000000002</v>
      </c>
      <c r="BW40" s="76">
        <v>25.311</v>
      </c>
      <c r="BX40" s="76">
        <v>-2.4089999999999998</v>
      </c>
    </row>
    <row r="41" spans="1:76" s="7" customFormat="1" x14ac:dyDescent="0.35">
      <c r="B41" s="56" t="str">
        <f>IF(Control!$D$5=1," Taxes Payables","Obrigações Tributárias")</f>
        <v xml:space="preserve"> Taxes Payables</v>
      </c>
      <c r="C41" s="248">
        <v>0</v>
      </c>
      <c r="D41" s="248">
        <v>-1.9739999999999998</v>
      </c>
      <c r="E41" s="76">
        <v>-13.368000000000002</v>
      </c>
      <c r="F41" s="76">
        <v>2.9420000000000037</v>
      </c>
      <c r="G41" s="248">
        <v>-4.7729999999999961</v>
      </c>
      <c r="H41" s="248">
        <v>-10.262</v>
      </c>
      <c r="I41" s="76">
        <v>-18.865999999999996</v>
      </c>
      <c r="J41" s="76">
        <v>-1.3720000000000034</v>
      </c>
      <c r="K41" s="248">
        <v>12.686999999999998</v>
      </c>
      <c r="L41" s="248">
        <v>-10.003</v>
      </c>
      <c r="M41" s="76">
        <v>-7.6720000000000006</v>
      </c>
      <c r="N41" s="76">
        <v>-5.8080000000000034</v>
      </c>
      <c r="O41" s="248">
        <v>-3.2049999999999983</v>
      </c>
      <c r="P41" s="248">
        <v>4.2160000000000002</v>
      </c>
      <c r="Q41" s="76">
        <v>-9.5630000000000006</v>
      </c>
      <c r="R41" s="76">
        <v>0.46500000000000075</v>
      </c>
      <c r="S41" s="76">
        <v>74.436000000000007</v>
      </c>
      <c r="T41" s="248">
        <v>4.601</v>
      </c>
      <c r="U41" s="76">
        <v>-10.405999999999999</v>
      </c>
      <c r="V41" s="76">
        <v>15.842000000000001</v>
      </c>
      <c r="W41" s="76">
        <v>-1.2840000000000007</v>
      </c>
      <c r="X41" s="248">
        <v>-16.475999999999999</v>
      </c>
      <c r="Y41" s="76">
        <v>-2.9440000000000026</v>
      </c>
      <c r="Z41" s="76">
        <v>31.183</v>
      </c>
      <c r="AA41" s="76">
        <v>-86.39</v>
      </c>
      <c r="AB41" s="248">
        <v>2.2999999999999998</v>
      </c>
      <c r="AC41" s="76">
        <v>15.079999999999998</v>
      </c>
      <c r="AD41" s="76">
        <v>0.9220000000000006</v>
      </c>
      <c r="AE41" s="76">
        <v>-11.088999999999999</v>
      </c>
      <c r="AF41" s="76">
        <v>-8.1750000000000007</v>
      </c>
      <c r="AG41" s="76">
        <v>-6.2249999999999996</v>
      </c>
      <c r="AH41" s="76">
        <v>-1.2999999999999954</v>
      </c>
      <c r="AI41" s="76">
        <v>48.599999999999994</v>
      </c>
      <c r="AJ41" s="76">
        <v>-35.1</v>
      </c>
      <c r="AK41" s="76">
        <v>-28.955999999999996</v>
      </c>
      <c r="AL41" s="76">
        <v>-6.4440000000000026</v>
      </c>
      <c r="AM41" s="76">
        <v>66.400000000000006</v>
      </c>
      <c r="AN41" s="76">
        <v>-19.7</v>
      </c>
      <c r="AO41" s="76">
        <v>-26.891999999999999</v>
      </c>
      <c r="AP41" s="76">
        <v>-25.650999999999996</v>
      </c>
      <c r="AQ41" s="76">
        <v>-36.757000000000005</v>
      </c>
      <c r="AR41" s="76">
        <v>-12.5</v>
      </c>
      <c r="AS41" s="76">
        <v>4.1999999999999993</v>
      </c>
      <c r="AT41" s="76">
        <v>40.400000000000006</v>
      </c>
      <c r="AU41" s="76">
        <v>28.9</v>
      </c>
      <c r="AV41" s="76">
        <v>-18.3</v>
      </c>
      <c r="AW41" s="76">
        <v>-4.161999999999999</v>
      </c>
      <c r="AX41" s="76">
        <v>-9.620000000000001</v>
      </c>
      <c r="AY41" s="76">
        <v>2.835</v>
      </c>
      <c r="AZ41" s="76">
        <v>-7.0460000000000003</v>
      </c>
      <c r="BA41" s="76">
        <v>13.067</v>
      </c>
      <c r="BB41" s="76">
        <v>15.784000000000001</v>
      </c>
      <c r="BC41" s="76">
        <v>-48.786999999999999</v>
      </c>
      <c r="BD41" s="76">
        <v>-12.161</v>
      </c>
      <c r="BE41" s="76">
        <v>-5.601</v>
      </c>
      <c r="BF41" s="76">
        <v>5.2969999999999997</v>
      </c>
      <c r="BG41" s="76">
        <v>21.785</v>
      </c>
      <c r="BH41" s="76">
        <v>22.626000000000001</v>
      </c>
      <c r="BI41" s="249"/>
      <c r="BJ41" s="76">
        <v>-11.962999999999999</v>
      </c>
      <c r="BK41" s="76">
        <v>-17.172999999999995</v>
      </c>
      <c r="BL41" s="76">
        <v>-17.813000000000002</v>
      </c>
      <c r="BM41" s="76">
        <v>-26.688000000000002</v>
      </c>
      <c r="BN41" s="76">
        <v>69.554000000000002</v>
      </c>
      <c r="BO41" s="76">
        <v>8.7530000000000001</v>
      </c>
      <c r="BP41" s="76">
        <v>-74.626999999999995</v>
      </c>
      <c r="BQ41" s="76">
        <v>7.2130000000000001</v>
      </c>
      <c r="BR41" s="76">
        <v>32.9</v>
      </c>
      <c r="BS41" s="76">
        <v>-4.0999999999999996</v>
      </c>
      <c r="BT41" s="76">
        <v>-76.7</v>
      </c>
      <c r="BU41" s="76">
        <v>55.002000000000002</v>
      </c>
      <c r="BV41" s="76">
        <v>-29.247</v>
      </c>
      <c r="BW41" s="76">
        <v>-26.981999999999999</v>
      </c>
      <c r="BX41" s="76">
        <v>3.1339999999999999</v>
      </c>
    </row>
    <row r="42" spans="1:76" s="7" customFormat="1" x14ac:dyDescent="0.35">
      <c r="B42" s="56" t="str">
        <f>IF(Control!$D$5=1,"Other Current Liabilities","Outros Passivos Circulantes e não circulantes")</f>
        <v>Other Current Liabilities</v>
      </c>
      <c r="C42" s="248">
        <v>0</v>
      </c>
      <c r="D42" s="248">
        <v>15.478999999999999</v>
      </c>
      <c r="E42" s="76">
        <v>-6.5489999999999995</v>
      </c>
      <c r="F42" s="76">
        <v>24.369999999999997</v>
      </c>
      <c r="G42" s="248">
        <v>2.0579999999999998</v>
      </c>
      <c r="H42" s="248">
        <v>5.1740000000000004</v>
      </c>
      <c r="I42" s="76">
        <v>-5.3450000000000006</v>
      </c>
      <c r="J42" s="76">
        <v>-20.129000000000001</v>
      </c>
      <c r="K42" s="248">
        <v>6.843</v>
      </c>
      <c r="L42" s="248">
        <v>30.265999999999998</v>
      </c>
      <c r="M42" s="76">
        <v>-15.475999999999999</v>
      </c>
      <c r="N42" s="76">
        <v>-10.671999999999999</v>
      </c>
      <c r="O42" s="248">
        <v>-11.837</v>
      </c>
      <c r="P42" s="248">
        <v>76.262</v>
      </c>
      <c r="Q42" s="76">
        <v>-17.317999999999998</v>
      </c>
      <c r="R42" s="76">
        <v>31.137999999999991</v>
      </c>
      <c r="S42" s="76">
        <v>-32.258999999999993</v>
      </c>
      <c r="T42" s="248">
        <v>22.611000000000001</v>
      </c>
      <c r="U42" s="76">
        <v>-17.352</v>
      </c>
      <c r="V42" s="76">
        <v>28.609000000000002</v>
      </c>
      <c r="W42" s="76">
        <v>-34.437000000000005</v>
      </c>
      <c r="X42" s="248">
        <v>24.98</v>
      </c>
      <c r="Y42" s="76">
        <v>-6.1209999999999987</v>
      </c>
      <c r="Z42" s="76">
        <v>-32.085999999999999</v>
      </c>
      <c r="AA42" s="76">
        <v>-5.1320000000000014</v>
      </c>
      <c r="AB42" s="248">
        <v>35</v>
      </c>
      <c r="AC42" s="76">
        <v>-6.7540000000000013</v>
      </c>
      <c r="AD42" s="76">
        <v>19.849</v>
      </c>
      <c r="AE42" s="76">
        <v>-26.169</v>
      </c>
      <c r="AF42" s="76">
        <v>77.488</v>
      </c>
      <c r="AG42" s="76">
        <v>-2.0879999999999939</v>
      </c>
      <c r="AH42" s="76">
        <v>-29.600000000000009</v>
      </c>
      <c r="AI42" s="76">
        <v>8.5</v>
      </c>
      <c r="AJ42" s="76">
        <v>34.735999999999997</v>
      </c>
      <c r="AK42" s="76">
        <v>-11.164999999999996</v>
      </c>
      <c r="AL42" s="76">
        <v>-17.082000000000001</v>
      </c>
      <c r="AM42" s="76">
        <v>7.6109999999999998</v>
      </c>
      <c r="AN42" s="76">
        <v>20.335000000000001</v>
      </c>
      <c r="AO42" s="76">
        <v>6.2330000000000005</v>
      </c>
      <c r="AP42" s="76">
        <v>-43.589035656656804</v>
      </c>
      <c r="AQ42" s="76">
        <v>7.2210356566567988</v>
      </c>
      <c r="AR42" s="76">
        <v>24</v>
      </c>
      <c r="AS42" s="76">
        <v>-1.1999999999999993</v>
      </c>
      <c r="AT42" s="76">
        <v>-11.5</v>
      </c>
      <c r="AU42" s="76">
        <v>32.6</v>
      </c>
      <c r="AV42" s="76">
        <v>27.6</v>
      </c>
      <c r="AW42" s="76">
        <v>-11.802000000000001</v>
      </c>
      <c r="AX42" s="76">
        <v>8.44</v>
      </c>
      <c r="AY42" s="76">
        <v>-25.573</v>
      </c>
      <c r="AZ42" s="76">
        <v>56.063000000000002</v>
      </c>
      <c r="BA42" s="76">
        <v>-75.935000000000002</v>
      </c>
      <c r="BB42" s="76">
        <v>-26.942</v>
      </c>
      <c r="BC42" s="76">
        <v>12.526999999999999</v>
      </c>
      <c r="BD42" s="76">
        <v>31.44</v>
      </c>
      <c r="BE42" s="76">
        <v>-35.386000000000003</v>
      </c>
      <c r="BF42" s="76">
        <v>58.497999999999998</v>
      </c>
      <c r="BG42" s="76">
        <v>-319.92</v>
      </c>
      <c r="BH42" s="76">
        <v>31.381</v>
      </c>
      <c r="BI42" s="249"/>
      <c r="BJ42" s="76">
        <v>-9.5410000000000004</v>
      </c>
      <c r="BK42" s="76">
        <v>35.357999999999997</v>
      </c>
      <c r="BL42" s="76">
        <v>-13.457000000000001</v>
      </c>
      <c r="BM42" s="76">
        <v>-7.7190000000000003</v>
      </c>
      <c r="BN42" s="76">
        <v>57.823</v>
      </c>
      <c r="BO42" s="76">
        <v>-0.56899999999999995</v>
      </c>
      <c r="BP42" s="76">
        <v>-18.359000000000002</v>
      </c>
      <c r="BQ42" s="76">
        <v>21.925999999999998</v>
      </c>
      <c r="BR42" s="76">
        <v>54.3</v>
      </c>
      <c r="BS42" s="76">
        <v>14.1</v>
      </c>
      <c r="BT42" s="76">
        <v>-9.9</v>
      </c>
      <c r="BU42" s="76">
        <v>-10.648</v>
      </c>
      <c r="BV42" s="76">
        <v>-1.335</v>
      </c>
      <c r="BW42" s="76">
        <v>-34.286999999999999</v>
      </c>
      <c r="BX42" s="76">
        <v>-439.48361900000003</v>
      </c>
    </row>
    <row r="43" spans="1:76" s="7" customFormat="1" x14ac:dyDescent="0.35">
      <c r="B43" s="288" t="str">
        <f>IF(Control!$D$5=1,"Interest Paid","Juros pagos sobre Empréstimos")</f>
        <v>Interest Paid</v>
      </c>
      <c r="C43" s="200">
        <v>0</v>
      </c>
      <c r="D43" s="200">
        <v>0</v>
      </c>
      <c r="E43" s="57">
        <v>0</v>
      </c>
      <c r="F43" s="57">
        <v>-31.2</v>
      </c>
      <c r="G43" s="69">
        <v>7.23</v>
      </c>
      <c r="H43" s="69">
        <v>-7.8129999999999997</v>
      </c>
      <c r="I43" s="57">
        <v>7.8129999999999997</v>
      </c>
      <c r="J43" s="57">
        <v>-21.9</v>
      </c>
      <c r="K43" s="69">
        <v>-15.045999999999999</v>
      </c>
      <c r="L43" s="69">
        <v>-9.2539999999999996</v>
      </c>
      <c r="M43" s="57">
        <v>-19.383000000000003</v>
      </c>
      <c r="N43" s="57">
        <v>25.737000000000002</v>
      </c>
      <c r="O43" s="69">
        <v>-49.802</v>
      </c>
      <c r="P43" s="69">
        <v>0</v>
      </c>
      <c r="Q43" s="57">
        <v>-36.552999999999997</v>
      </c>
      <c r="R43" s="57">
        <v>-18.373000000000005</v>
      </c>
      <c r="S43" s="57">
        <v>-27.462999999999994</v>
      </c>
      <c r="T43" s="69">
        <v>-7.87</v>
      </c>
      <c r="U43" s="57">
        <v>-20.498999999999999</v>
      </c>
      <c r="V43" s="57">
        <v>0</v>
      </c>
      <c r="W43" s="57">
        <v>-47.855000000000004</v>
      </c>
      <c r="X43" s="69">
        <v>-18.123999999999999</v>
      </c>
      <c r="Y43" s="57">
        <v>-24.516999999999999</v>
      </c>
      <c r="Z43" s="57">
        <v>-19.463000000000001</v>
      </c>
      <c r="AA43" s="57">
        <v>-28.358999999999995</v>
      </c>
      <c r="AB43" s="69">
        <v>-22.9</v>
      </c>
      <c r="AC43" s="57">
        <v>-27.359000000000002</v>
      </c>
      <c r="AD43" s="57">
        <v>-37.045000000000002</v>
      </c>
      <c r="AE43" s="57">
        <v>-19.396999999999991</v>
      </c>
      <c r="AF43" s="57">
        <v>-38.162999999999997</v>
      </c>
      <c r="AG43" s="57">
        <v>-25.737000000000002</v>
      </c>
      <c r="AH43" s="57">
        <v>-61.9</v>
      </c>
      <c r="AI43" s="57">
        <v>-31.799999999999997</v>
      </c>
      <c r="AJ43" s="57">
        <v>-44.814999999999998</v>
      </c>
      <c r="AK43" s="57">
        <v>-44.17</v>
      </c>
      <c r="AL43" s="57">
        <v>-50.540000000000006</v>
      </c>
      <c r="AM43" s="76">
        <v>-18.074999999999989</v>
      </c>
      <c r="AN43" s="57">
        <v>-63.856999999999999</v>
      </c>
      <c r="AO43" s="57">
        <v>-25.543000000000006</v>
      </c>
      <c r="AP43" s="57">
        <v>52.350259047570631</v>
      </c>
      <c r="AQ43" s="76">
        <v>-131.95025904757063</v>
      </c>
      <c r="AR43" s="76">
        <v>-16.600000000000001</v>
      </c>
      <c r="AS43" s="76">
        <v>-22.799999999999997</v>
      </c>
      <c r="AT43" s="76">
        <v>-15.200000000000003</v>
      </c>
      <c r="AU43" s="76">
        <v>-22.6</v>
      </c>
      <c r="AV43" s="76">
        <v>-17.399999999999999</v>
      </c>
      <c r="AW43" s="76">
        <v>-21.444000000000003</v>
      </c>
      <c r="AX43" s="76">
        <v>-35.806999999999995</v>
      </c>
      <c r="AY43" s="76">
        <v>-21.212</v>
      </c>
      <c r="AZ43" s="76">
        <v>-16.806999999999999</v>
      </c>
      <c r="BA43" s="76">
        <v>-9.3420000000000005</v>
      </c>
      <c r="BB43" s="76">
        <v>-22.036000000000001</v>
      </c>
      <c r="BC43" s="76">
        <v>-25.728000000000002</v>
      </c>
      <c r="BD43" s="76">
        <v>-28.637</v>
      </c>
      <c r="BE43" s="76">
        <v>-5.2450000000000001</v>
      </c>
      <c r="BF43" s="76">
        <v>-60.892000000000003</v>
      </c>
      <c r="BG43" s="76">
        <v>-5.9980000000000002</v>
      </c>
      <c r="BH43" s="76">
        <v>-123.648</v>
      </c>
      <c r="BI43" s="249"/>
      <c r="BJ43" s="76">
        <v>0</v>
      </c>
      <c r="BK43" s="76">
        <v>-23.97</v>
      </c>
      <c r="BL43" s="76">
        <v>-36.945999999999998</v>
      </c>
      <c r="BM43" s="76">
        <v>-52.701999999999998</v>
      </c>
      <c r="BN43" s="76">
        <v>-82.388999999999996</v>
      </c>
      <c r="BO43" s="76">
        <v>-76.224000000000004</v>
      </c>
      <c r="BP43" s="76">
        <v>-90.462999999999994</v>
      </c>
      <c r="BQ43" s="76">
        <v>-106.70099999999999</v>
      </c>
      <c r="BR43" s="76">
        <v>-157.6</v>
      </c>
      <c r="BS43" s="76">
        <v>-157.6</v>
      </c>
      <c r="BT43" s="76">
        <v>-169</v>
      </c>
      <c r="BU43" s="76">
        <v>-77.099999999999994</v>
      </c>
      <c r="BV43" s="76">
        <v>-95.863</v>
      </c>
      <c r="BW43" s="76">
        <v>-73.912999999999997</v>
      </c>
      <c r="BX43" s="76">
        <v>-100.77200000000001</v>
      </c>
    </row>
    <row r="44" spans="1:76" s="7" customFormat="1" x14ac:dyDescent="0.35">
      <c r="B44" s="56" t="str">
        <f>IF(Control!$D$5=1,"Net Income Taxes (Income Tax &amp; Social Contribution","Pagamento de IRPJ e CSLL")</f>
        <v>Net Income Taxes (Income Tax &amp; Social Contribution</v>
      </c>
      <c r="C44" s="248">
        <v>0</v>
      </c>
      <c r="D44" s="248">
        <v>0</v>
      </c>
      <c r="E44" s="76">
        <v>0</v>
      </c>
      <c r="F44" s="76">
        <v>0</v>
      </c>
      <c r="G44" s="248">
        <v>0</v>
      </c>
      <c r="H44" s="248">
        <v>0</v>
      </c>
      <c r="I44" s="76">
        <v>0</v>
      </c>
      <c r="J44" s="76">
        <v>0</v>
      </c>
      <c r="K44" s="248">
        <v>0</v>
      </c>
      <c r="L44" s="248">
        <v>0</v>
      </c>
      <c r="M44" s="76">
        <v>0</v>
      </c>
      <c r="N44" s="76">
        <v>0</v>
      </c>
      <c r="O44" s="248">
        <v>0</v>
      </c>
      <c r="P44" s="248">
        <v>-3.802</v>
      </c>
      <c r="Q44" s="76">
        <v>3.802</v>
      </c>
      <c r="R44" s="76">
        <v>0</v>
      </c>
      <c r="S44" s="76">
        <v>-11.548999999999999</v>
      </c>
      <c r="T44" s="248">
        <v>0</v>
      </c>
      <c r="U44" s="76">
        <v>0</v>
      </c>
      <c r="V44" s="76">
        <v>0</v>
      </c>
      <c r="W44" s="76">
        <v>-10.010999999999999</v>
      </c>
      <c r="X44" s="248">
        <v>0</v>
      </c>
      <c r="Y44" s="76">
        <v>-3.359</v>
      </c>
      <c r="Z44" s="76">
        <v>-2.3239999999999998</v>
      </c>
      <c r="AA44" s="76">
        <v>-1.1150000000000002</v>
      </c>
      <c r="AB44" s="248">
        <v>-1.8</v>
      </c>
      <c r="AC44" s="76">
        <v>-4.242</v>
      </c>
      <c r="AD44" s="76">
        <v>-1.79</v>
      </c>
      <c r="AE44" s="76">
        <v>-4.5750000000000002</v>
      </c>
      <c r="AF44" s="76">
        <v>-3.6840000000000002</v>
      </c>
      <c r="AG44" s="76">
        <v>-3.4159999999999995</v>
      </c>
      <c r="AH44" s="76">
        <v>-3.2000000000000011</v>
      </c>
      <c r="AI44" s="76">
        <v>-2.6999999999999993</v>
      </c>
      <c r="AJ44" s="76">
        <v>-2.5859999999999999</v>
      </c>
      <c r="AK44" s="76">
        <v>2.5859999999999999</v>
      </c>
      <c r="AL44" s="76">
        <v>0</v>
      </c>
      <c r="AM44" s="76">
        <v>0</v>
      </c>
      <c r="AN44" s="76">
        <v>-2.9630000000000001</v>
      </c>
      <c r="AO44" s="76">
        <v>2.9630000000000001</v>
      </c>
      <c r="AP44" s="76">
        <v>0</v>
      </c>
      <c r="AQ44" s="76">
        <v>0</v>
      </c>
      <c r="AR44" s="76">
        <v>0</v>
      </c>
      <c r="AS44" s="76">
        <v>-14.4</v>
      </c>
      <c r="AT44" s="76">
        <v>-13.799999999999999</v>
      </c>
      <c r="AU44" s="76">
        <v>-11.3</v>
      </c>
      <c r="AV44" s="76">
        <v>-7</v>
      </c>
      <c r="AW44" s="76">
        <v>-4.0830000000000002</v>
      </c>
      <c r="AX44" s="76">
        <v>-5.9700000000000006</v>
      </c>
      <c r="AY44" s="76">
        <v>-6.5209999999999999</v>
      </c>
      <c r="AZ44" s="76">
        <v>1.585</v>
      </c>
      <c r="BA44" s="76">
        <v>-4.5140000000000002</v>
      </c>
      <c r="BB44" s="76">
        <v>-27.692</v>
      </c>
      <c r="BC44" s="76">
        <v>10.968</v>
      </c>
      <c r="BD44" s="76">
        <v>-11.739000000000001</v>
      </c>
      <c r="BE44" s="76">
        <v>-3.9089999999999998</v>
      </c>
      <c r="BF44" s="76">
        <v>-5.0880000000000001</v>
      </c>
      <c r="BG44" s="76">
        <v>-5.5279999999999996</v>
      </c>
      <c r="BH44" s="76">
        <v>-5.2149999999999999</v>
      </c>
      <c r="BI44" s="249"/>
      <c r="BJ44" s="76">
        <v>0</v>
      </c>
      <c r="BK44" s="76">
        <v>0</v>
      </c>
      <c r="BL44" s="76">
        <v>0</v>
      </c>
      <c r="BM44" s="76">
        <v>0</v>
      </c>
      <c r="BN44" s="76">
        <v>-11.548999999999999</v>
      </c>
      <c r="BO44" s="76">
        <v>-10.010999999999999</v>
      </c>
      <c r="BP44" s="76">
        <v>-6.798</v>
      </c>
      <c r="BQ44" s="76">
        <v>-12.407</v>
      </c>
      <c r="BR44" s="76">
        <v>-13</v>
      </c>
      <c r="BS44" s="76">
        <v>0</v>
      </c>
      <c r="BT44" s="76">
        <v>-32.200000000000003</v>
      </c>
      <c r="BU44" s="76">
        <v>-39.5</v>
      </c>
      <c r="BV44" s="76">
        <v>-23.574000000000002</v>
      </c>
      <c r="BW44" s="76">
        <v>-19.652999999999999</v>
      </c>
      <c r="BX44" s="76">
        <v>-20.077999999999999</v>
      </c>
    </row>
    <row r="45" spans="1:76" s="80" customFormat="1" x14ac:dyDescent="0.35">
      <c r="A45" s="7"/>
      <c r="B45" s="281" t="str">
        <f>IF(Control!$D$5=1,"Cash Flow from Operations","Fluxo de Caixa de Operações")</f>
        <v>Cash Flow from Operations</v>
      </c>
      <c r="C45" s="282">
        <f t="shared" ref="C45:AX45" si="6">C38+C31+C28</f>
        <v>0</v>
      </c>
      <c r="D45" s="282">
        <f t="shared" si="6"/>
        <v>-83.356000000000037</v>
      </c>
      <c r="E45" s="282">
        <f t="shared" si="6"/>
        <v>9.0449999999999946</v>
      </c>
      <c r="F45" s="282">
        <f t="shared" si="6"/>
        <v>26.21100000000002</v>
      </c>
      <c r="G45" s="282">
        <f t="shared" si="6"/>
        <v>103.20699999999999</v>
      </c>
      <c r="H45" s="282">
        <f t="shared" si="6"/>
        <v>81.757000000000019</v>
      </c>
      <c r="I45" s="282">
        <f t="shared" si="6"/>
        <v>-33.408000000000001</v>
      </c>
      <c r="J45" s="282">
        <f t="shared" si="6"/>
        <v>70.350999999999999</v>
      </c>
      <c r="K45" s="282">
        <f t="shared" si="6"/>
        <v>12.108999999999998</v>
      </c>
      <c r="L45" s="282">
        <f t="shared" si="6"/>
        <v>8.0000000000000213</v>
      </c>
      <c r="M45" s="282">
        <f t="shared" si="6"/>
        <v>-51.645000000000024</v>
      </c>
      <c r="N45" s="282">
        <f t="shared" si="6"/>
        <v>96.796999999999969</v>
      </c>
      <c r="O45" s="282">
        <f t="shared" si="6"/>
        <v>68.754000000000005</v>
      </c>
      <c r="P45" s="282">
        <f t="shared" si="6"/>
        <v>4.6349999999999767</v>
      </c>
      <c r="Q45" s="282">
        <f t="shared" si="6"/>
        <v>-80.142999999999944</v>
      </c>
      <c r="R45" s="282">
        <f t="shared" si="6"/>
        <v>104.89199999999997</v>
      </c>
      <c r="S45" s="282">
        <f t="shared" si="6"/>
        <v>84.751000000000005</v>
      </c>
      <c r="T45" s="282">
        <f t="shared" si="6"/>
        <v>-35.783000000000015</v>
      </c>
      <c r="U45" s="282">
        <f t="shared" si="6"/>
        <v>-109.67899999999996</v>
      </c>
      <c r="V45" s="282">
        <f t="shared" si="6"/>
        <v>-41.901999999999973</v>
      </c>
      <c r="W45" s="282">
        <f t="shared" si="6"/>
        <v>156.87599999999998</v>
      </c>
      <c r="X45" s="282">
        <f t="shared" si="6"/>
        <v>4.5709999999999837</v>
      </c>
      <c r="Y45" s="282">
        <f t="shared" si="6"/>
        <v>-107.67700000000004</v>
      </c>
      <c r="Z45" s="282">
        <f t="shared" si="6"/>
        <v>104.31100000000002</v>
      </c>
      <c r="AA45" s="282">
        <f t="shared" si="6"/>
        <v>88.418999999999969</v>
      </c>
      <c r="AB45" s="282">
        <f t="shared" si="6"/>
        <v>59.899999999999991</v>
      </c>
      <c r="AC45" s="282">
        <f t="shared" si="6"/>
        <v>14.97300000000007</v>
      </c>
      <c r="AD45" s="282">
        <f t="shared" si="6"/>
        <v>108.31499999999998</v>
      </c>
      <c r="AE45" s="282">
        <f t="shared" si="6"/>
        <v>265.46600000000001</v>
      </c>
      <c r="AF45" s="282">
        <f t="shared" si="6"/>
        <v>15.611999999999867</v>
      </c>
      <c r="AG45" s="282">
        <f t="shared" si="6"/>
        <v>5.2880000000000251</v>
      </c>
      <c r="AH45" s="282">
        <f t="shared" si="6"/>
        <v>-38.900000000000034</v>
      </c>
      <c r="AI45" s="282">
        <f t="shared" si="6"/>
        <v>356.29999999999995</v>
      </c>
      <c r="AJ45" s="282">
        <f t="shared" si="6"/>
        <v>22.820999999999884</v>
      </c>
      <c r="AK45" s="282">
        <f t="shared" si="6"/>
        <v>-221.43800000000005</v>
      </c>
      <c r="AL45" s="282">
        <f t="shared" si="6"/>
        <v>239.48800000000006</v>
      </c>
      <c r="AM45" s="282">
        <f t="shared" si="6"/>
        <v>253.42899999999997</v>
      </c>
      <c r="AN45" s="282">
        <f t="shared" si="6"/>
        <v>99.030999999999949</v>
      </c>
      <c r="AO45" s="282">
        <f t="shared" si="6"/>
        <v>-88.250000000000028</v>
      </c>
      <c r="AP45" s="282">
        <f t="shared" si="6"/>
        <v>182.25622868334321</v>
      </c>
      <c r="AQ45" s="282">
        <f t="shared" si="6"/>
        <v>294.96277131665681</v>
      </c>
      <c r="AR45" s="282">
        <f t="shared" si="6"/>
        <v>67.5</v>
      </c>
      <c r="AS45" s="282">
        <f t="shared" si="6"/>
        <v>-137.09999999999997</v>
      </c>
      <c r="AT45" s="282">
        <f t="shared" si="6"/>
        <v>-17.5</v>
      </c>
      <c r="AU45" s="282">
        <f t="shared" si="6"/>
        <v>181</v>
      </c>
      <c r="AV45" s="282">
        <f t="shared" si="6"/>
        <v>100.10000000000007</v>
      </c>
      <c r="AW45" s="282">
        <f t="shared" si="6"/>
        <v>-100.73800000000001</v>
      </c>
      <c r="AX45" s="282">
        <f t="shared" si="6"/>
        <v>-19.848000000000468</v>
      </c>
      <c r="AY45" s="282">
        <f t="shared" ref="AY45:BH45" si="7">AY38+AY31+AY28</f>
        <v>590.03000000000009</v>
      </c>
      <c r="AZ45" s="282">
        <f t="shared" si="7"/>
        <v>-75.59300000000016</v>
      </c>
      <c r="BA45" s="282">
        <f t="shared" si="7"/>
        <v>-71.933999999999969</v>
      </c>
      <c r="BB45" s="282">
        <f t="shared" si="7"/>
        <v>146.48099999999999</v>
      </c>
      <c r="BC45" s="282">
        <f t="shared" si="7"/>
        <v>474.18099999999993</v>
      </c>
      <c r="BD45" s="282">
        <f t="shared" si="7"/>
        <v>31.649000000000029</v>
      </c>
      <c r="BE45" s="282">
        <f t="shared" si="7"/>
        <v>41.264000000000124</v>
      </c>
      <c r="BF45" s="282">
        <f t="shared" si="7"/>
        <v>186.38660601999999</v>
      </c>
      <c r="BG45" s="282">
        <f t="shared" si="7"/>
        <v>226.38286531999998</v>
      </c>
      <c r="BH45" s="282">
        <f t="shared" si="7"/>
        <v>-287.33373585277297</v>
      </c>
      <c r="BI45" s="282"/>
      <c r="BJ45" s="282">
        <f t="shared" ref="BJ45:BX45" si="8">BJ38+BJ31+BJ28</f>
        <v>83.388999999999996</v>
      </c>
      <c r="BK45" s="282">
        <f t="shared" si="8"/>
        <v>31.137000000000029</v>
      </c>
      <c r="BL45" s="282">
        <f t="shared" si="8"/>
        <v>93.872</v>
      </c>
      <c r="BM45" s="282">
        <f t="shared" si="8"/>
        <v>69.204000000000008</v>
      </c>
      <c r="BN45" s="282">
        <f t="shared" si="8"/>
        <v>31.745999999999981</v>
      </c>
      <c r="BO45" s="282">
        <f t="shared" si="8"/>
        <v>-106.71200000000005</v>
      </c>
      <c r="BP45" s="282">
        <f t="shared" si="8"/>
        <v>-0.83899999999999864</v>
      </c>
      <c r="BQ45" s="282">
        <f t="shared" si="8"/>
        <v>341.95299999999997</v>
      </c>
      <c r="BR45" s="282">
        <f t="shared" si="8"/>
        <v>180.7</v>
      </c>
      <c r="BS45" s="282">
        <f t="shared" si="8"/>
        <v>136.69999999999999</v>
      </c>
      <c r="BT45" s="282">
        <f>BT38+BT31+BT28</f>
        <v>318.99999999999994</v>
      </c>
      <c r="BU45" s="282">
        <f>BU38+BU31+BU28</f>
        <v>142.774</v>
      </c>
      <c r="BV45" s="282">
        <f t="shared" si="8"/>
        <v>499.89499999999998</v>
      </c>
      <c r="BW45" s="282">
        <f t="shared" si="8"/>
        <v>473.04300000000006</v>
      </c>
      <c r="BX45" s="282">
        <f t="shared" si="8"/>
        <v>308.99133199999983</v>
      </c>
    </row>
    <row r="46" spans="1:76" s="7" customFormat="1" ht="6.75" customHeight="1" x14ac:dyDescent="0.35">
      <c r="B46" s="56"/>
      <c r="C46" s="116"/>
      <c r="D46" s="116"/>
      <c r="E46" s="272"/>
      <c r="F46" s="272"/>
      <c r="G46" s="116"/>
      <c r="H46" s="116"/>
      <c r="I46" s="272"/>
      <c r="J46" s="272"/>
      <c r="K46" s="116"/>
      <c r="L46" s="116"/>
      <c r="M46" s="272"/>
      <c r="N46" s="272"/>
      <c r="O46" s="116"/>
      <c r="P46" s="116"/>
      <c r="Q46" s="272"/>
      <c r="R46" s="272"/>
      <c r="S46" s="272"/>
      <c r="T46" s="116"/>
      <c r="U46" s="272"/>
      <c r="V46" s="272"/>
      <c r="W46" s="272"/>
      <c r="X46" s="116"/>
      <c r="Y46" s="272"/>
      <c r="Z46" s="272"/>
      <c r="AA46" s="272"/>
      <c r="AB46" s="116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80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</row>
    <row r="47" spans="1:76" s="7" customFormat="1" x14ac:dyDescent="0.35">
      <c r="A47" s="80"/>
      <c r="B47" s="56" t="str">
        <f>IF(Control!$D$5=1,"Short-Term Investments","Aplicações Financeiras")</f>
        <v>Short-Term Investments</v>
      </c>
      <c r="C47" s="200">
        <v>0</v>
      </c>
      <c r="D47" s="200">
        <v>0</v>
      </c>
      <c r="E47" s="201">
        <v>0</v>
      </c>
      <c r="F47" s="201">
        <v>0</v>
      </c>
      <c r="G47" s="200">
        <v>0</v>
      </c>
      <c r="H47" s="200">
        <v>0</v>
      </c>
      <c r="I47" s="201">
        <v>0</v>
      </c>
      <c r="J47" s="202">
        <v>0</v>
      </c>
      <c r="K47" s="200">
        <v>0</v>
      </c>
      <c r="L47" s="200">
        <v>0</v>
      </c>
      <c r="M47" s="201">
        <v>0</v>
      </c>
      <c r="N47" s="202">
        <v>0</v>
      </c>
      <c r="O47" s="200">
        <v>0</v>
      </c>
      <c r="P47" s="200">
        <v>0</v>
      </c>
      <c r="Q47" s="201">
        <v>-1.645</v>
      </c>
      <c r="R47" s="201">
        <v>-30.231999999999999</v>
      </c>
      <c r="S47" s="201">
        <v>-226.29599999999999</v>
      </c>
      <c r="T47" s="200">
        <v>173.65600000000001</v>
      </c>
      <c r="U47" s="201">
        <v>-207.34800000000001</v>
      </c>
      <c r="V47" s="201">
        <v>44.04</v>
      </c>
      <c r="W47" s="201">
        <v>-20.518000000000001</v>
      </c>
      <c r="X47" s="200">
        <v>74.242999999999995</v>
      </c>
      <c r="Y47" s="201">
        <v>-19.865999999999993</v>
      </c>
      <c r="Z47" s="201">
        <v>156.268</v>
      </c>
      <c r="AA47" s="201">
        <v>53.801000000000016</v>
      </c>
      <c r="AB47" s="200">
        <v>-152</v>
      </c>
      <c r="AC47" s="201">
        <v>-87.364000000000004</v>
      </c>
      <c r="AD47" s="201">
        <v>15.564999999999998</v>
      </c>
      <c r="AE47" s="201">
        <v>159.30900000000003</v>
      </c>
      <c r="AF47" s="201">
        <v>127.65300000000001</v>
      </c>
      <c r="AG47" s="201">
        <v>-123.35300000000001</v>
      </c>
      <c r="AH47" s="201">
        <v>152.1</v>
      </c>
      <c r="AI47" s="201">
        <v>-28.300000000000011</v>
      </c>
      <c r="AJ47" s="201">
        <v>-12.67</v>
      </c>
      <c r="AK47" s="201">
        <v>-38.637</v>
      </c>
      <c r="AL47" s="201">
        <v>-42.429999999999993</v>
      </c>
      <c r="AM47" s="76">
        <v>-373.76300000000003</v>
      </c>
      <c r="AN47" s="201">
        <v>449.012</v>
      </c>
      <c r="AO47" s="201">
        <v>-164.60500000000002</v>
      </c>
      <c r="AP47" s="201">
        <v>-19.248999999999967</v>
      </c>
      <c r="AQ47" s="76">
        <v>-200.05800000000002</v>
      </c>
      <c r="AR47" s="76">
        <v>252.2</v>
      </c>
      <c r="AS47" s="76">
        <v>-111.1</v>
      </c>
      <c r="AT47" s="76">
        <v>58.200000000000017</v>
      </c>
      <c r="AU47" s="76">
        <v>207.4</v>
      </c>
      <c r="AV47" s="76">
        <v>-303.5</v>
      </c>
      <c r="AW47" s="76">
        <v>-4.4259999999999877</v>
      </c>
      <c r="AX47" s="76">
        <v>155.268</v>
      </c>
      <c r="AY47" s="76">
        <v>151.82499999999999</v>
      </c>
      <c r="AZ47" s="76">
        <v>-114.22499999999999</v>
      </c>
      <c r="BA47" s="76">
        <v>113.571</v>
      </c>
      <c r="BB47" s="76">
        <v>0.38900000000000001</v>
      </c>
      <c r="BC47" s="76">
        <v>-0.36599999999999999</v>
      </c>
      <c r="BD47" s="76">
        <v>-0.214</v>
      </c>
      <c r="BE47" s="76">
        <v>-0.437</v>
      </c>
      <c r="BF47" s="76">
        <v>-0.47899999999999998</v>
      </c>
      <c r="BG47" s="76">
        <v>0.34100000000000003</v>
      </c>
      <c r="BH47" s="76">
        <v>-0.92300000000000004</v>
      </c>
      <c r="BI47" s="249"/>
      <c r="BJ47" s="76">
        <v>0</v>
      </c>
      <c r="BK47" s="76">
        <v>0</v>
      </c>
      <c r="BL47" s="76">
        <v>0</v>
      </c>
      <c r="BM47" s="76">
        <v>0</v>
      </c>
      <c r="BN47" s="76">
        <v>-258.173</v>
      </c>
      <c r="BO47" s="76">
        <v>-10.17</v>
      </c>
      <c r="BP47" s="76">
        <v>264.44600000000003</v>
      </c>
      <c r="BQ47" s="76">
        <v>-64.489999999999995</v>
      </c>
      <c r="BR47" s="76">
        <v>128.1</v>
      </c>
      <c r="BS47" s="76">
        <v>-467.5</v>
      </c>
      <c r="BT47" s="76">
        <v>65.099999999999994</v>
      </c>
      <c r="BU47" s="76">
        <v>406.7</v>
      </c>
      <c r="BV47" s="76">
        <v>-0.83299999999999996</v>
      </c>
      <c r="BW47" s="76">
        <v>-0.63100000000000001</v>
      </c>
      <c r="BX47" s="76">
        <v>-0.78900000000000003</v>
      </c>
    </row>
    <row r="48" spans="1:76" s="7" customFormat="1" outlineLevel="1" x14ac:dyDescent="0.35">
      <c r="B48" s="56" t="str">
        <f>IF(Control!$D$5=1,"Received Dividends","Dividendos Recebidos")</f>
        <v>Received Dividends</v>
      </c>
      <c r="C48" s="200">
        <v>0</v>
      </c>
      <c r="D48" s="200">
        <v>0</v>
      </c>
      <c r="E48" s="201">
        <v>0</v>
      </c>
      <c r="F48" s="201">
        <v>0</v>
      </c>
      <c r="G48" s="200">
        <v>0</v>
      </c>
      <c r="H48" s="203">
        <v>0</v>
      </c>
      <c r="I48" s="201">
        <v>0</v>
      </c>
      <c r="J48" s="202">
        <v>0</v>
      </c>
      <c r="K48" s="200">
        <v>0</v>
      </c>
      <c r="L48" s="203">
        <v>0</v>
      </c>
      <c r="M48" s="201">
        <v>0</v>
      </c>
      <c r="N48" s="202">
        <v>0</v>
      </c>
      <c r="O48" s="203">
        <v>0</v>
      </c>
      <c r="P48" s="203">
        <v>0</v>
      </c>
      <c r="Q48" s="202">
        <v>0</v>
      </c>
      <c r="R48" s="202">
        <v>0</v>
      </c>
      <c r="S48" s="202">
        <v>0</v>
      </c>
      <c r="T48" s="203">
        <v>0</v>
      </c>
      <c r="U48" s="202">
        <v>0</v>
      </c>
      <c r="V48" s="202">
        <v>0</v>
      </c>
      <c r="W48" s="202">
        <v>0</v>
      </c>
      <c r="X48" s="203">
        <v>0</v>
      </c>
      <c r="Y48" s="202">
        <v>0</v>
      </c>
      <c r="Z48" s="202">
        <v>0</v>
      </c>
      <c r="AA48" s="202">
        <v>0</v>
      </c>
      <c r="AB48" s="203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76">
        <v>0</v>
      </c>
      <c r="AN48" s="202">
        <v>0</v>
      </c>
      <c r="AO48" s="202">
        <v>0</v>
      </c>
      <c r="AP48" s="202">
        <v>0</v>
      </c>
      <c r="AQ48" s="76">
        <v>0</v>
      </c>
      <c r="AR48" s="76">
        <v>0</v>
      </c>
      <c r="AS48" s="76">
        <v>0</v>
      </c>
      <c r="AT48" s="76">
        <v>0</v>
      </c>
      <c r="AU48" s="76"/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76">
        <v>0</v>
      </c>
      <c r="BB48" s="76">
        <v>0</v>
      </c>
      <c r="BC48" s="76">
        <v>0</v>
      </c>
      <c r="BD48" s="76">
        <v>0</v>
      </c>
      <c r="BE48" s="76">
        <v>0</v>
      </c>
      <c r="BF48" s="76">
        <v>0</v>
      </c>
      <c r="BG48" s="76">
        <v>0</v>
      </c>
      <c r="BH48" s="76">
        <v>0</v>
      </c>
      <c r="BI48" s="249"/>
      <c r="BJ48" s="76">
        <v>0</v>
      </c>
      <c r="BK48" s="76">
        <v>0</v>
      </c>
      <c r="BL48" s="76">
        <v>0</v>
      </c>
      <c r="BM48" s="76">
        <v>0</v>
      </c>
      <c r="BN48" s="76">
        <v>0</v>
      </c>
      <c r="BO48" s="76">
        <v>0</v>
      </c>
      <c r="BP48" s="76">
        <v>0</v>
      </c>
      <c r="BQ48" s="76">
        <v>0</v>
      </c>
      <c r="BR48" s="76">
        <v>0</v>
      </c>
      <c r="BS48" s="76">
        <v>0</v>
      </c>
      <c r="BT48" s="76">
        <v>0</v>
      </c>
      <c r="BU48" s="76">
        <v>0</v>
      </c>
      <c r="BV48" s="76">
        <v>0</v>
      </c>
      <c r="BW48" s="76">
        <v>0</v>
      </c>
      <c r="BX48" s="76"/>
    </row>
    <row r="49" spans="1:76" s="7" customFormat="1" x14ac:dyDescent="0.35">
      <c r="A49" s="80"/>
      <c r="B49" s="56" t="str">
        <f>IF(Control!$D$5=1,"Disposal of Property, Plant and Equipment","Venda Imobilizado")</f>
        <v>Disposal of Property, Plant and Equipment</v>
      </c>
      <c r="C49" s="200">
        <v>0</v>
      </c>
      <c r="D49" s="200">
        <v>0</v>
      </c>
      <c r="E49" s="201">
        <v>0</v>
      </c>
      <c r="F49" s="201">
        <v>0</v>
      </c>
      <c r="G49" s="200">
        <v>0</v>
      </c>
      <c r="H49" s="203">
        <v>0</v>
      </c>
      <c r="I49" s="201">
        <v>0</v>
      </c>
      <c r="J49" s="202">
        <v>0</v>
      </c>
      <c r="K49" s="200">
        <v>0</v>
      </c>
      <c r="L49" s="203">
        <v>0</v>
      </c>
      <c r="M49" s="201">
        <v>0</v>
      </c>
      <c r="N49" s="202">
        <v>0</v>
      </c>
      <c r="O49" s="203">
        <v>0</v>
      </c>
      <c r="P49" s="203">
        <v>0</v>
      </c>
      <c r="Q49" s="202">
        <v>0</v>
      </c>
      <c r="R49" s="202">
        <v>0</v>
      </c>
      <c r="S49" s="202">
        <v>0</v>
      </c>
      <c r="T49" s="203">
        <v>0</v>
      </c>
      <c r="U49" s="202">
        <v>0</v>
      </c>
      <c r="V49" s="202">
        <v>0</v>
      </c>
      <c r="W49" s="202">
        <v>0</v>
      </c>
      <c r="X49" s="203">
        <v>0</v>
      </c>
      <c r="Y49" s="202">
        <v>15</v>
      </c>
      <c r="Z49" s="202">
        <v>2.0689999999999991</v>
      </c>
      <c r="AA49" s="202">
        <v>0.16600000000000037</v>
      </c>
      <c r="AB49" s="203">
        <v>0.2</v>
      </c>
      <c r="AC49" s="202">
        <v>5.3890000000000002</v>
      </c>
      <c r="AD49" s="202">
        <v>-5.5890000000000004</v>
      </c>
      <c r="AE49" s="202">
        <v>6.2679999999999998</v>
      </c>
      <c r="AF49" s="202">
        <v>0</v>
      </c>
      <c r="AG49" s="202">
        <v>0</v>
      </c>
      <c r="AH49" s="202">
        <v>0</v>
      </c>
      <c r="AI49" s="202">
        <v>8.5</v>
      </c>
      <c r="AJ49" s="202">
        <v>4.8490000000000002</v>
      </c>
      <c r="AK49" s="202">
        <v>0</v>
      </c>
      <c r="AL49" s="202">
        <v>2.9079999999999995</v>
      </c>
      <c r="AM49" s="76">
        <v>1.843</v>
      </c>
      <c r="AN49" s="202">
        <v>1.9470000000000001</v>
      </c>
      <c r="AO49" s="202">
        <v>1.9529999999999998</v>
      </c>
      <c r="AP49" s="202">
        <v>2.0779999999999998</v>
      </c>
      <c r="AQ49" s="76">
        <v>2.1219999999999999</v>
      </c>
      <c r="AR49" s="76">
        <v>2.1</v>
      </c>
      <c r="AS49" s="76">
        <v>3.8000000000000003</v>
      </c>
      <c r="AT49" s="76">
        <v>3.8000000000000003</v>
      </c>
      <c r="AU49" s="76">
        <v>0.2</v>
      </c>
      <c r="AV49" s="76">
        <v>0</v>
      </c>
      <c r="AW49" s="76">
        <v>0.33100000000000002</v>
      </c>
      <c r="AX49" s="76">
        <v>0.14699999999999996</v>
      </c>
      <c r="AY49" s="76">
        <v>1.6E-2</v>
      </c>
      <c r="AZ49" s="76">
        <v>0.52600000000000002</v>
      </c>
      <c r="BA49" s="76">
        <v>0.27300000000000002</v>
      </c>
      <c r="BB49" s="76">
        <v>0.2</v>
      </c>
      <c r="BC49" s="76">
        <v>0.44900000000000001</v>
      </c>
      <c r="BD49" s="76">
        <v>0.54800000000000004</v>
      </c>
      <c r="BE49" s="76">
        <v>0.34399999999999997</v>
      </c>
      <c r="BF49" s="76">
        <v>27.113</v>
      </c>
      <c r="BG49" s="76">
        <v>0.59299999999999997</v>
      </c>
      <c r="BH49" s="76">
        <v>0.26</v>
      </c>
      <c r="BI49" s="249"/>
      <c r="BJ49" s="76">
        <v>0</v>
      </c>
      <c r="BK49" s="76">
        <v>0</v>
      </c>
      <c r="BL49" s="76">
        <v>0</v>
      </c>
      <c r="BM49" s="76">
        <v>0</v>
      </c>
      <c r="BN49" s="76">
        <v>0</v>
      </c>
      <c r="BO49" s="76">
        <v>0</v>
      </c>
      <c r="BP49" s="76">
        <v>17.234999999999999</v>
      </c>
      <c r="BQ49" s="76">
        <v>6.2679999999999998</v>
      </c>
      <c r="BR49" s="76">
        <v>8.5</v>
      </c>
      <c r="BS49" s="76">
        <v>9.6</v>
      </c>
      <c r="BT49" s="76">
        <v>8.1</v>
      </c>
      <c r="BU49" s="76">
        <v>6.1</v>
      </c>
      <c r="BV49" s="76">
        <v>0.49399999999999999</v>
      </c>
      <c r="BW49" s="76">
        <v>1.46</v>
      </c>
      <c r="BX49" s="76">
        <v>28.597999999999999</v>
      </c>
    </row>
    <row r="50" spans="1:76" s="7" customFormat="1" x14ac:dyDescent="0.35">
      <c r="A50" s="80"/>
      <c r="B50" s="56" t="str">
        <f>IF(Control!$D$5=1,"Disposal of Investments","Venda de Investimentos")</f>
        <v>Disposal of Investments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-148.902947869325</v>
      </c>
      <c r="BI50" s="249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</row>
    <row r="51" spans="1:76" s="7" customFormat="1" x14ac:dyDescent="0.35">
      <c r="A51" s="80"/>
      <c r="B51" s="56" t="str">
        <f>IF(Control!$D$5=1,"Additions to Intagible Assets","Investimentos em Intangível")</f>
        <v>Additions to Intagible Assets</v>
      </c>
      <c r="C51" s="200">
        <v>0</v>
      </c>
      <c r="D51" s="200">
        <v>-0.03</v>
      </c>
      <c r="E51" s="201">
        <v>-0.16300000000000001</v>
      </c>
      <c r="F51" s="202">
        <v>9.2999999999999999E-2</v>
      </c>
      <c r="G51" s="200">
        <v>-0.23400000000000001</v>
      </c>
      <c r="H51" s="203">
        <v>1.6E-2</v>
      </c>
      <c r="I51" s="201">
        <v>-4.1999999999999996E-2</v>
      </c>
      <c r="J51" s="202">
        <v>-7.400000000000001E-2</v>
      </c>
      <c r="K51" s="200">
        <v>-2.6909999999999998</v>
      </c>
      <c r="L51" s="203">
        <v>-2.5000000000000001E-2</v>
      </c>
      <c r="M51" s="201">
        <v>-0.17</v>
      </c>
      <c r="N51" s="202">
        <v>-0.16099999999999998</v>
      </c>
      <c r="O51" s="203">
        <v>-10.455</v>
      </c>
      <c r="P51" s="203">
        <v>-0.505</v>
      </c>
      <c r="Q51" s="202">
        <v>-0.96000000000000008</v>
      </c>
      <c r="R51" s="202">
        <v>-137.261</v>
      </c>
      <c r="S51" s="202">
        <v>137.63900000000001</v>
      </c>
      <c r="T51" s="203">
        <v>-5.8999999999999997E-2</v>
      </c>
      <c r="U51" s="202">
        <v>0</v>
      </c>
      <c r="V51" s="202">
        <v>5.8999999999999997E-2</v>
      </c>
      <c r="W51" s="202">
        <v>-0.32800000000000001</v>
      </c>
      <c r="X51" s="203">
        <v>-0.77400000000000002</v>
      </c>
      <c r="Y51" s="202">
        <v>-6.7999999999999949E-2</v>
      </c>
      <c r="Z51" s="202">
        <v>-0.10299999999999998</v>
      </c>
      <c r="AA51" s="202">
        <v>-0.17700000000000016</v>
      </c>
      <c r="AB51" s="203">
        <v>0</v>
      </c>
      <c r="AC51" s="202">
        <v>-0.55200000000000005</v>
      </c>
      <c r="AD51" s="202">
        <v>0</v>
      </c>
      <c r="AE51" s="202">
        <v>-0.59299999999999997</v>
      </c>
      <c r="AF51" s="202">
        <v>-0.372</v>
      </c>
      <c r="AG51" s="202">
        <v>-0.42800000000000005</v>
      </c>
      <c r="AH51" s="202">
        <v>-0.5</v>
      </c>
      <c r="AI51" s="202">
        <v>-1.8</v>
      </c>
      <c r="AJ51" s="202">
        <v>-0.23300000000000001</v>
      </c>
      <c r="AK51" s="202">
        <v>-1.8969999999999998</v>
      </c>
      <c r="AL51" s="202">
        <v>-1.6270000000000002</v>
      </c>
      <c r="AM51" s="76">
        <v>1.2570000000000001</v>
      </c>
      <c r="AN51" s="202">
        <v>-5.0999999999999997E-2</v>
      </c>
      <c r="AO51" s="202">
        <v>-1.149</v>
      </c>
      <c r="AP51" s="202">
        <v>-6.0000000000000053E-2</v>
      </c>
      <c r="AQ51" s="76">
        <v>-3.54</v>
      </c>
      <c r="AR51" s="76">
        <v>0</v>
      </c>
      <c r="AS51" s="76">
        <v>0</v>
      </c>
      <c r="AT51" s="76">
        <v>-5.8</v>
      </c>
      <c r="AU51" s="76">
        <v>26.4</v>
      </c>
      <c r="AV51" s="76">
        <v>-9.4</v>
      </c>
      <c r="AW51" s="76">
        <v>-5.0579999999999998</v>
      </c>
      <c r="AX51" s="76">
        <v>-3.2200000000000006</v>
      </c>
      <c r="AY51" s="76">
        <v>-1.403</v>
      </c>
      <c r="AZ51" s="76">
        <v>-2.395</v>
      </c>
      <c r="BA51" s="76">
        <v>-5.1639999999999997</v>
      </c>
      <c r="BB51" s="76">
        <v>-5.7</v>
      </c>
      <c r="BC51" s="76">
        <v>-7.2949999999999999</v>
      </c>
      <c r="BD51" s="76">
        <v>-7.34</v>
      </c>
      <c r="BE51" s="76">
        <v>-8.1609999999999996</v>
      </c>
      <c r="BF51" s="76">
        <v>-201.19300000000001</v>
      </c>
      <c r="BG51" s="76">
        <v>141.792</v>
      </c>
      <c r="BH51" s="76">
        <v>-2.5550000000000002</v>
      </c>
      <c r="BI51" s="249"/>
      <c r="BJ51" s="76">
        <v>-0.75</v>
      </c>
      <c r="BK51" s="76">
        <v>-0.33400000000000002</v>
      </c>
      <c r="BL51" s="76">
        <v>-2.7909999999999999</v>
      </c>
      <c r="BM51" s="76">
        <v>-10.811</v>
      </c>
      <c r="BN51" s="76">
        <v>-1.087</v>
      </c>
      <c r="BO51" s="76">
        <v>-0.32800000000000001</v>
      </c>
      <c r="BP51" s="76">
        <v>-1.1220000000000001</v>
      </c>
      <c r="BQ51" s="76">
        <v>-1.145</v>
      </c>
      <c r="BR51" s="76">
        <v>-3.1</v>
      </c>
      <c r="BS51" s="76">
        <v>-2.5</v>
      </c>
      <c r="BT51" s="76">
        <v>-4.8</v>
      </c>
      <c r="BU51" s="76">
        <v>-10.066000000000001</v>
      </c>
      <c r="BV51" s="76">
        <v>-19.081</v>
      </c>
      <c r="BW51" s="76">
        <v>-20.533000000000001</v>
      </c>
      <c r="BX51" s="76">
        <v>-74.902000000000001</v>
      </c>
    </row>
    <row r="52" spans="1:76" s="7" customFormat="1" x14ac:dyDescent="0.35">
      <c r="A52" s="80"/>
      <c r="B52" s="56" t="str">
        <f>IF(Control!$D$5=1,"Additions to Investments","Adições a Investimentos")</f>
        <v>Additions to Investments</v>
      </c>
      <c r="C52" s="200">
        <v>0</v>
      </c>
      <c r="D52" s="200">
        <v>0</v>
      </c>
      <c r="E52" s="201">
        <v>0</v>
      </c>
      <c r="F52" s="202">
        <v>-6.6</v>
      </c>
      <c r="G52" s="200">
        <v>2.5729999999999995</v>
      </c>
      <c r="H52" s="203">
        <v>0</v>
      </c>
      <c r="I52" s="201">
        <v>0</v>
      </c>
      <c r="J52" s="202">
        <v>0</v>
      </c>
      <c r="K52" s="200">
        <v>-32.450000000000003</v>
      </c>
      <c r="L52" s="203">
        <v>0</v>
      </c>
      <c r="M52" s="201">
        <v>-5.5750000000000002</v>
      </c>
      <c r="N52" s="202">
        <v>-0.71300000000000008</v>
      </c>
      <c r="O52" s="203">
        <v>6.2880000000000003</v>
      </c>
      <c r="P52" s="203">
        <v>-157.67400000000001</v>
      </c>
      <c r="Q52" s="202">
        <v>74.179000000000002</v>
      </c>
      <c r="R52" s="202">
        <v>-37.799999999999997</v>
      </c>
      <c r="S52" s="202">
        <v>-79.702000000000012</v>
      </c>
      <c r="T52" s="203">
        <v>0</v>
      </c>
      <c r="U52" s="202">
        <v>-11.961</v>
      </c>
      <c r="V52" s="202">
        <v>-101.18300000000001</v>
      </c>
      <c r="W52" s="202">
        <v>0</v>
      </c>
      <c r="X52" s="203">
        <v>-47.386000000000003</v>
      </c>
      <c r="Y52" s="202">
        <v>0</v>
      </c>
      <c r="Z52" s="202">
        <v>-74.453000000000003</v>
      </c>
      <c r="AA52" s="202">
        <v>0</v>
      </c>
      <c r="AB52" s="203">
        <v>-2.6</v>
      </c>
      <c r="AC52" s="202">
        <v>-3.8059999999999996</v>
      </c>
      <c r="AD52" s="202">
        <v>-133.256</v>
      </c>
      <c r="AE52" s="202">
        <v>-2.875</v>
      </c>
      <c r="AF52" s="202">
        <v>0</v>
      </c>
      <c r="AG52" s="202">
        <v>-40.4</v>
      </c>
      <c r="AH52" s="202">
        <v>-84.728000000000009</v>
      </c>
      <c r="AI52" s="202">
        <v>2.8000000000005798E-2</v>
      </c>
      <c r="AJ52" s="202">
        <v>0</v>
      </c>
      <c r="AK52" s="202">
        <v>0</v>
      </c>
      <c r="AL52" s="202">
        <v>-15.422000000000001</v>
      </c>
      <c r="AM52" s="76">
        <v>2.2000000000000242E-2</v>
      </c>
      <c r="AN52" s="202">
        <v>0</v>
      </c>
      <c r="AO52" s="202">
        <v>0</v>
      </c>
      <c r="AP52" s="202">
        <v>0</v>
      </c>
      <c r="AQ52" s="76">
        <v>0</v>
      </c>
      <c r="AR52" s="76">
        <v>-30.4</v>
      </c>
      <c r="AS52" s="76">
        <v>-50.4</v>
      </c>
      <c r="AT52" s="76">
        <v>0</v>
      </c>
      <c r="AU52" s="76">
        <v>-168.2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>
        <v>0</v>
      </c>
      <c r="BD52" s="76">
        <v>0</v>
      </c>
      <c r="BE52" s="76">
        <v>0</v>
      </c>
      <c r="BF52" s="76">
        <v>0</v>
      </c>
      <c r="BG52" s="76">
        <v>-416.37700000000001</v>
      </c>
      <c r="BH52" s="76">
        <v>3.6669999999999998</v>
      </c>
      <c r="BI52" s="249"/>
      <c r="BJ52" s="76">
        <v>-96.747</v>
      </c>
      <c r="BK52" s="76">
        <v>-4.0270000000000001</v>
      </c>
      <c r="BL52" s="76">
        <v>-32.450000000000003</v>
      </c>
      <c r="BM52" s="76">
        <v>0</v>
      </c>
      <c r="BN52" s="76">
        <v>-200.99700000000001</v>
      </c>
      <c r="BO52" s="76">
        <v>-113.14400000000001</v>
      </c>
      <c r="BP52" s="76">
        <v>-121.839</v>
      </c>
      <c r="BQ52" s="76">
        <v>-142.53700000000001</v>
      </c>
      <c r="BR52" s="76">
        <v>-125.1</v>
      </c>
      <c r="BS52" s="76">
        <v>-15.4</v>
      </c>
      <c r="BT52" s="76">
        <v>0</v>
      </c>
      <c r="BU52" s="76">
        <v>-140</v>
      </c>
      <c r="BV52" s="76">
        <v>0</v>
      </c>
      <c r="BW52" s="76">
        <v>0</v>
      </c>
      <c r="BX52" s="76">
        <v>-416.37700000000001</v>
      </c>
    </row>
    <row r="53" spans="1:76" s="7" customFormat="1" x14ac:dyDescent="0.35">
      <c r="A53" s="80"/>
      <c r="B53" s="287" t="str">
        <f>IF(Control!$D$5=1,"Capital Expenditures","Adições Imobilizado")</f>
        <v>Capital Expenditures</v>
      </c>
      <c r="C53" s="200">
        <v>0</v>
      </c>
      <c r="D53" s="200">
        <v>-1.9039999999999999</v>
      </c>
      <c r="E53" s="201">
        <v>-14.452999999999999</v>
      </c>
      <c r="F53" s="202">
        <v>-54.343000000000004</v>
      </c>
      <c r="G53" s="200">
        <v>29.745000000000005</v>
      </c>
      <c r="H53" s="203">
        <v>-3.0169999999999999</v>
      </c>
      <c r="I53" s="201">
        <v>-9.1470000000000002</v>
      </c>
      <c r="J53" s="202">
        <v>-17.335999999999999</v>
      </c>
      <c r="K53" s="200">
        <v>-52.614999999999995</v>
      </c>
      <c r="L53" s="203">
        <v>-17.635000000000002</v>
      </c>
      <c r="M53" s="201">
        <v>-20.492000000000001</v>
      </c>
      <c r="N53" s="202">
        <v>-22.152000000000001</v>
      </c>
      <c r="O53" s="203">
        <v>-25.208999999999996</v>
      </c>
      <c r="P53" s="203">
        <v>-12.584</v>
      </c>
      <c r="Q53" s="202">
        <v>-11.785</v>
      </c>
      <c r="R53" s="202">
        <v>-11.567999999999998</v>
      </c>
      <c r="S53" s="202">
        <v>-33.912999999999997</v>
      </c>
      <c r="T53" s="203">
        <v>-20.866</v>
      </c>
      <c r="U53" s="202">
        <v>-6.2240000000000002</v>
      </c>
      <c r="V53" s="202">
        <v>-20.061000000000003</v>
      </c>
      <c r="W53" s="202">
        <v>-21.17499999999999</v>
      </c>
      <c r="X53" s="203">
        <v>-24.26</v>
      </c>
      <c r="Y53" s="202">
        <v>-30.764999999999997</v>
      </c>
      <c r="Z53" s="202">
        <v>-19.029000000000003</v>
      </c>
      <c r="AA53" s="202">
        <v>-34.575000000000003</v>
      </c>
      <c r="AB53" s="203">
        <v>-19.7</v>
      </c>
      <c r="AC53" s="202">
        <v>-13.199000000000002</v>
      </c>
      <c r="AD53" s="202">
        <v>-6.8070000000000022</v>
      </c>
      <c r="AE53" s="202">
        <v>-30.37299999999999</v>
      </c>
      <c r="AF53" s="202">
        <v>-28.082999999999998</v>
      </c>
      <c r="AG53" s="202">
        <v>-17.117000000000004</v>
      </c>
      <c r="AH53" s="202">
        <v>-13</v>
      </c>
      <c r="AI53" s="202">
        <v>-23.399999999999991</v>
      </c>
      <c r="AJ53" s="202">
        <v>-12.914</v>
      </c>
      <c r="AK53" s="202">
        <v>-13.631000000000002</v>
      </c>
      <c r="AL53" s="202">
        <v>-17.415999999999997</v>
      </c>
      <c r="AM53" s="76">
        <v>-27.039000000000001</v>
      </c>
      <c r="AN53" s="202">
        <v>-15.016</v>
      </c>
      <c r="AO53" s="202">
        <v>-31.084000000000003</v>
      </c>
      <c r="AP53" s="202">
        <v>-25.600999999999992</v>
      </c>
      <c r="AQ53" s="76">
        <v>-27.999000000000009</v>
      </c>
      <c r="AR53" s="76">
        <v>-0.4</v>
      </c>
      <c r="AS53" s="76">
        <v>-0.29999999999999993</v>
      </c>
      <c r="AT53" s="76">
        <v>-50.000000000000014</v>
      </c>
      <c r="AU53" s="76">
        <v>-71.900000000000006</v>
      </c>
      <c r="AV53" s="76">
        <v>-24</v>
      </c>
      <c r="AW53" s="76">
        <v>-39.634</v>
      </c>
      <c r="AX53" s="76">
        <v>-26.725999999999999</v>
      </c>
      <c r="AY53" s="76">
        <v>-25.79</v>
      </c>
      <c r="AZ53" s="76">
        <v>-18.440000000000001</v>
      </c>
      <c r="BA53" s="76">
        <v>-17.927</v>
      </c>
      <c r="BB53" s="76">
        <v>-85.2</v>
      </c>
      <c r="BC53" s="76">
        <v>-72.707999999999998</v>
      </c>
      <c r="BD53" s="76">
        <v>-37.491999999999997</v>
      </c>
      <c r="BE53" s="76">
        <v>-31.212</v>
      </c>
      <c r="BF53" s="76">
        <v>-465.24700000000001</v>
      </c>
      <c r="BG53" s="76">
        <v>372.96800000000002</v>
      </c>
      <c r="BH53" s="76">
        <v>-44.664427999891998</v>
      </c>
      <c r="BI53" s="249"/>
      <c r="BJ53" s="76">
        <v>-27.082000000000001</v>
      </c>
      <c r="BK53" s="76">
        <v>-40.954999999999998</v>
      </c>
      <c r="BL53" s="76">
        <v>-82.114999999999995</v>
      </c>
      <c r="BM53" s="76">
        <v>-85.488</v>
      </c>
      <c r="BN53" s="76">
        <v>-69.849999999999994</v>
      </c>
      <c r="BO53" s="76">
        <v>-68.325999999999993</v>
      </c>
      <c r="BP53" s="76">
        <v>-108.629</v>
      </c>
      <c r="BQ53" s="76">
        <v>-70.078999999999994</v>
      </c>
      <c r="BR53" s="76">
        <v>-81.599999999999994</v>
      </c>
      <c r="BS53" s="76">
        <v>-71</v>
      </c>
      <c r="BT53" s="76">
        <v>-99.7</v>
      </c>
      <c r="BU53" s="76">
        <v>-185.54</v>
      </c>
      <c r="BV53" s="76">
        <v>-116.15</v>
      </c>
      <c r="BW53" s="76">
        <v>-194.256</v>
      </c>
      <c r="BX53" s="76">
        <v>-160.983</v>
      </c>
    </row>
    <row r="54" spans="1:76" s="7" customFormat="1" x14ac:dyDescent="0.35">
      <c r="B54" s="287" t="str">
        <f>IF(Control!$D$5=1,"Cash from Acquisitions/Subsidiaries","Caixa advindo de aquisições/subsidiárias")</f>
        <v>Cash from Acquisitions/Subsidiaries</v>
      </c>
      <c r="C54" s="200">
        <v>0</v>
      </c>
      <c r="D54" s="200">
        <v>0</v>
      </c>
      <c r="E54" s="201">
        <v>0</v>
      </c>
      <c r="F54" s="202">
        <v>0</v>
      </c>
      <c r="G54" s="200">
        <v>0</v>
      </c>
      <c r="H54" s="203">
        <v>0</v>
      </c>
      <c r="I54" s="201">
        <v>0</v>
      </c>
      <c r="J54" s="202">
        <v>0</v>
      </c>
      <c r="K54" s="200">
        <v>0</v>
      </c>
      <c r="L54" s="203">
        <v>0</v>
      </c>
      <c r="M54" s="201">
        <v>0</v>
      </c>
      <c r="N54" s="202">
        <v>0</v>
      </c>
      <c r="O54" s="203">
        <v>0</v>
      </c>
      <c r="P54" s="203">
        <v>0</v>
      </c>
      <c r="Q54" s="202">
        <v>0</v>
      </c>
      <c r="R54" s="202">
        <v>0</v>
      </c>
      <c r="S54" s="202">
        <v>0</v>
      </c>
      <c r="T54" s="203">
        <v>0</v>
      </c>
      <c r="U54" s="202">
        <v>0</v>
      </c>
      <c r="V54" s="202">
        <v>0</v>
      </c>
      <c r="W54" s="202">
        <v>0</v>
      </c>
      <c r="X54" s="203">
        <v>0</v>
      </c>
      <c r="Y54" s="202">
        <v>0</v>
      </c>
      <c r="Z54" s="202">
        <v>0</v>
      </c>
      <c r="AA54" s="202">
        <v>0.30599999999999999</v>
      </c>
      <c r="AB54" s="203">
        <v>0</v>
      </c>
      <c r="AC54" s="202">
        <v>0</v>
      </c>
      <c r="AD54" s="202">
        <v>0</v>
      </c>
      <c r="AE54" s="202">
        <v>3.6120000000000001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76">
        <v>0</v>
      </c>
      <c r="AN54" s="202">
        <v>0</v>
      </c>
      <c r="AO54" s="202">
        <v>0</v>
      </c>
      <c r="AP54" s="202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29.242000000000001</v>
      </c>
      <c r="BH54" s="76">
        <v>7.9697819356429997</v>
      </c>
      <c r="BI54" s="249"/>
      <c r="BJ54" s="76">
        <v>0</v>
      </c>
      <c r="BK54" s="76">
        <v>0</v>
      </c>
      <c r="BL54" s="76">
        <v>0</v>
      </c>
      <c r="BM54" s="76">
        <v>0</v>
      </c>
      <c r="BN54" s="76">
        <v>0</v>
      </c>
      <c r="BO54" s="76">
        <v>0</v>
      </c>
      <c r="BP54" s="76">
        <v>0.30599999999999999</v>
      </c>
      <c r="BQ54" s="76">
        <v>3.6120000000000001</v>
      </c>
      <c r="BR54" s="76">
        <v>0</v>
      </c>
      <c r="BS54" s="76">
        <v>0</v>
      </c>
      <c r="BT54" s="76">
        <v>0</v>
      </c>
      <c r="BU54" s="76">
        <v>26.4</v>
      </c>
      <c r="BV54" s="76">
        <v>0</v>
      </c>
      <c r="BW54" s="76">
        <v>0</v>
      </c>
      <c r="BX54" s="76">
        <v>29.242000000000001</v>
      </c>
    </row>
    <row r="55" spans="1:76" s="80" customFormat="1" x14ac:dyDescent="0.35">
      <c r="B55" s="281" t="str">
        <f>IF(Control!$D$5=1,"Investment Activities Cash Flow","Fluxo de Caixa de Investimentos")</f>
        <v>Investment Activities Cash Flow</v>
      </c>
      <c r="C55" s="282">
        <f t="shared" ref="C55:AH55" si="9">SUM(C47:C54)</f>
        <v>0</v>
      </c>
      <c r="D55" s="282">
        <f t="shared" si="9"/>
        <v>-1.9339999999999999</v>
      </c>
      <c r="E55" s="282">
        <f t="shared" si="9"/>
        <v>-14.616</v>
      </c>
      <c r="F55" s="282">
        <f t="shared" si="9"/>
        <v>-60.85</v>
      </c>
      <c r="G55" s="282">
        <f t="shared" si="9"/>
        <v>32.084000000000003</v>
      </c>
      <c r="H55" s="282">
        <f t="shared" si="9"/>
        <v>-3.0009999999999999</v>
      </c>
      <c r="I55" s="282">
        <f t="shared" si="9"/>
        <v>-9.1890000000000001</v>
      </c>
      <c r="J55" s="282">
        <f t="shared" si="9"/>
        <v>-17.41</v>
      </c>
      <c r="K55" s="282">
        <f t="shared" si="9"/>
        <v>-87.756</v>
      </c>
      <c r="L55" s="282">
        <f t="shared" si="9"/>
        <v>-17.66</v>
      </c>
      <c r="M55" s="282">
        <f t="shared" si="9"/>
        <v>-26.237000000000002</v>
      </c>
      <c r="N55" s="282">
        <f t="shared" si="9"/>
        <v>-23.026</v>
      </c>
      <c r="O55" s="282">
        <f t="shared" si="9"/>
        <v>-29.375999999999998</v>
      </c>
      <c r="P55" s="282">
        <f t="shared" si="9"/>
        <v>-170.76300000000001</v>
      </c>
      <c r="Q55" s="282">
        <f t="shared" si="9"/>
        <v>59.789000000000001</v>
      </c>
      <c r="R55" s="282">
        <f t="shared" si="9"/>
        <v>-216.86099999999999</v>
      </c>
      <c r="S55" s="282">
        <f t="shared" si="9"/>
        <v>-202.27199999999999</v>
      </c>
      <c r="T55" s="282">
        <f t="shared" si="9"/>
        <v>152.73099999999999</v>
      </c>
      <c r="U55" s="282">
        <f t="shared" si="9"/>
        <v>-225.53300000000002</v>
      </c>
      <c r="V55" s="282">
        <f t="shared" si="9"/>
        <v>-77.14500000000001</v>
      </c>
      <c r="W55" s="282">
        <f t="shared" si="9"/>
        <v>-42.020999999999987</v>
      </c>
      <c r="X55" s="282">
        <f t="shared" si="9"/>
        <v>1.8229999999999897</v>
      </c>
      <c r="Y55" s="282">
        <f t="shared" si="9"/>
        <v>-35.698999999999991</v>
      </c>
      <c r="Z55" s="282">
        <f t="shared" si="9"/>
        <v>64.751999999999981</v>
      </c>
      <c r="AA55" s="282">
        <f t="shared" si="9"/>
        <v>19.521000000000011</v>
      </c>
      <c r="AB55" s="282">
        <f t="shared" si="9"/>
        <v>-174.1</v>
      </c>
      <c r="AC55" s="282">
        <f t="shared" si="9"/>
        <v>-99.532000000000011</v>
      </c>
      <c r="AD55" s="282">
        <f t="shared" si="9"/>
        <v>-130.08699999999999</v>
      </c>
      <c r="AE55" s="282">
        <f t="shared" si="9"/>
        <v>135.34800000000004</v>
      </c>
      <c r="AF55" s="282">
        <f t="shared" si="9"/>
        <v>99.198000000000008</v>
      </c>
      <c r="AG55" s="282">
        <f t="shared" si="9"/>
        <v>-181.298</v>
      </c>
      <c r="AH55" s="282">
        <f t="shared" si="9"/>
        <v>53.871999999999986</v>
      </c>
      <c r="AI55" s="282">
        <f t="shared" ref="AI55:BH55" si="10">SUM(AI47:AI54)</f>
        <v>-44.971999999999994</v>
      </c>
      <c r="AJ55" s="282">
        <f t="shared" si="10"/>
        <v>-20.968</v>
      </c>
      <c r="AK55" s="282">
        <f t="shared" si="10"/>
        <v>-54.164999999999999</v>
      </c>
      <c r="AL55" s="282">
        <f t="shared" si="10"/>
        <v>-73.986999999999995</v>
      </c>
      <c r="AM55" s="282">
        <f t="shared" si="10"/>
        <v>-397.68</v>
      </c>
      <c r="AN55" s="282">
        <f t="shared" si="10"/>
        <v>435.892</v>
      </c>
      <c r="AO55" s="282">
        <f t="shared" si="10"/>
        <v>-194.88500000000002</v>
      </c>
      <c r="AP55" s="282">
        <f t="shared" si="10"/>
        <v>-42.831999999999958</v>
      </c>
      <c r="AQ55" s="282">
        <f t="shared" si="10"/>
        <v>-229.47500000000002</v>
      </c>
      <c r="AR55" s="282">
        <f t="shared" si="10"/>
        <v>223.49999999999997</v>
      </c>
      <c r="AS55" s="282">
        <f t="shared" si="10"/>
        <v>-158</v>
      </c>
      <c r="AT55" s="282">
        <f t="shared" si="10"/>
        <v>6.2000000000000028</v>
      </c>
      <c r="AU55" s="282">
        <f t="shared" si="10"/>
        <v>-6.0999999999999943</v>
      </c>
      <c r="AV55" s="282">
        <f t="shared" si="10"/>
        <v>-336.9</v>
      </c>
      <c r="AW55" s="282">
        <f t="shared" si="10"/>
        <v>-48.786999999999992</v>
      </c>
      <c r="AX55" s="282">
        <f t="shared" si="10"/>
        <v>125.46899999999999</v>
      </c>
      <c r="AY55" s="282">
        <f t="shared" si="10"/>
        <v>124.648</v>
      </c>
      <c r="AZ55" s="282">
        <f t="shared" si="10"/>
        <v>-134.53399999999999</v>
      </c>
      <c r="BA55" s="282">
        <f t="shared" si="10"/>
        <v>90.752999999999986</v>
      </c>
      <c r="BB55" s="282">
        <f t="shared" si="10"/>
        <v>-90.311000000000007</v>
      </c>
      <c r="BC55" s="282">
        <f t="shared" si="10"/>
        <v>-79.92</v>
      </c>
      <c r="BD55" s="282">
        <f t="shared" si="10"/>
        <v>-44.497999999999998</v>
      </c>
      <c r="BE55" s="282">
        <f t="shared" si="10"/>
        <v>-39.466000000000001</v>
      </c>
      <c r="BF55" s="282">
        <f t="shared" si="10"/>
        <v>-639.80600000000004</v>
      </c>
      <c r="BG55" s="282">
        <f t="shared" si="10"/>
        <v>128.559</v>
      </c>
      <c r="BH55" s="282">
        <f t="shared" si="10"/>
        <v>-185.14859393357401</v>
      </c>
      <c r="BI55" s="282"/>
      <c r="BJ55" s="282">
        <f t="shared" ref="BJ55:BX55" si="11">SUM(BJ47:BJ54)</f>
        <v>-124.57900000000001</v>
      </c>
      <c r="BK55" s="282">
        <f t="shared" si="11"/>
        <v>-45.315999999999995</v>
      </c>
      <c r="BL55" s="282">
        <f t="shared" si="11"/>
        <v>-117.35599999999999</v>
      </c>
      <c r="BM55" s="282">
        <f t="shared" si="11"/>
        <v>-96.299000000000007</v>
      </c>
      <c r="BN55" s="282">
        <f t="shared" si="11"/>
        <v>-530.10699999999997</v>
      </c>
      <c r="BO55" s="282">
        <f t="shared" si="11"/>
        <v>-191.96800000000002</v>
      </c>
      <c r="BP55" s="282">
        <f t="shared" si="11"/>
        <v>50.39700000000002</v>
      </c>
      <c r="BQ55" s="282">
        <f t="shared" si="11"/>
        <v>-268.37099999999998</v>
      </c>
      <c r="BR55" s="282">
        <f t="shared" si="11"/>
        <v>-73.199999999999989</v>
      </c>
      <c r="BS55" s="282">
        <f t="shared" si="11"/>
        <v>-546.79999999999995</v>
      </c>
      <c r="BT55" s="282">
        <f t="shared" si="11"/>
        <v>-31.300000000000011</v>
      </c>
      <c r="BU55" s="282">
        <f t="shared" si="11"/>
        <v>103.59400000000005</v>
      </c>
      <c r="BV55" s="282">
        <f t="shared" si="11"/>
        <v>-135.57</v>
      </c>
      <c r="BW55" s="282">
        <f t="shared" si="11"/>
        <v>-213.96</v>
      </c>
      <c r="BX55" s="282">
        <f t="shared" si="11"/>
        <v>-595.21100000000001</v>
      </c>
    </row>
    <row r="56" spans="1:76" s="7" customFormat="1" ht="6.75" customHeight="1" x14ac:dyDescent="0.35">
      <c r="A56" s="250"/>
      <c r="B56" s="56"/>
      <c r="C56" s="116"/>
      <c r="D56" s="116"/>
      <c r="E56" s="272"/>
      <c r="F56" s="272"/>
      <c r="G56" s="116"/>
      <c r="H56" s="116"/>
      <c r="I56" s="272"/>
      <c r="J56" s="272"/>
      <c r="K56" s="116"/>
      <c r="L56" s="116"/>
      <c r="M56" s="272"/>
      <c r="N56" s="272"/>
      <c r="O56" s="116"/>
      <c r="P56" s="116"/>
      <c r="Q56" s="272"/>
      <c r="R56" s="272"/>
      <c r="S56" s="272"/>
      <c r="T56" s="116"/>
      <c r="U56" s="272"/>
      <c r="V56" s="272"/>
      <c r="W56" s="272"/>
      <c r="X56" s="116"/>
      <c r="Y56" s="272"/>
      <c r="Z56" s="272"/>
      <c r="AA56" s="272"/>
      <c r="AB56" s="116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80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</row>
    <row r="57" spans="1:76" s="7" customFormat="1" x14ac:dyDescent="0.35">
      <c r="B57" s="56" t="str">
        <f>IF(Control!$D$5=1,"Debt Issuance / (Repayment)","Captação (liquidação) de Empréstimos")</f>
        <v>Debt Issuance / (Repayment)</v>
      </c>
      <c r="C57" s="200">
        <v>0</v>
      </c>
      <c r="D57" s="200">
        <v>83.876000000000005</v>
      </c>
      <c r="E57" s="57">
        <v>18.284999999999997</v>
      </c>
      <c r="F57" s="57">
        <v>71.63900000000001</v>
      </c>
      <c r="G57" s="69">
        <v>-87.049000000000007</v>
      </c>
      <c r="H57" s="69">
        <v>-45.256999999999998</v>
      </c>
      <c r="I57" s="57">
        <v>11.562999999999995</v>
      </c>
      <c r="J57" s="57">
        <v>0.19400000000000261</v>
      </c>
      <c r="K57" s="69">
        <v>216.98</v>
      </c>
      <c r="L57" s="69">
        <v>-5.2279999999999998</v>
      </c>
      <c r="M57" s="57">
        <v>123.86</v>
      </c>
      <c r="N57" s="57">
        <v>-101.654</v>
      </c>
      <c r="O57" s="69">
        <v>-14.694000000000003</v>
      </c>
      <c r="P57" s="69">
        <v>110.831</v>
      </c>
      <c r="Q57" s="57">
        <v>131.62</v>
      </c>
      <c r="R57" s="57">
        <v>-37.546999999999997</v>
      </c>
      <c r="S57" s="57">
        <v>17.923000000000002</v>
      </c>
      <c r="T57" s="69">
        <v>69.977000000000004</v>
      </c>
      <c r="U57" s="57">
        <v>74.62</v>
      </c>
      <c r="V57" s="57">
        <v>97.925999999999988</v>
      </c>
      <c r="W57" s="57">
        <v>-24.100999999999999</v>
      </c>
      <c r="X57" s="69">
        <v>48.131</v>
      </c>
      <c r="Y57" s="57">
        <v>158.43600000000001</v>
      </c>
      <c r="Z57" s="57">
        <v>-72.968000000000018</v>
      </c>
      <c r="AA57" s="57">
        <v>10.550000000000011</v>
      </c>
      <c r="AB57" s="69">
        <v>40.200000000000003</v>
      </c>
      <c r="AC57" s="57">
        <v>158.923</v>
      </c>
      <c r="AD57" s="57">
        <v>13.010999999999996</v>
      </c>
      <c r="AE57" s="57">
        <v>-272.952</v>
      </c>
      <c r="AF57" s="57">
        <v>15.05</v>
      </c>
      <c r="AG57" s="57">
        <v>185.35</v>
      </c>
      <c r="AH57" s="57">
        <v>-18.599999999999994</v>
      </c>
      <c r="AI57" s="57">
        <v>-66.800000000000011</v>
      </c>
      <c r="AJ57" s="57">
        <v>-115.143</v>
      </c>
      <c r="AK57" s="57">
        <v>308.93100000000004</v>
      </c>
      <c r="AL57" s="57">
        <v>-200.69400000000002</v>
      </c>
      <c r="AM57" s="76">
        <v>202.90600000000001</v>
      </c>
      <c r="AN57" s="57">
        <v>-242.364</v>
      </c>
      <c r="AO57" s="57">
        <v>243.76399999999998</v>
      </c>
      <c r="AP57" s="57">
        <v>-562.09799999999996</v>
      </c>
      <c r="AQ57" s="76">
        <v>234.29800000000012</v>
      </c>
      <c r="AR57" s="76">
        <v>41.5</v>
      </c>
      <c r="AS57" s="76">
        <v>99.5</v>
      </c>
      <c r="AT57" s="76">
        <v>-87.700000000000045</v>
      </c>
      <c r="AU57" s="76">
        <f>383.9-330.9</f>
        <v>53</v>
      </c>
      <c r="AV57" s="76">
        <v>573.29999999999995</v>
      </c>
      <c r="AW57" s="76">
        <v>96.019999999999982</v>
      </c>
      <c r="AX57" s="76">
        <v>-84.988000000000056</v>
      </c>
      <c r="AY57" s="76">
        <v>-462.22699999999998</v>
      </c>
      <c r="AZ57" s="76">
        <v>1391.5439999999999</v>
      </c>
      <c r="BA57" s="70">
        <v>-468.4</v>
      </c>
      <c r="BB57" s="70">
        <v>-74.8</v>
      </c>
      <c r="BC57" s="70">
        <v>-302</v>
      </c>
      <c r="BD57" s="70">
        <f>722.3-279.8</f>
        <v>442.49999999999994</v>
      </c>
      <c r="BE57" s="70">
        <v>-51.062000000000012</v>
      </c>
      <c r="BF57" s="70">
        <v>1028.3899999999999</v>
      </c>
      <c r="BG57" s="70">
        <v>-380.83499999999998</v>
      </c>
      <c r="BH57" s="70">
        <v>265</v>
      </c>
      <c r="BI57" s="80"/>
      <c r="BJ57" s="76">
        <v>43.792000000000002</v>
      </c>
      <c r="BK57" s="76">
        <v>86.751000000000005</v>
      </c>
      <c r="BL57" s="76">
        <v>183.48</v>
      </c>
      <c r="BM57" s="76">
        <v>2.2839999999999998</v>
      </c>
      <c r="BN57" s="76">
        <v>222.827</v>
      </c>
      <c r="BO57" s="76">
        <v>218.422</v>
      </c>
      <c r="BP57" s="76">
        <v>144.149</v>
      </c>
      <c r="BQ57" s="76">
        <v>-60.817999999999998</v>
      </c>
      <c r="BR57" s="76">
        <v>115</v>
      </c>
      <c r="BS57" s="76">
        <v>196</v>
      </c>
      <c r="BT57" s="76">
        <f>707.736-1034.054</f>
        <v>-326.3180000000001</v>
      </c>
      <c r="BU57" s="76">
        <f>626.693-697.348</f>
        <v>-70.654999999999973</v>
      </c>
      <c r="BV57" s="76">
        <v>122.404</v>
      </c>
      <c r="BW57" s="76">
        <v>546.29999999999995</v>
      </c>
      <c r="BX57" s="76">
        <v>1038.9579999999999</v>
      </c>
    </row>
    <row r="58" spans="1:76" s="7" customFormat="1" x14ac:dyDescent="0.35">
      <c r="B58" s="56" t="str">
        <f>IF(Control!$D$5=1,"Debt Repayment in acquired controlled company","Pagamento de Dívida em controlada adquirida")</f>
        <v>Debt Repayment in acquired controlled company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0</v>
      </c>
      <c r="BG58" s="76">
        <v>-176.77799999999999</v>
      </c>
      <c r="BH58" s="76">
        <v>0</v>
      </c>
      <c r="BI58" s="80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>
        <v>-176.77799999999999</v>
      </c>
    </row>
    <row r="59" spans="1:76" s="7" customFormat="1" x14ac:dyDescent="0.35">
      <c r="B59" s="288" t="str">
        <f>IF(Control!$D$5=1,"Capital Increase","Venda de Participação Acionária")</f>
        <v>Capital Increase</v>
      </c>
      <c r="C59" s="200">
        <v>0</v>
      </c>
      <c r="D59" s="200">
        <v>0</v>
      </c>
      <c r="E59" s="57">
        <v>0</v>
      </c>
      <c r="F59" s="57">
        <v>0</v>
      </c>
      <c r="G59" s="69">
        <v>0</v>
      </c>
      <c r="H59" s="69">
        <v>0</v>
      </c>
      <c r="I59" s="57">
        <v>0</v>
      </c>
      <c r="J59" s="57">
        <v>0</v>
      </c>
      <c r="K59" s="69">
        <v>0</v>
      </c>
      <c r="L59" s="69">
        <v>0</v>
      </c>
      <c r="M59" s="57">
        <v>0</v>
      </c>
      <c r="N59" s="57">
        <v>0</v>
      </c>
      <c r="O59" s="69">
        <v>0</v>
      </c>
      <c r="P59" s="69">
        <v>-13.88</v>
      </c>
      <c r="Q59" s="57">
        <v>13.88</v>
      </c>
      <c r="R59" s="57">
        <v>0</v>
      </c>
      <c r="S59" s="57">
        <v>371.40800000000002</v>
      </c>
      <c r="T59" s="69">
        <v>0</v>
      </c>
      <c r="U59" s="57">
        <v>0</v>
      </c>
      <c r="V59" s="57">
        <v>0</v>
      </c>
      <c r="W59" s="57">
        <v>0</v>
      </c>
      <c r="X59" s="69">
        <v>0</v>
      </c>
      <c r="Y59" s="57">
        <v>0</v>
      </c>
      <c r="Z59" s="57">
        <v>0</v>
      </c>
      <c r="AA59" s="57">
        <v>0</v>
      </c>
      <c r="AB59" s="69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-30</v>
      </c>
      <c r="AH59" s="57">
        <v>30</v>
      </c>
      <c r="AI59" s="57">
        <v>0</v>
      </c>
      <c r="AJ59" s="57">
        <v>0</v>
      </c>
      <c r="AK59" s="57">
        <v>0</v>
      </c>
      <c r="AL59" s="57">
        <v>0</v>
      </c>
      <c r="AM59" s="76">
        <v>0</v>
      </c>
      <c r="AN59" s="57">
        <v>0</v>
      </c>
      <c r="AO59" s="57">
        <v>0</v>
      </c>
      <c r="AP59" s="57">
        <v>0</v>
      </c>
      <c r="AQ59" s="76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0</v>
      </c>
      <c r="BF59" s="76">
        <v>0</v>
      </c>
      <c r="BG59" s="76">
        <v>0</v>
      </c>
      <c r="BH59" s="76">
        <v>0</v>
      </c>
      <c r="BJ59" s="76">
        <v>0</v>
      </c>
      <c r="BK59" s="76">
        <v>0</v>
      </c>
      <c r="BL59" s="76">
        <v>0</v>
      </c>
      <c r="BM59" s="76">
        <v>0</v>
      </c>
      <c r="BN59" s="76">
        <v>371.40800000000002</v>
      </c>
      <c r="BO59" s="76">
        <v>0</v>
      </c>
      <c r="BP59" s="76">
        <v>0</v>
      </c>
      <c r="BQ59" s="76">
        <v>0</v>
      </c>
      <c r="BR59" s="76">
        <v>0</v>
      </c>
      <c r="BS59" s="76">
        <v>0</v>
      </c>
      <c r="BT59" s="76">
        <v>0</v>
      </c>
      <c r="BU59" s="76">
        <v>0</v>
      </c>
      <c r="BV59" s="76">
        <v>0</v>
      </c>
      <c r="BW59" s="76">
        <v>0</v>
      </c>
      <c r="BX59" s="76">
        <v>0</v>
      </c>
    </row>
    <row r="60" spans="1:76" s="7" customFormat="1" x14ac:dyDescent="0.35">
      <c r="B60" s="288" t="s">
        <v>15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76">
        <v>-9.302999999999999</v>
      </c>
      <c r="AX60" s="76">
        <v>-9.3979999999999997</v>
      </c>
      <c r="AY60" s="76">
        <v>-9.4510000000000005</v>
      </c>
      <c r="AZ60" s="76">
        <v>-9.9149999999999991</v>
      </c>
      <c r="BA60" s="76">
        <v>-11.381</v>
      </c>
      <c r="BB60" s="76">
        <v>-9.4</v>
      </c>
      <c r="BC60" s="76">
        <v>-10.321</v>
      </c>
      <c r="BD60" s="76">
        <v>-8.4570000000000007</v>
      </c>
      <c r="BE60" s="76">
        <v>-8.1859999999999999</v>
      </c>
      <c r="BF60" s="76">
        <v>-7.8769999999999998</v>
      </c>
      <c r="BG60" s="76">
        <v>-8.1159999999999997</v>
      </c>
      <c r="BH60" s="76">
        <v>-8.86</v>
      </c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>
        <v>-36.752000000000002</v>
      </c>
      <c r="BW60" s="76">
        <v>-41.05</v>
      </c>
      <c r="BX60" s="76">
        <v>-32.636000000000003</v>
      </c>
    </row>
    <row r="61" spans="1:76" s="7" customFormat="1" x14ac:dyDescent="0.35">
      <c r="B61" s="288" t="str">
        <f>IF(Control!$D$5=1,"Dividends and Interest on Equity Paid","Dividendos e JSCP")</f>
        <v>Dividends and Interest on Equity Paid</v>
      </c>
      <c r="C61" s="200">
        <v>0</v>
      </c>
      <c r="D61" s="200">
        <v>-0.375</v>
      </c>
      <c r="E61" s="57">
        <v>-5.891</v>
      </c>
      <c r="F61" s="57">
        <v>-4.0340000000000007</v>
      </c>
      <c r="G61" s="69">
        <v>-3.8940000000000001</v>
      </c>
      <c r="H61" s="69">
        <v>-3.7589999999999999</v>
      </c>
      <c r="I61" s="57">
        <v>-2.7500000000000004</v>
      </c>
      <c r="J61" s="57">
        <v>-3.391</v>
      </c>
      <c r="K61" s="69">
        <v>-3.3889999999999993</v>
      </c>
      <c r="L61" s="69">
        <v>-3.3159999999999998</v>
      </c>
      <c r="M61" s="57">
        <v>-2.9000000000000004</v>
      </c>
      <c r="N61" s="57">
        <v>-3.1840000000000002</v>
      </c>
      <c r="O61" s="69">
        <v>-3.0749999999999993</v>
      </c>
      <c r="P61" s="69">
        <v>-3.206</v>
      </c>
      <c r="Q61" s="57">
        <v>-2.8000000000000003</v>
      </c>
      <c r="R61" s="57">
        <v>377.41399999999999</v>
      </c>
      <c r="S61" s="57">
        <v>-491.66399999999999</v>
      </c>
      <c r="T61" s="69">
        <v>0</v>
      </c>
      <c r="U61" s="57">
        <v>0</v>
      </c>
      <c r="V61" s="57">
        <v>0</v>
      </c>
      <c r="W61" s="57">
        <v>0</v>
      </c>
      <c r="X61" s="69">
        <v>-33</v>
      </c>
      <c r="Y61" s="57">
        <v>-0.53300000000000125</v>
      </c>
      <c r="Z61" s="57">
        <v>0</v>
      </c>
      <c r="AA61" s="57">
        <v>0</v>
      </c>
      <c r="AB61" s="69">
        <v>-34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-30</v>
      </c>
      <c r="AI61" s="57">
        <v>0</v>
      </c>
      <c r="AJ61" s="57">
        <v>0</v>
      </c>
      <c r="AK61" s="57">
        <v>-73.724000000000004</v>
      </c>
      <c r="AL61" s="57">
        <v>-25</v>
      </c>
      <c r="AM61" s="76">
        <v>-57.975999999999985</v>
      </c>
      <c r="AN61" s="57">
        <v>-100</v>
      </c>
      <c r="AO61" s="57">
        <v>0</v>
      </c>
      <c r="AP61" s="57">
        <v>0</v>
      </c>
      <c r="AQ61" s="76">
        <v>-65</v>
      </c>
      <c r="AR61" s="76">
        <v>0</v>
      </c>
      <c r="AS61" s="76">
        <v>0</v>
      </c>
      <c r="AT61" s="76">
        <v>-20</v>
      </c>
      <c r="AU61" s="76">
        <v>-45</v>
      </c>
      <c r="AV61" s="76">
        <v>-20</v>
      </c>
      <c r="AW61" s="76">
        <v>-21</v>
      </c>
      <c r="AX61" s="76">
        <v>-36</v>
      </c>
      <c r="AY61" s="76">
        <v>-15</v>
      </c>
      <c r="AZ61" s="76">
        <v>-15</v>
      </c>
      <c r="BA61" s="76">
        <v>-15</v>
      </c>
      <c r="BB61" s="76">
        <v>0</v>
      </c>
      <c r="BC61" s="76">
        <v>-185</v>
      </c>
      <c r="BD61" s="76">
        <v>-20</v>
      </c>
      <c r="BE61" s="76">
        <v>-20</v>
      </c>
      <c r="BF61" s="76">
        <v>-25</v>
      </c>
      <c r="BG61" s="76">
        <v>-25</v>
      </c>
      <c r="BH61" s="76">
        <v>-25</v>
      </c>
      <c r="BJ61" s="76">
        <v>-1.75</v>
      </c>
      <c r="BK61" s="76">
        <v>-14.194000000000001</v>
      </c>
      <c r="BL61" s="76">
        <v>-13.289</v>
      </c>
      <c r="BM61" s="76">
        <v>-12.475</v>
      </c>
      <c r="BN61" s="76">
        <v>-120.256</v>
      </c>
      <c r="BO61" s="76">
        <v>0</v>
      </c>
      <c r="BP61" s="76">
        <v>-33.533000000000001</v>
      </c>
      <c r="BQ61" s="76">
        <v>-34</v>
      </c>
      <c r="BR61" s="76">
        <v>-30</v>
      </c>
      <c r="BS61" s="76">
        <v>-156.69999999999999</v>
      </c>
      <c r="BT61" s="76">
        <v>-165</v>
      </c>
      <c r="BU61" s="76">
        <v>-65</v>
      </c>
      <c r="BV61" s="76">
        <f>-52.6-18.4</f>
        <v>-71</v>
      </c>
      <c r="BW61" s="76">
        <v>-215</v>
      </c>
      <c r="BX61" s="76">
        <v>-90</v>
      </c>
    </row>
    <row r="62" spans="1:76" s="7" customFormat="1" x14ac:dyDescent="0.35">
      <c r="B62" s="56" t="str">
        <f>IF(Control!$D$5=1,"Capital Increase","Aumento de Capital")</f>
        <v>Capital Increase</v>
      </c>
      <c r="C62" s="200">
        <v>0</v>
      </c>
      <c r="D62" s="200">
        <v>0</v>
      </c>
      <c r="E62" s="201">
        <v>0</v>
      </c>
      <c r="F62" s="201">
        <v>0</v>
      </c>
      <c r="G62" s="200">
        <v>0</v>
      </c>
      <c r="H62" s="203">
        <v>0</v>
      </c>
      <c r="I62" s="201">
        <v>0</v>
      </c>
      <c r="J62" s="202">
        <v>0</v>
      </c>
      <c r="K62" s="200">
        <v>0</v>
      </c>
      <c r="L62" s="203">
        <v>0</v>
      </c>
      <c r="M62" s="201">
        <v>0</v>
      </c>
      <c r="N62" s="202">
        <v>0</v>
      </c>
      <c r="O62" s="203">
        <v>0</v>
      </c>
      <c r="P62" s="203">
        <v>0</v>
      </c>
      <c r="Q62" s="202">
        <v>0</v>
      </c>
      <c r="R62" s="202">
        <v>0</v>
      </c>
      <c r="S62" s="202">
        <v>0</v>
      </c>
      <c r="T62" s="203">
        <v>0</v>
      </c>
      <c r="U62" s="202">
        <v>0</v>
      </c>
      <c r="V62" s="202">
        <v>-0.32800000000000001</v>
      </c>
      <c r="W62" s="202">
        <v>0.32800000000000001</v>
      </c>
      <c r="X62" s="203">
        <v>0</v>
      </c>
      <c r="Y62" s="202">
        <v>0</v>
      </c>
      <c r="Z62" s="202">
        <v>0</v>
      </c>
      <c r="AA62" s="202">
        <v>0</v>
      </c>
      <c r="AB62" s="203">
        <v>0</v>
      </c>
      <c r="AC62" s="202">
        <v>0</v>
      </c>
      <c r="AD62" s="202">
        <v>6.2679999999999998</v>
      </c>
      <c r="AE62" s="202">
        <v>-6.2679999999999998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2">
        <v>73.724000000000004</v>
      </c>
      <c r="AL62" s="202">
        <v>0</v>
      </c>
      <c r="AM62" s="76">
        <v>-2.4000000000000909E-2</v>
      </c>
      <c r="AN62" s="202">
        <v>0</v>
      </c>
      <c r="AO62" s="202">
        <v>0</v>
      </c>
      <c r="AP62" s="202">
        <v>369</v>
      </c>
      <c r="AQ62" s="76">
        <v>0</v>
      </c>
      <c r="AR62" s="76">
        <v>0</v>
      </c>
      <c r="AS62" s="76">
        <v>0</v>
      </c>
      <c r="AT62" s="76">
        <v>-2.7</v>
      </c>
      <c r="AU62" s="76">
        <v>-0.4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0</v>
      </c>
      <c r="BR62" s="76">
        <v>0</v>
      </c>
      <c r="BS62" s="76">
        <v>73.7</v>
      </c>
      <c r="BT62" s="76">
        <v>369</v>
      </c>
      <c r="BU62" s="76">
        <v>0</v>
      </c>
      <c r="BV62" s="76">
        <v>0</v>
      </c>
      <c r="BW62" s="76">
        <v>0</v>
      </c>
      <c r="BX62" s="76">
        <v>0</v>
      </c>
    </row>
    <row r="63" spans="1:76" s="7" customFormat="1" x14ac:dyDescent="0.35">
      <c r="B63" s="56" t="str">
        <f>IF(Control!$D$5=1,"Costs of shares issuance","Custo na emissão de ações")</f>
        <v>Costs of shares issuance</v>
      </c>
      <c r="C63" s="200">
        <v>0</v>
      </c>
      <c r="D63" s="200">
        <v>0</v>
      </c>
      <c r="E63" s="200">
        <v>0</v>
      </c>
      <c r="F63" s="200">
        <v>0</v>
      </c>
      <c r="G63" s="200">
        <v>0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200">
        <v>0</v>
      </c>
      <c r="AB63" s="200">
        <v>0</v>
      </c>
      <c r="AC63" s="200">
        <v>0</v>
      </c>
      <c r="AD63" s="200">
        <v>0</v>
      </c>
      <c r="AE63" s="200">
        <v>0</v>
      </c>
      <c r="AF63" s="200">
        <v>0</v>
      </c>
      <c r="AG63" s="200">
        <v>0</v>
      </c>
      <c r="AH63" s="200">
        <v>0</v>
      </c>
      <c r="AI63" s="200">
        <v>0</v>
      </c>
      <c r="AJ63" s="200">
        <v>0</v>
      </c>
      <c r="AK63" s="200">
        <v>0</v>
      </c>
      <c r="AL63" s="200">
        <v>0</v>
      </c>
      <c r="AM63" s="76">
        <v>0</v>
      </c>
      <c r="AN63" s="200">
        <v>0</v>
      </c>
      <c r="AO63" s="202">
        <v>-2.1</v>
      </c>
      <c r="AP63" s="202">
        <v>-13.982999999999999</v>
      </c>
      <c r="AQ63" s="76">
        <v>3.9829999999999988</v>
      </c>
      <c r="AR63" s="76">
        <v>-0.1</v>
      </c>
      <c r="AS63" s="76">
        <v>-0.19999999999999998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0</v>
      </c>
      <c r="BH63" s="76">
        <v>0</v>
      </c>
      <c r="BI63" s="249"/>
      <c r="BJ63" s="76">
        <v>0</v>
      </c>
      <c r="BK63" s="76">
        <v>0</v>
      </c>
      <c r="BL63" s="76">
        <v>0</v>
      </c>
      <c r="BM63" s="76">
        <v>0</v>
      </c>
      <c r="BN63" s="76">
        <v>0</v>
      </c>
      <c r="BO63" s="76">
        <v>0</v>
      </c>
      <c r="BP63" s="76">
        <v>0</v>
      </c>
      <c r="BQ63" s="76">
        <v>0</v>
      </c>
      <c r="BR63" s="76">
        <v>0</v>
      </c>
      <c r="BS63" s="76">
        <v>0</v>
      </c>
      <c r="BT63" s="76">
        <v>-12.1</v>
      </c>
      <c r="BU63" s="76">
        <v>-0.3</v>
      </c>
      <c r="BV63" s="76">
        <v>0</v>
      </c>
      <c r="BW63" s="76">
        <v>0</v>
      </c>
      <c r="BX63" s="76">
        <v>0</v>
      </c>
    </row>
    <row r="64" spans="1:76" s="7" customFormat="1" x14ac:dyDescent="0.35">
      <c r="A64" s="216"/>
      <c r="B64" s="56" t="str">
        <f>IF(Control!$D$5=1,"Treasury shares","Ações em tesouraria adquiridas")</f>
        <v>Treasury shares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-20.3</v>
      </c>
      <c r="AR64" s="76">
        <v>-24.2</v>
      </c>
      <c r="AS64" s="76">
        <v>-0.69999999999999929</v>
      </c>
      <c r="AT64" s="76">
        <v>0</v>
      </c>
      <c r="AU64" s="76">
        <v>0</v>
      </c>
      <c r="AV64" s="76">
        <v>-6.3</v>
      </c>
      <c r="AW64" s="76">
        <v>-18.756</v>
      </c>
      <c r="AX64" s="76">
        <v>-191.65599999999998</v>
      </c>
      <c r="AY64" s="76">
        <v>0</v>
      </c>
      <c r="AZ64" s="76">
        <v>0</v>
      </c>
      <c r="BA64" s="76">
        <v>0</v>
      </c>
      <c r="BB64" s="76">
        <v>-23.6</v>
      </c>
      <c r="BC64" s="76">
        <v>-20.846</v>
      </c>
      <c r="BD64" s="76">
        <v>-11.936999999999999</v>
      </c>
      <c r="BE64" s="76">
        <v>-13.641</v>
      </c>
      <c r="BF64" s="76">
        <v>-16.826000000000001</v>
      </c>
      <c r="BG64" s="76">
        <v>-18.934000000000001</v>
      </c>
      <c r="BH64" s="76">
        <v>-13.09</v>
      </c>
      <c r="BI64" s="249"/>
      <c r="BJ64" s="76">
        <v>0</v>
      </c>
      <c r="BK64" s="76">
        <v>0</v>
      </c>
      <c r="BL64" s="76">
        <v>0</v>
      </c>
      <c r="BM64" s="76">
        <v>0</v>
      </c>
      <c r="BN64" s="76">
        <v>0</v>
      </c>
      <c r="BO64" s="76">
        <v>0</v>
      </c>
      <c r="BP64" s="76">
        <v>0</v>
      </c>
      <c r="BQ64" s="76">
        <v>0</v>
      </c>
      <c r="BR64" s="76">
        <v>0</v>
      </c>
      <c r="BS64" s="76">
        <v>0</v>
      </c>
      <c r="BT64" s="76">
        <v>-20.3</v>
      </c>
      <c r="BU64" s="76">
        <v>-24.9</v>
      </c>
      <c r="BV64" s="76">
        <v>-216.71199999999999</v>
      </c>
      <c r="BW64" s="76">
        <v>-44.414000000000001</v>
      </c>
      <c r="BX64" s="76">
        <v>-61.338000000000001</v>
      </c>
    </row>
    <row r="65" spans="1:76" s="7" customFormat="1" x14ac:dyDescent="0.35">
      <c r="B65" s="56" t="str">
        <f>IF(Control!$D$5=1,"Shares issued","Ações outorgadas")</f>
        <v>Shares issued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249"/>
      <c r="BJ65" s="76">
        <v>0</v>
      </c>
      <c r="BK65" s="76">
        <v>0</v>
      </c>
      <c r="BL65" s="76">
        <v>0</v>
      </c>
      <c r="BM65" s="76">
        <v>0</v>
      </c>
      <c r="BN65" s="76">
        <v>0</v>
      </c>
      <c r="BO65" s="76">
        <v>0</v>
      </c>
      <c r="BP65" s="76">
        <v>0</v>
      </c>
      <c r="BQ65" s="76">
        <v>0</v>
      </c>
      <c r="BR65" s="76">
        <v>0</v>
      </c>
      <c r="BS65" s="76">
        <v>0</v>
      </c>
      <c r="BT65" s="76">
        <v>0</v>
      </c>
      <c r="BU65" s="76">
        <v>0</v>
      </c>
      <c r="BV65" s="76">
        <v>0</v>
      </c>
      <c r="BW65" s="76">
        <v>0</v>
      </c>
      <c r="BX65" s="76">
        <v>0</v>
      </c>
    </row>
    <row r="66" spans="1:76" s="7" customFormat="1" outlineLevel="1" x14ac:dyDescent="0.35">
      <c r="B66" s="56" t="str">
        <f>IF(Control!$D$5=1,"Others","Outros")</f>
        <v>Others</v>
      </c>
      <c r="C66" s="200">
        <v>0</v>
      </c>
      <c r="D66" s="200">
        <v>0</v>
      </c>
      <c r="E66" s="57">
        <v>0</v>
      </c>
      <c r="F66" s="57">
        <v>0</v>
      </c>
      <c r="G66" s="69">
        <v>0</v>
      </c>
      <c r="H66" s="69">
        <v>5.0110000000000001</v>
      </c>
      <c r="I66" s="57">
        <v>-5.0110000000000001</v>
      </c>
      <c r="J66" s="57">
        <v>0</v>
      </c>
      <c r="K66" s="69">
        <v>0</v>
      </c>
      <c r="L66" s="69">
        <v>0</v>
      </c>
      <c r="M66" s="57">
        <v>0</v>
      </c>
      <c r="N66" s="57">
        <v>0</v>
      </c>
      <c r="O66" s="69">
        <v>0</v>
      </c>
      <c r="P66" s="69">
        <v>0</v>
      </c>
      <c r="Q66" s="57">
        <v>0</v>
      </c>
      <c r="R66" s="57">
        <v>-120.256</v>
      </c>
      <c r="S66" s="57">
        <v>120.256</v>
      </c>
      <c r="T66" s="69">
        <v>0</v>
      </c>
      <c r="U66" s="57">
        <v>0</v>
      </c>
      <c r="V66" s="57">
        <v>0</v>
      </c>
      <c r="W66" s="57">
        <v>0</v>
      </c>
      <c r="X66" s="69">
        <v>0</v>
      </c>
      <c r="Y66" s="57">
        <v>0</v>
      </c>
      <c r="Z66" s="57">
        <v>0</v>
      </c>
      <c r="AA66" s="57">
        <v>0</v>
      </c>
      <c r="AB66" s="69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2.7</v>
      </c>
      <c r="AT66" s="57">
        <v>2.7</v>
      </c>
      <c r="AU66" s="57"/>
      <c r="AV66" s="57">
        <f>0.3-8.6</f>
        <v>-8.2999999999999989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57">
        <v>0</v>
      </c>
      <c r="BC66" s="57">
        <v>0</v>
      </c>
      <c r="BD66" s="57">
        <v>0</v>
      </c>
      <c r="BE66" s="57">
        <v>0</v>
      </c>
      <c r="BF66" s="57">
        <v>0</v>
      </c>
      <c r="BG66" s="57">
        <v>0</v>
      </c>
      <c r="BH66" s="57">
        <v>0</v>
      </c>
      <c r="BI66" s="249"/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</v>
      </c>
      <c r="BP66" s="57">
        <v>0</v>
      </c>
      <c r="BQ66" s="57">
        <v>0</v>
      </c>
      <c r="BR66" s="57">
        <v>0</v>
      </c>
      <c r="BS66" s="57">
        <v>0</v>
      </c>
      <c r="BT66" s="57">
        <v>0</v>
      </c>
      <c r="BU66" s="57"/>
      <c r="BV66" s="57">
        <v>0</v>
      </c>
      <c r="BW66" s="57">
        <v>0</v>
      </c>
      <c r="BX66" s="57">
        <v>0</v>
      </c>
    </row>
    <row r="67" spans="1:76" s="80" customFormat="1" x14ac:dyDescent="0.35">
      <c r="A67" s="7"/>
      <c r="B67" s="281" t="str">
        <f>IF(Control!$D$5=1,"Financing Cash Flow","Fluxo de Caixa Financiamento")</f>
        <v>Financing Cash Flow</v>
      </c>
      <c r="C67" s="282">
        <f t="shared" ref="C67:BS67" si="12">SUM(C57:C66)</f>
        <v>0</v>
      </c>
      <c r="D67" s="282">
        <f t="shared" si="12"/>
        <v>83.501000000000005</v>
      </c>
      <c r="E67" s="282">
        <f t="shared" si="12"/>
        <v>12.393999999999997</v>
      </c>
      <c r="F67" s="282">
        <f t="shared" si="12"/>
        <v>67.605000000000004</v>
      </c>
      <c r="G67" s="282">
        <f t="shared" si="12"/>
        <v>-90.943000000000012</v>
      </c>
      <c r="H67" s="282">
        <f t="shared" si="12"/>
        <v>-44.004999999999995</v>
      </c>
      <c r="I67" s="282">
        <f t="shared" si="12"/>
        <v>3.8019999999999952</v>
      </c>
      <c r="J67" s="282">
        <f t="shared" si="12"/>
        <v>-3.1969999999999974</v>
      </c>
      <c r="K67" s="282">
        <f t="shared" si="12"/>
        <v>213.59099999999998</v>
      </c>
      <c r="L67" s="282">
        <f t="shared" si="12"/>
        <v>-8.5440000000000005</v>
      </c>
      <c r="M67" s="282">
        <f t="shared" si="12"/>
        <v>120.96</v>
      </c>
      <c r="N67" s="282">
        <f t="shared" si="12"/>
        <v>-104.83799999999999</v>
      </c>
      <c r="O67" s="282">
        <f t="shared" si="12"/>
        <v>-17.769000000000002</v>
      </c>
      <c r="P67" s="282">
        <f t="shared" si="12"/>
        <v>93.745000000000005</v>
      </c>
      <c r="Q67" s="282">
        <f t="shared" si="12"/>
        <v>142.69999999999999</v>
      </c>
      <c r="R67" s="282">
        <f t="shared" si="12"/>
        <v>219.61099999999996</v>
      </c>
      <c r="S67" s="282">
        <f t="shared" si="12"/>
        <v>17.92300000000003</v>
      </c>
      <c r="T67" s="282">
        <f t="shared" si="12"/>
        <v>69.977000000000004</v>
      </c>
      <c r="U67" s="282">
        <f t="shared" si="12"/>
        <v>74.62</v>
      </c>
      <c r="V67" s="282">
        <f t="shared" si="12"/>
        <v>97.597999999999985</v>
      </c>
      <c r="W67" s="282">
        <f t="shared" si="12"/>
        <v>-23.773</v>
      </c>
      <c r="X67" s="282">
        <f t="shared" si="12"/>
        <v>15.131</v>
      </c>
      <c r="Y67" s="282">
        <f t="shared" si="12"/>
        <v>157.90300000000002</v>
      </c>
      <c r="Z67" s="282">
        <f t="shared" si="12"/>
        <v>-72.968000000000018</v>
      </c>
      <c r="AA67" s="282">
        <f t="shared" si="12"/>
        <v>10.550000000000011</v>
      </c>
      <c r="AB67" s="282">
        <f t="shared" si="12"/>
        <v>6.2000000000000028</v>
      </c>
      <c r="AC67" s="282">
        <f t="shared" si="12"/>
        <v>158.923</v>
      </c>
      <c r="AD67" s="282">
        <f t="shared" si="12"/>
        <v>19.278999999999996</v>
      </c>
      <c r="AE67" s="282">
        <f t="shared" si="12"/>
        <v>-279.21999999999997</v>
      </c>
      <c r="AF67" s="282">
        <f t="shared" si="12"/>
        <v>15.05</v>
      </c>
      <c r="AG67" s="282">
        <f t="shared" si="12"/>
        <v>155.35</v>
      </c>
      <c r="AH67" s="282">
        <f t="shared" si="12"/>
        <v>-18.599999999999994</v>
      </c>
      <c r="AI67" s="282">
        <f t="shared" si="12"/>
        <v>-66.800000000000011</v>
      </c>
      <c r="AJ67" s="282">
        <f t="shared" si="12"/>
        <v>-115.143</v>
      </c>
      <c r="AK67" s="282">
        <f t="shared" si="12"/>
        <v>308.93100000000004</v>
      </c>
      <c r="AL67" s="282">
        <f t="shared" si="12"/>
        <v>-225.69400000000002</v>
      </c>
      <c r="AM67" s="282">
        <f t="shared" si="12"/>
        <v>144.90600000000001</v>
      </c>
      <c r="AN67" s="282">
        <f t="shared" si="12"/>
        <v>-342.36400000000003</v>
      </c>
      <c r="AO67" s="282">
        <f t="shared" si="12"/>
        <v>241.66399999999999</v>
      </c>
      <c r="AP67" s="282">
        <f t="shared" si="12"/>
        <v>-207.08099999999996</v>
      </c>
      <c r="AQ67" s="282">
        <f t="shared" si="12"/>
        <v>152.98100000000011</v>
      </c>
      <c r="AR67" s="282">
        <f t="shared" si="12"/>
        <v>17.2</v>
      </c>
      <c r="AS67" s="282">
        <f t="shared" si="12"/>
        <v>101.3</v>
      </c>
      <c r="AT67" s="282">
        <f t="shared" si="12"/>
        <v>-107.70000000000005</v>
      </c>
      <c r="AU67" s="282">
        <f t="shared" si="12"/>
        <v>7.6</v>
      </c>
      <c r="AV67" s="282">
        <f t="shared" si="12"/>
        <v>538.70000000000005</v>
      </c>
      <c r="AW67" s="282">
        <f t="shared" si="12"/>
        <v>46.960999999999984</v>
      </c>
      <c r="AX67" s="282">
        <f t="shared" si="12"/>
        <v>-322.04200000000003</v>
      </c>
      <c r="AY67" s="282">
        <f t="shared" si="12"/>
        <v>-486.678</v>
      </c>
      <c r="AZ67" s="282">
        <f t="shared" si="12"/>
        <v>1366.6289999999999</v>
      </c>
      <c r="BA67" s="282">
        <f t="shared" si="12"/>
        <v>-494.78099999999995</v>
      </c>
      <c r="BB67" s="282">
        <f t="shared" si="12"/>
        <v>-107.80000000000001</v>
      </c>
      <c r="BC67" s="282">
        <f t="shared" si="12"/>
        <v>-518.16700000000003</v>
      </c>
      <c r="BD67" s="282">
        <f t="shared" si="12"/>
        <v>402.10599999999994</v>
      </c>
      <c r="BE67" s="282">
        <f t="shared" si="12"/>
        <v>-92.889000000000024</v>
      </c>
      <c r="BF67" s="282">
        <f t="shared" si="12"/>
        <v>978.6869999999999</v>
      </c>
      <c r="BG67" s="282">
        <f t="shared" si="12"/>
        <v>-609.6629999999999</v>
      </c>
      <c r="BH67" s="282">
        <f t="shared" si="12"/>
        <v>218.04999999999998</v>
      </c>
      <c r="BI67" s="282"/>
      <c r="BJ67" s="282">
        <f t="shared" si="12"/>
        <v>42.042000000000002</v>
      </c>
      <c r="BK67" s="282">
        <f t="shared" si="12"/>
        <v>72.557000000000002</v>
      </c>
      <c r="BL67" s="282">
        <f t="shared" si="12"/>
        <v>170.191</v>
      </c>
      <c r="BM67" s="282">
        <f t="shared" si="12"/>
        <v>-10.190999999999999</v>
      </c>
      <c r="BN67" s="282">
        <f t="shared" si="12"/>
        <v>473.97900000000004</v>
      </c>
      <c r="BO67" s="282">
        <f t="shared" si="12"/>
        <v>218.422</v>
      </c>
      <c r="BP67" s="282">
        <f t="shared" si="12"/>
        <v>110.616</v>
      </c>
      <c r="BQ67" s="282">
        <f t="shared" si="12"/>
        <v>-94.817999999999998</v>
      </c>
      <c r="BR67" s="282">
        <f t="shared" si="12"/>
        <v>85</v>
      </c>
      <c r="BS67" s="282">
        <f t="shared" si="12"/>
        <v>113.00000000000001</v>
      </c>
      <c r="BT67" s="282">
        <f>SUM(BT57:BT66)</f>
        <v>-154.7180000000001</v>
      </c>
      <c r="BU67" s="282">
        <f>SUM(BU57:BU66)</f>
        <v>-160.85499999999999</v>
      </c>
      <c r="BV67" s="282">
        <f>SUM(BV57:BV66)</f>
        <v>-202.06</v>
      </c>
      <c r="BW67" s="282">
        <f>SUM(BW57:BW66)</f>
        <v>245.83599999999996</v>
      </c>
      <c r="BX67" s="282">
        <f>SUM(BX57:BX66)</f>
        <v>678.2059999999999</v>
      </c>
    </row>
    <row r="68" spans="1:76" s="7" customFormat="1" ht="6.75" customHeight="1" x14ac:dyDescent="0.35">
      <c r="B68" s="56"/>
      <c r="C68" s="116"/>
      <c r="D68" s="116"/>
      <c r="E68" s="272"/>
      <c r="F68" s="272"/>
      <c r="G68" s="116"/>
      <c r="H68" s="116"/>
      <c r="I68" s="272"/>
      <c r="J68" s="272"/>
      <c r="K68" s="116"/>
      <c r="L68" s="116"/>
      <c r="M68" s="272"/>
      <c r="N68" s="272"/>
      <c r="O68" s="116"/>
      <c r="P68" s="116"/>
      <c r="Q68" s="272"/>
      <c r="R68" s="272"/>
      <c r="S68" s="272"/>
      <c r="T68" s="116"/>
      <c r="U68" s="272"/>
      <c r="V68" s="272"/>
      <c r="W68" s="272"/>
      <c r="X68" s="116"/>
      <c r="Y68" s="272"/>
      <c r="Z68" s="272"/>
      <c r="AA68" s="272"/>
      <c r="AB68" s="116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49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</row>
    <row r="69" spans="1:76" s="80" customFormat="1" x14ac:dyDescent="0.35">
      <c r="A69" s="7"/>
      <c r="B69" s="56" t="str">
        <f>IF(Control!$D$5=1,"Foreign Exchange Variaton on Cash and Equivalents","Variação cambial sobre Caixa e Equivalentes")</f>
        <v>Foreign Exchange Variaton on Cash and Equivalents</v>
      </c>
      <c r="C69" s="116">
        <v>0</v>
      </c>
      <c r="D69" s="116">
        <v>-2.8839999999999999</v>
      </c>
      <c r="E69" s="116">
        <v>0.56400000000000006</v>
      </c>
      <c r="F69" s="116">
        <v>40.22</v>
      </c>
      <c r="G69" s="116">
        <v>-42.582000000000001</v>
      </c>
      <c r="H69" s="116">
        <v>-6.9809999999999999</v>
      </c>
      <c r="I69" s="116">
        <v>0.76699999999999946</v>
      </c>
      <c r="J69" s="116">
        <v>6.2140000000000004</v>
      </c>
      <c r="K69" s="116">
        <v>9.77</v>
      </c>
      <c r="L69" s="116">
        <v>-0.20200000000000001</v>
      </c>
      <c r="M69" s="116">
        <v>2.1830000000000003</v>
      </c>
      <c r="N69" s="116">
        <v>1.4379999999999999</v>
      </c>
      <c r="O69" s="116">
        <v>1.9860000000000002</v>
      </c>
      <c r="P69" s="116">
        <v>-2.6150000000000002</v>
      </c>
      <c r="Q69" s="116">
        <v>1.2670000000000001</v>
      </c>
      <c r="R69" s="116">
        <v>2.0640000000000001</v>
      </c>
      <c r="S69" s="116">
        <v>-0.92399999999999993</v>
      </c>
      <c r="T69" s="116">
        <v>4.8540000000000001</v>
      </c>
      <c r="U69" s="116">
        <v>-4.8540000000000001</v>
      </c>
      <c r="V69" s="116">
        <v>6.1840000000000002</v>
      </c>
      <c r="W69" s="116">
        <v>-1.5590000000000002</v>
      </c>
      <c r="X69" s="116">
        <v>6.7759999999999998</v>
      </c>
      <c r="Y69" s="116">
        <v>3.0459999999999994</v>
      </c>
      <c r="Z69" s="116">
        <v>-1.1989999999999998</v>
      </c>
      <c r="AA69" s="116">
        <v>0.94100000000000072</v>
      </c>
      <c r="AB69" s="116">
        <v>-1.5</v>
      </c>
      <c r="AC69" s="116">
        <v>-0.19900000000000007</v>
      </c>
      <c r="AD69" s="116">
        <v>3.6669999999999998</v>
      </c>
      <c r="AE69" s="116">
        <v>1.3319999999999999</v>
      </c>
      <c r="AF69" s="116">
        <v>1.4</v>
      </c>
      <c r="AG69" s="116">
        <v>2.6</v>
      </c>
      <c r="AH69" s="116">
        <v>0.20000000000000018</v>
      </c>
      <c r="AI69" s="116">
        <v>0.70000000000000018</v>
      </c>
      <c r="AJ69" s="116">
        <v>-2.2000000000000002</v>
      </c>
      <c r="AK69" s="116">
        <v>-3.3</v>
      </c>
      <c r="AL69" s="116">
        <v>2.1</v>
      </c>
      <c r="AM69" s="76">
        <v>-1.2000000000000006</v>
      </c>
      <c r="AN69" s="116">
        <v>0.2</v>
      </c>
      <c r="AO69" s="116">
        <v>0.64700000000000002</v>
      </c>
      <c r="AP69" s="116">
        <v>0.52700000000000014</v>
      </c>
      <c r="AQ69" s="76">
        <v>2.5259999999999998</v>
      </c>
      <c r="AR69" s="76">
        <v>4.2</v>
      </c>
      <c r="AS69" s="76">
        <v>13.400000000000002</v>
      </c>
      <c r="AT69" s="76">
        <v>-5.8000000000000007</v>
      </c>
      <c r="AU69" s="76">
        <v>-17.2</v>
      </c>
      <c r="AV69" s="76">
        <v>-19.100000000000001</v>
      </c>
      <c r="AW69" s="76">
        <v>22.968</v>
      </c>
      <c r="AX69" s="76">
        <v>-1.704</v>
      </c>
      <c r="AY69" s="76">
        <v>7.3959999999999999</v>
      </c>
      <c r="AZ69" s="76">
        <v>5.5209999999999999</v>
      </c>
      <c r="BA69" s="76">
        <v>-2.7559999999999998</v>
      </c>
      <c r="BB69" s="76">
        <v>-3.9</v>
      </c>
      <c r="BC69" s="76">
        <v>40.345999999999997</v>
      </c>
      <c r="BD69" s="76">
        <v>-20.922999999999998</v>
      </c>
      <c r="BE69" s="76">
        <v>-26.55</v>
      </c>
      <c r="BF69" s="76">
        <v>9.4009999999999998</v>
      </c>
      <c r="BG69" s="76">
        <v>-16.100000000000001</v>
      </c>
      <c r="BH69" s="76">
        <v>-34.409999999999997</v>
      </c>
      <c r="BJ69" s="76">
        <v>0</v>
      </c>
      <c r="BK69" s="76">
        <v>-4.6820000000000004</v>
      </c>
      <c r="BL69" s="76">
        <v>9.77</v>
      </c>
      <c r="BM69" s="76">
        <v>5.4050000000000002</v>
      </c>
      <c r="BN69" s="76">
        <v>-0.20799999999999999</v>
      </c>
      <c r="BO69" s="76">
        <v>4.625</v>
      </c>
      <c r="BP69" s="76">
        <v>9.5640000000000001</v>
      </c>
      <c r="BQ69" s="76">
        <v>3.3</v>
      </c>
      <c r="BR69" s="76">
        <v>4.9000000000000004</v>
      </c>
      <c r="BS69" s="76">
        <v>-4.6000000000000005</v>
      </c>
      <c r="BT69" s="76">
        <v>3.9</v>
      </c>
      <c r="BU69" s="76">
        <v>3.157</v>
      </c>
      <c r="BV69" s="70">
        <v>10.241</v>
      </c>
      <c r="BW69" s="70">
        <v>39.212000000000003</v>
      </c>
      <c r="BX69" s="70">
        <v>-54.244</v>
      </c>
    </row>
    <row r="70" spans="1:76" s="7" customFormat="1" ht="6.75" customHeight="1" x14ac:dyDescent="0.35">
      <c r="B70" s="56"/>
      <c r="C70" s="116"/>
      <c r="D70" s="116"/>
      <c r="E70" s="272"/>
      <c r="F70" s="272"/>
      <c r="G70" s="116"/>
      <c r="H70" s="116"/>
      <c r="I70" s="272"/>
      <c r="J70" s="272"/>
      <c r="K70" s="116"/>
      <c r="L70" s="116"/>
      <c r="M70" s="272"/>
      <c r="N70" s="272"/>
      <c r="O70" s="116"/>
      <c r="P70" s="116"/>
      <c r="Q70" s="272"/>
      <c r="R70" s="272"/>
      <c r="S70" s="272"/>
      <c r="T70" s="116"/>
      <c r="U70" s="272"/>
      <c r="V70" s="272"/>
      <c r="W70" s="272"/>
      <c r="X70" s="116"/>
      <c r="Y70" s="272"/>
      <c r="Z70" s="272"/>
      <c r="AA70" s="272"/>
      <c r="AB70" s="116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49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</row>
    <row r="71" spans="1:76" s="80" customFormat="1" x14ac:dyDescent="0.35">
      <c r="A71" s="7"/>
      <c r="B71" s="281" t="str">
        <f>IF(Control!$D$5=1,"Change in Cash and Equivalents","Variação em Disponibilidades")</f>
        <v>Change in Cash and Equivalents</v>
      </c>
      <c r="C71" s="282">
        <f t="shared" ref="C71:AH71" si="13">SUM(C69,C67,C55,C45)</f>
        <v>0</v>
      </c>
      <c r="D71" s="282">
        <f t="shared" si="13"/>
        <v>-4.6730000000000302</v>
      </c>
      <c r="E71" s="282">
        <f t="shared" si="13"/>
        <v>7.3869999999999916</v>
      </c>
      <c r="F71" s="282">
        <f t="shared" si="13"/>
        <v>73.186000000000021</v>
      </c>
      <c r="G71" s="282">
        <f t="shared" si="13"/>
        <v>1.7659999999999911</v>
      </c>
      <c r="H71" s="282">
        <f t="shared" si="13"/>
        <v>27.770000000000024</v>
      </c>
      <c r="I71" s="282">
        <f t="shared" si="13"/>
        <v>-38.028000000000006</v>
      </c>
      <c r="J71" s="282">
        <f t="shared" si="13"/>
        <v>55.957999999999998</v>
      </c>
      <c r="K71" s="282">
        <f t="shared" si="13"/>
        <v>147.714</v>
      </c>
      <c r="L71" s="282">
        <f t="shared" si="13"/>
        <v>-18.405999999999977</v>
      </c>
      <c r="M71" s="282">
        <f t="shared" si="13"/>
        <v>45.260999999999981</v>
      </c>
      <c r="N71" s="282">
        <f t="shared" si="13"/>
        <v>-29.629000000000019</v>
      </c>
      <c r="O71" s="282">
        <f t="shared" si="13"/>
        <v>23.595000000000006</v>
      </c>
      <c r="P71" s="282">
        <f t="shared" si="13"/>
        <v>-74.998000000000019</v>
      </c>
      <c r="Q71" s="282">
        <f t="shared" si="13"/>
        <v>123.61300000000003</v>
      </c>
      <c r="R71" s="282">
        <f t="shared" si="13"/>
        <v>109.70599999999993</v>
      </c>
      <c r="S71" s="282">
        <f t="shared" si="13"/>
        <v>-100.52199999999996</v>
      </c>
      <c r="T71" s="282">
        <f t="shared" si="13"/>
        <v>191.779</v>
      </c>
      <c r="U71" s="282">
        <f t="shared" si="13"/>
        <v>-265.44599999999997</v>
      </c>
      <c r="V71" s="282">
        <f t="shared" si="13"/>
        <v>-15.265000000000001</v>
      </c>
      <c r="W71" s="282">
        <f t="shared" si="13"/>
        <v>89.522999999999996</v>
      </c>
      <c r="X71" s="282">
        <f t="shared" si="13"/>
        <v>28.300999999999974</v>
      </c>
      <c r="Y71" s="282">
        <f t="shared" si="13"/>
        <v>17.572999999999993</v>
      </c>
      <c r="Z71" s="282">
        <f t="shared" si="13"/>
        <v>94.895999999999987</v>
      </c>
      <c r="AA71" s="282">
        <f t="shared" si="13"/>
        <v>119.43099999999998</v>
      </c>
      <c r="AB71" s="282">
        <f t="shared" si="13"/>
        <v>-109.49999999999999</v>
      </c>
      <c r="AC71" s="282">
        <f t="shared" si="13"/>
        <v>74.165000000000049</v>
      </c>
      <c r="AD71" s="282">
        <f t="shared" si="13"/>
        <v>1.1739999999999924</v>
      </c>
      <c r="AE71" s="282">
        <f t="shared" si="13"/>
        <v>122.92600000000007</v>
      </c>
      <c r="AF71" s="282">
        <f t="shared" si="13"/>
        <v>131.25999999999988</v>
      </c>
      <c r="AG71" s="282">
        <f t="shared" si="13"/>
        <v>-18.059999999999988</v>
      </c>
      <c r="AH71" s="282">
        <f t="shared" si="13"/>
        <v>-3.4280000000000399</v>
      </c>
      <c r="AI71" s="282">
        <f t="shared" ref="AI71:BH71" si="14">SUM(AI69,AI67,AI55,AI45)</f>
        <v>245.22799999999995</v>
      </c>
      <c r="AJ71" s="282">
        <f t="shared" si="14"/>
        <v>-115.49000000000012</v>
      </c>
      <c r="AK71" s="282">
        <f t="shared" si="14"/>
        <v>30.027999999999992</v>
      </c>
      <c r="AL71" s="282">
        <f t="shared" si="14"/>
        <v>-58.092999999999961</v>
      </c>
      <c r="AM71" s="282">
        <f t="shared" si="14"/>
        <v>-0.54500000000001592</v>
      </c>
      <c r="AN71" s="282">
        <f t="shared" si="14"/>
        <v>192.7589999999999</v>
      </c>
      <c r="AO71" s="282">
        <f t="shared" si="14"/>
        <v>-40.824000000000069</v>
      </c>
      <c r="AP71" s="282">
        <f t="shared" si="14"/>
        <v>-67.129771316656729</v>
      </c>
      <c r="AQ71" s="282">
        <f t="shared" si="14"/>
        <v>220.99477131665691</v>
      </c>
      <c r="AR71" s="282">
        <f t="shared" si="14"/>
        <v>312.39999999999998</v>
      </c>
      <c r="AS71" s="282">
        <f t="shared" si="14"/>
        <v>-180.39999999999998</v>
      </c>
      <c r="AT71" s="282">
        <f t="shared" si="14"/>
        <v>-124.80000000000004</v>
      </c>
      <c r="AU71" s="282">
        <f t="shared" si="14"/>
        <v>165.3</v>
      </c>
      <c r="AV71" s="282">
        <f t="shared" si="14"/>
        <v>282.80000000000013</v>
      </c>
      <c r="AW71" s="282">
        <f t="shared" si="14"/>
        <v>-79.596000000000018</v>
      </c>
      <c r="AX71" s="282">
        <f t="shared" si="14"/>
        <v>-218.12500000000051</v>
      </c>
      <c r="AY71" s="282">
        <f t="shared" si="14"/>
        <v>235.39600000000007</v>
      </c>
      <c r="AZ71" s="282">
        <f t="shared" si="14"/>
        <v>1162.0229999999999</v>
      </c>
      <c r="BA71" s="282">
        <f t="shared" si="14"/>
        <v>-478.7179999999999</v>
      </c>
      <c r="BB71" s="282">
        <f t="shared" si="14"/>
        <v>-55.53000000000003</v>
      </c>
      <c r="BC71" s="282">
        <f t="shared" si="14"/>
        <v>-83.560000000000059</v>
      </c>
      <c r="BD71" s="282">
        <f t="shared" si="14"/>
        <v>368.33399999999995</v>
      </c>
      <c r="BE71" s="282">
        <f t="shared" si="14"/>
        <v>-117.64099999999991</v>
      </c>
      <c r="BF71" s="282">
        <f t="shared" si="14"/>
        <v>534.66860601999974</v>
      </c>
      <c r="BG71" s="282">
        <f t="shared" si="14"/>
        <v>-270.82113468</v>
      </c>
      <c r="BH71" s="282">
        <f t="shared" si="14"/>
        <v>-288.84232978634702</v>
      </c>
      <c r="BI71" s="282"/>
      <c r="BJ71" s="282">
        <f t="shared" ref="BJ71:BX71" si="15">SUM(BJ69,BJ67,BJ55,BJ45)</f>
        <v>0.85199999999998965</v>
      </c>
      <c r="BK71" s="282">
        <f t="shared" si="15"/>
        <v>53.696000000000033</v>
      </c>
      <c r="BL71" s="282">
        <f t="shared" si="15"/>
        <v>156.47700000000003</v>
      </c>
      <c r="BM71" s="282">
        <f t="shared" si="15"/>
        <v>-31.881</v>
      </c>
      <c r="BN71" s="282">
        <f t="shared" si="15"/>
        <v>-24.589999999999975</v>
      </c>
      <c r="BO71" s="282">
        <f t="shared" si="15"/>
        <v>-75.633000000000067</v>
      </c>
      <c r="BP71" s="282">
        <f t="shared" si="15"/>
        <v>169.73800000000003</v>
      </c>
      <c r="BQ71" s="282">
        <f t="shared" si="15"/>
        <v>-17.936000000000035</v>
      </c>
      <c r="BR71" s="282">
        <f t="shared" si="15"/>
        <v>197.4</v>
      </c>
      <c r="BS71" s="282">
        <f t="shared" si="15"/>
        <v>-301.69999999999993</v>
      </c>
      <c r="BT71" s="282">
        <f t="shared" si="15"/>
        <v>136.88199999999983</v>
      </c>
      <c r="BU71" s="282">
        <f t="shared" si="15"/>
        <v>88.670000000000073</v>
      </c>
      <c r="BV71" s="282">
        <f t="shared" si="15"/>
        <v>172.50599999999997</v>
      </c>
      <c r="BW71" s="282">
        <f t="shared" si="15"/>
        <v>544.13099999999997</v>
      </c>
      <c r="BX71" s="282">
        <f t="shared" si="15"/>
        <v>337.74233199999969</v>
      </c>
    </row>
    <row r="72" spans="1:76" s="7" customFormat="1" x14ac:dyDescent="0.35">
      <c r="B72" s="56" t="str">
        <f>IF(Control!$D$5=1,"Beginning Cash and Equivalents","Disponibilidades Início Período")</f>
        <v>Beginning Cash and Equivalents</v>
      </c>
      <c r="C72" s="116">
        <v>0</v>
      </c>
      <c r="D72" s="116">
        <v>14.096</v>
      </c>
      <c r="E72" s="272">
        <v>9.3879999999999999</v>
      </c>
      <c r="F72" s="272">
        <v>16.831</v>
      </c>
      <c r="G72" s="116">
        <v>58.8</v>
      </c>
      <c r="H72" s="116">
        <v>67.762</v>
      </c>
      <c r="I72" s="272">
        <v>87.691999999999993</v>
      </c>
      <c r="J72" s="272">
        <v>57.484000000000002</v>
      </c>
      <c r="K72" s="116">
        <v>91.6</v>
      </c>
      <c r="L72" s="116">
        <v>224.26300000000001</v>
      </c>
      <c r="M72" s="272">
        <v>196.58699999999999</v>
      </c>
      <c r="N72" s="272">
        <v>222.46600000000001</v>
      </c>
      <c r="O72" s="116">
        <v>218.60599999999999</v>
      </c>
      <c r="P72" s="116">
        <v>192.34100000000001</v>
      </c>
      <c r="Q72" s="272">
        <v>117.343</v>
      </c>
      <c r="R72" s="272">
        <v>204.405</v>
      </c>
      <c r="S72" s="272">
        <v>295.73599999999999</v>
      </c>
      <c r="T72" s="116">
        <v>167.751</v>
      </c>
      <c r="U72" s="272">
        <v>351.66</v>
      </c>
      <c r="V72" s="272">
        <v>65.715000000000003</v>
      </c>
      <c r="W72" s="272">
        <v>50.45</v>
      </c>
      <c r="X72" s="116">
        <v>92.1</v>
      </c>
      <c r="Y72" s="272">
        <v>102.3</v>
      </c>
      <c r="Z72" s="272">
        <v>95.361000000000004</v>
      </c>
      <c r="AA72" s="272">
        <v>170.78399999999999</v>
      </c>
      <c r="AB72" s="116">
        <v>261.89999999999998</v>
      </c>
      <c r="AC72" s="272">
        <v>129.5</v>
      </c>
      <c r="AD72" s="272">
        <v>176.262</v>
      </c>
      <c r="AE72" s="272">
        <v>140.39099999999999</v>
      </c>
      <c r="AF72" s="272">
        <v>243.97800000000001</v>
      </c>
      <c r="AG72" s="272">
        <v>337.10999999999996</v>
      </c>
      <c r="AH72" s="272">
        <v>293.3</v>
      </c>
      <c r="AI72" s="272">
        <v>228</v>
      </c>
      <c r="AJ72" s="272">
        <v>441.37700000000001</v>
      </c>
      <c r="AK72" s="272">
        <v>281.07199999999995</v>
      </c>
      <c r="AL72" s="272">
        <v>266.95600000000002</v>
      </c>
      <c r="AM72" s="76">
        <v>158.297</v>
      </c>
      <c r="AN72" s="272">
        <v>139.69800000000001</v>
      </c>
      <c r="AO72" s="272">
        <v>268.59999999999997</v>
      </c>
      <c r="AP72" s="272">
        <v>202.18700000000001</v>
      </c>
      <c r="AQ72" s="76">
        <v>187.43299999999999</v>
      </c>
      <c r="AR72" s="76">
        <v>276.5</v>
      </c>
      <c r="AS72" s="76">
        <v>572.29999999999995</v>
      </c>
      <c r="AT72" s="76">
        <v>369.1</v>
      </c>
      <c r="AU72" s="76">
        <v>222.6</v>
      </c>
      <c r="AV72" s="76">
        <v>365.3</v>
      </c>
      <c r="AW72" s="76">
        <v>630.70000000000005</v>
      </c>
      <c r="AX72" s="76">
        <v>529.6</v>
      </c>
      <c r="AY72" s="76">
        <v>302.36799999999999</v>
      </c>
      <c r="AZ72" s="76">
        <v>537.76400000000001</v>
      </c>
      <c r="BA72" s="76">
        <v>1699.778</v>
      </c>
      <c r="BB72" s="76">
        <v>1221</v>
      </c>
      <c r="BC72" s="76">
        <v>1165.4829999999999</v>
      </c>
      <c r="BD72" s="76">
        <v>1081.9549999999999</v>
      </c>
      <c r="BE72" s="76">
        <v>1450.2089999999998</v>
      </c>
      <c r="BF72" s="76">
        <f>BE73</f>
        <v>1332.52</v>
      </c>
      <c r="BG72" s="76">
        <v>1867.18860602</v>
      </c>
      <c r="BH72" s="76">
        <f>BG73</f>
        <v>1596.3178033400002</v>
      </c>
      <c r="BI72" s="249"/>
      <c r="BJ72" s="76">
        <v>13.196</v>
      </c>
      <c r="BK72" s="76">
        <v>14.096</v>
      </c>
      <c r="BL72" s="76">
        <v>67.762</v>
      </c>
      <c r="BM72" s="76">
        <v>224.26300000000001</v>
      </c>
      <c r="BN72" s="76">
        <v>192.34099999999998</v>
      </c>
      <c r="BO72" s="76">
        <v>167.751</v>
      </c>
      <c r="BP72" s="76">
        <v>92.118000000000009</v>
      </c>
      <c r="BQ72" s="76">
        <v>261.85599999999999</v>
      </c>
      <c r="BR72" s="76">
        <v>243.97799999999998</v>
      </c>
      <c r="BS72" s="76">
        <v>441.4</v>
      </c>
      <c r="BT72" s="76">
        <v>139.69999999999999</v>
      </c>
      <c r="BU72" s="76">
        <v>276.5</v>
      </c>
      <c r="BV72" s="76">
        <v>365.30200000000002</v>
      </c>
      <c r="BW72" s="76">
        <v>537.76400000000001</v>
      </c>
      <c r="BX72" s="76">
        <v>1081.9549999999999</v>
      </c>
    </row>
    <row r="73" spans="1:76" s="7" customFormat="1" x14ac:dyDescent="0.35">
      <c r="B73" s="56" t="str">
        <f>IF(Control!$D$5=1,"Ending Cash and Equivalents","Disponibilidades Final Período")</f>
        <v>Ending Cash and Equivalents</v>
      </c>
      <c r="C73" s="116">
        <v>0</v>
      </c>
      <c r="D73" s="116">
        <v>9.3879999999999999</v>
      </c>
      <c r="E73" s="272">
        <v>16.831</v>
      </c>
      <c r="F73" s="272">
        <v>58.8</v>
      </c>
      <c r="G73" s="116">
        <v>67.762</v>
      </c>
      <c r="H73" s="116">
        <v>87.691999999999993</v>
      </c>
      <c r="I73" s="272">
        <v>57.484000000000002</v>
      </c>
      <c r="J73" s="272">
        <v>91.6</v>
      </c>
      <c r="K73" s="116">
        <v>224.26300000000001</v>
      </c>
      <c r="L73" s="116">
        <v>196.58699999999999</v>
      </c>
      <c r="M73" s="272">
        <v>222.46600000000001</v>
      </c>
      <c r="N73" s="272">
        <v>218.60599999999999</v>
      </c>
      <c r="O73" s="116">
        <v>192.38199999999998</v>
      </c>
      <c r="P73" s="116">
        <v>117.343</v>
      </c>
      <c r="Q73" s="272">
        <v>204.405</v>
      </c>
      <c r="R73" s="272">
        <v>295.73599999999999</v>
      </c>
      <c r="S73" s="272">
        <v>167.751</v>
      </c>
      <c r="T73" s="116">
        <v>351.66</v>
      </c>
      <c r="U73" s="272">
        <v>65.715000000000003</v>
      </c>
      <c r="V73" s="272">
        <v>50.45</v>
      </c>
      <c r="W73" s="272">
        <v>92.117999999999967</v>
      </c>
      <c r="X73" s="116">
        <v>102.3</v>
      </c>
      <c r="Y73" s="272">
        <v>95.361000000000004</v>
      </c>
      <c r="Z73" s="272">
        <v>170.78399999999999</v>
      </c>
      <c r="AA73" s="272">
        <v>261.85599999999999</v>
      </c>
      <c r="AB73" s="116">
        <v>129.5</v>
      </c>
      <c r="AC73" s="272">
        <v>176.262</v>
      </c>
      <c r="AD73" s="272">
        <v>140.39099999999999</v>
      </c>
      <c r="AE73" s="272">
        <v>243.92000000000002</v>
      </c>
      <c r="AF73" s="272">
        <v>337.10999999999996</v>
      </c>
      <c r="AG73" s="272">
        <v>293.3</v>
      </c>
      <c r="AH73" s="272">
        <v>228</v>
      </c>
      <c r="AI73" s="272">
        <v>441.4</v>
      </c>
      <c r="AJ73" s="272">
        <v>281.07199999999995</v>
      </c>
      <c r="AK73" s="272">
        <v>266.95600000000002</v>
      </c>
      <c r="AL73" s="272">
        <v>158.297</v>
      </c>
      <c r="AM73" s="76">
        <v>139.69999999999999</v>
      </c>
      <c r="AN73" s="272">
        <v>268.59999999999997</v>
      </c>
      <c r="AO73" s="272">
        <v>202.18700000000001</v>
      </c>
      <c r="AP73" s="272">
        <v>187.43299999999999</v>
      </c>
      <c r="AQ73" s="76">
        <v>276.5</v>
      </c>
      <c r="AR73" s="76">
        <v>572.29999999999995</v>
      </c>
      <c r="AS73" s="76">
        <v>369.1</v>
      </c>
      <c r="AT73" s="76">
        <v>222.6</v>
      </c>
      <c r="AU73" s="76">
        <v>365.3</v>
      </c>
      <c r="AV73" s="76">
        <v>630.70000000000005</v>
      </c>
      <c r="AW73" s="76">
        <v>529.64600000000007</v>
      </c>
      <c r="AX73" s="76">
        <v>302.36799999999999</v>
      </c>
      <c r="AY73" s="76">
        <v>537.76400000000001</v>
      </c>
      <c r="AZ73" s="76">
        <v>1699.778</v>
      </c>
      <c r="BA73" s="76">
        <v>1221</v>
      </c>
      <c r="BB73" s="76">
        <v>1165.47</v>
      </c>
      <c r="BC73" s="76">
        <v>1081.9549999999999</v>
      </c>
      <c r="BD73" s="76">
        <v>1450.2089999999998</v>
      </c>
      <c r="BE73" s="76">
        <v>1332.52</v>
      </c>
      <c r="BF73" s="76">
        <f>BF72+BF71</f>
        <v>1867.1886060199997</v>
      </c>
      <c r="BG73" s="76">
        <v>1596.3178033400002</v>
      </c>
      <c r="BH73" s="76">
        <f>BH72+BH71</f>
        <v>1307.475473553653</v>
      </c>
      <c r="BI73" s="80"/>
      <c r="BJ73" s="76">
        <v>14.096</v>
      </c>
      <c r="BK73" s="76">
        <v>67.762</v>
      </c>
      <c r="BL73" s="76">
        <v>224.26300000000001</v>
      </c>
      <c r="BM73" s="76">
        <v>192.38199999999998</v>
      </c>
      <c r="BN73" s="76">
        <v>167.751</v>
      </c>
      <c r="BO73" s="76">
        <v>92.117999999999967</v>
      </c>
      <c r="BP73" s="76">
        <v>261.85599999999999</v>
      </c>
      <c r="BQ73" s="76">
        <v>243.92000000000002</v>
      </c>
      <c r="BR73" s="76">
        <v>441.4</v>
      </c>
      <c r="BS73" s="76">
        <v>139.69999999999999</v>
      </c>
      <c r="BT73" s="76">
        <v>276.5</v>
      </c>
      <c r="BU73" s="76">
        <v>365.3</v>
      </c>
      <c r="BV73" s="76">
        <v>537.76400000000001</v>
      </c>
      <c r="BW73" s="76">
        <v>1081.9549999999999</v>
      </c>
      <c r="BX73" s="76">
        <v>1596.3473319999996</v>
      </c>
    </row>
    <row r="74" spans="1:76" x14ac:dyDescent="0.35">
      <c r="B74" s="15"/>
      <c r="C74" s="77"/>
      <c r="D74" s="77"/>
      <c r="E74" s="83"/>
      <c r="F74" s="83"/>
      <c r="G74" s="77"/>
      <c r="H74" s="77"/>
      <c r="I74" s="83"/>
      <c r="J74" s="83"/>
      <c r="K74" s="77"/>
      <c r="L74" s="77"/>
      <c r="M74" s="83"/>
      <c r="N74" s="83"/>
      <c r="O74" s="77"/>
      <c r="P74" s="77"/>
      <c r="Q74" s="83"/>
      <c r="R74" s="83"/>
      <c r="S74" s="77"/>
      <c r="T74" s="77"/>
      <c r="U74" s="83"/>
      <c r="V74" s="83"/>
      <c r="W74" s="77"/>
      <c r="X74" s="83"/>
      <c r="Y74" s="77"/>
      <c r="Z74" s="77"/>
      <c r="AA74" s="77"/>
      <c r="AB74" s="83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314"/>
      <c r="BV74" s="314"/>
      <c r="BW74" s="314"/>
      <c r="BX74" s="314"/>
    </row>
    <row r="75" spans="1:76" x14ac:dyDescent="0.35">
      <c r="C75" s="205"/>
      <c r="D75" s="205"/>
      <c r="E75" s="206"/>
      <c r="F75" s="206"/>
      <c r="G75" s="205"/>
      <c r="H75" s="205"/>
      <c r="I75" s="206"/>
      <c r="J75" s="206"/>
      <c r="K75" s="205"/>
      <c r="L75" s="205"/>
      <c r="M75" s="206"/>
      <c r="N75" s="206"/>
      <c r="O75" s="205"/>
      <c r="P75" s="205"/>
      <c r="Q75" s="206"/>
      <c r="R75" s="206"/>
      <c r="S75" s="205"/>
      <c r="T75" s="205"/>
      <c r="U75" s="206"/>
      <c r="V75" s="206"/>
      <c r="W75" s="205"/>
      <c r="X75" s="206"/>
      <c r="Y75" s="205"/>
      <c r="Z75" s="205"/>
      <c r="AA75" s="205"/>
      <c r="AB75" s="206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</row>
  </sheetData>
  <phoneticPr fontId="10" type="noConversion"/>
  <pageMargins left="0.51" right="0.51" top="0.79" bottom="0.79" header="0.31" footer="0.31"/>
  <pageSetup paperSize="9" scale="16" orientation="portrait" r:id="rId1"/>
  <ignoredErrors>
    <ignoredError sqref="C31:C4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A1:BY104"/>
  <sheetViews>
    <sheetView showGridLines="0" zoomScale="85" zoomScaleNormal="85" workbookViewId="0">
      <pane xSplit="2" ySplit="7" topLeftCell="AZ8" activePane="bottomRight" state="frozen"/>
      <selection activeCell="AI67" sqref="AI67"/>
      <selection pane="topRight" activeCell="AI67" sqref="AI67"/>
      <selection pane="bottomLeft" activeCell="AI67" sqref="AI67"/>
      <selection pane="bottomRight" activeCell="BH66" sqref="BH66"/>
    </sheetView>
  </sheetViews>
  <sheetFormatPr defaultColWidth="11.7265625" defaultRowHeight="14.5" outlineLevelRow="1" x14ac:dyDescent="0.35"/>
  <cols>
    <col min="1" max="1" width="5.26953125" style="7" customWidth="1"/>
    <col min="2" max="2" width="34.81640625" style="7" customWidth="1"/>
    <col min="3" max="4" width="11.81640625" style="56" customWidth="1"/>
    <col min="5" max="7" width="11.81640625" style="132" customWidth="1"/>
    <col min="8" max="8" width="11.81640625" style="56" customWidth="1"/>
    <col min="9" max="11" width="11.81640625" style="132" customWidth="1"/>
    <col min="12" max="12" width="11.81640625" style="56" customWidth="1"/>
    <col min="13" max="15" width="11.81640625" style="132" customWidth="1"/>
    <col min="16" max="16" width="11.81640625" style="56" customWidth="1"/>
    <col min="17" max="19" width="11.81640625" style="132" customWidth="1"/>
    <col min="20" max="20" width="11.81640625" style="56" customWidth="1"/>
    <col min="21" max="23" width="11.81640625" style="132" customWidth="1"/>
    <col min="24" max="24" width="11.81640625" style="158" customWidth="1"/>
    <col min="25" max="27" width="11.81640625" style="56" customWidth="1"/>
    <col min="28" max="28" width="11.81640625" style="158" customWidth="1"/>
    <col min="29" max="31" width="11.81640625" style="56" customWidth="1"/>
    <col min="32" max="32" width="11.81640625" style="158" customWidth="1"/>
    <col min="33" max="35" width="11.81640625" style="56" customWidth="1"/>
    <col min="36" max="36" width="11.81640625" style="158" customWidth="1"/>
    <col min="37" max="39" width="11.81640625" style="56" customWidth="1"/>
    <col min="40" max="41" width="11.81640625" style="158" customWidth="1"/>
    <col min="42" max="42" width="11.81640625" style="56" customWidth="1"/>
    <col min="43" max="60" width="11.81640625" style="158" customWidth="1"/>
    <col min="61" max="61" width="7.7265625" style="138" customWidth="1"/>
    <col min="62" max="64" width="11.81640625" style="10" customWidth="1"/>
    <col min="65" max="72" width="11.81640625" style="7" customWidth="1"/>
    <col min="73" max="76" width="11" style="7" customWidth="1"/>
    <col min="77" max="16384" width="11.7265625" style="7"/>
  </cols>
  <sheetData>
    <row r="1" spans="1:76" s="20" customFormat="1" x14ac:dyDescent="0.35">
      <c r="A1" s="181"/>
      <c r="C1" s="15"/>
      <c r="D1" s="15"/>
      <c r="E1" s="16"/>
      <c r="F1" s="16"/>
      <c r="G1" s="16"/>
      <c r="H1" s="15"/>
      <c r="I1" s="16"/>
      <c r="J1" s="16"/>
      <c r="K1" s="16"/>
      <c r="L1" s="15"/>
      <c r="M1" s="16"/>
      <c r="N1" s="16"/>
      <c r="O1" s="16"/>
      <c r="P1" s="15"/>
      <c r="Q1" s="16"/>
      <c r="R1" s="16"/>
      <c r="S1" s="16"/>
      <c r="T1" s="15"/>
      <c r="U1" s="16"/>
      <c r="V1" s="16"/>
      <c r="W1" s="16"/>
      <c r="X1" s="83"/>
      <c r="Y1" s="16"/>
      <c r="Z1" s="16"/>
      <c r="AA1" s="16"/>
      <c r="AB1" s="83"/>
      <c r="AC1" s="16"/>
      <c r="AD1" s="16"/>
      <c r="AE1" s="16"/>
      <c r="AF1" s="83"/>
      <c r="AG1" s="16"/>
      <c r="AH1" s="16"/>
      <c r="AI1" s="16"/>
      <c r="AJ1" s="83"/>
      <c r="AK1" s="16"/>
      <c r="AL1" s="16"/>
      <c r="AM1" s="16"/>
      <c r="AN1" s="83"/>
      <c r="AO1" s="83"/>
      <c r="AP1" s="16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71"/>
      <c r="BI1" s="71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</row>
    <row r="2" spans="1:76" s="20" customFormat="1" ht="18.5" x14ac:dyDescent="0.45">
      <c r="A2" s="181"/>
      <c r="B2" s="21" t="str">
        <f>IF(Control!$D$5=1,"Support","Suporte")</f>
        <v>Support</v>
      </c>
      <c r="C2" s="40"/>
      <c r="D2" s="40"/>
      <c r="E2" s="303"/>
      <c r="F2" s="303"/>
      <c r="G2" s="303"/>
      <c r="H2" s="40"/>
      <c r="I2" s="303"/>
      <c r="J2" s="303"/>
      <c r="K2" s="303"/>
      <c r="L2" s="40"/>
      <c r="M2" s="303"/>
      <c r="N2" s="303"/>
      <c r="O2" s="303"/>
      <c r="P2" s="40"/>
      <c r="Q2" s="303"/>
      <c r="R2" s="303"/>
      <c r="S2" s="303"/>
      <c r="T2" s="40"/>
      <c r="U2" s="303"/>
      <c r="V2" s="303"/>
      <c r="W2" s="303"/>
      <c r="X2" s="304"/>
      <c r="Y2" s="303"/>
      <c r="Z2" s="303"/>
      <c r="AA2" s="303"/>
      <c r="AB2" s="304"/>
      <c r="AC2" s="303"/>
      <c r="AD2" s="303"/>
      <c r="AE2" s="303"/>
      <c r="AF2" s="304"/>
      <c r="AG2" s="303"/>
      <c r="AH2" s="303"/>
      <c r="AI2" s="303"/>
      <c r="AJ2" s="304"/>
      <c r="AK2" s="303"/>
      <c r="AL2" s="303"/>
      <c r="AM2" s="303"/>
      <c r="AN2" s="304"/>
      <c r="AO2" s="304"/>
      <c r="AP2" s="303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72"/>
      <c r="BI2" s="7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</row>
    <row r="3" spans="1:76" s="20" customFormat="1" x14ac:dyDescent="0.35">
      <c r="A3" s="181"/>
      <c r="B3" s="29" t="str">
        <f>IF(Control!$D$5=1,"Consolidated Financials","Consolidado")</f>
        <v>Consolidated Financials</v>
      </c>
      <c r="C3" s="29"/>
      <c r="D3" s="29"/>
      <c r="E3" s="16"/>
      <c r="F3" s="16"/>
      <c r="G3" s="16"/>
      <c r="H3" s="29"/>
      <c r="I3" s="16"/>
      <c r="J3" s="16"/>
      <c r="K3" s="16"/>
      <c r="L3" s="29"/>
      <c r="M3" s="16"/>
      <c r="N3" s="16"/>
      <c r="O3" s="16"/>
      <c r="P3" s="29"/>
      <c r="Q3" s="16"/>
      <c r="R3" s="16"/>
      <c r="S3" s="16"/>
      <c r="T3" s="29"/>
      <c r="U3" s="16"/>
      <c r="V3" s="16"/>
      <c r="W3" s="16"/>
      <c r="X3" s="83"/>
      <c r="Y3" s="16"/>
      <c r="Z3" s="16"/>
      <c r="AA3" s="16"/>
      <c r="AB3" s="83"/>
      <c r="AC3" s="16"/>
      <c r="AD3" s="16"/>
      <c r="AE3" s="16"/>
      <c r="AF3" s="83"/>
      <c r="AG3" s="16"/>
      <c r="AH3" s="16"/>
      <c r="AI3" s="16"/>
      <c r="AJ3" s="83"/>
      <c r="AK3" s="16"/>
      <c r="AL3" s="16"/>
      <c r="AM3" s="16"/>
      <c r="AN3" s="83"/>
      <c r="AO3" s="83"/>
      <c r="AP3" s="16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71"/>
      <c r="BI3" s="71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</row>
    <row r="4" spans="1:76" s="20" customFormat="1" x14ac:dyDescent="0.35">
      <c r="A4" s="181"/>
      <c r="C4" s="15"/>
      <c r="D4" s="15"/>
      <c r="E4" s="305"/>
      <c r="F4" s="305"/>
      <c r="G4" s="305"/>
      <c r="H4" s="15"/>
      <c r="I4" s="305"/>
      <c r="J4" s="305"/>
      <c r="K4" s="305"/>
      <c r="L4" s="15"/>
      <c r="M4" s="305"/>
      <c r="N4" s="305"/>
      <c r="O4" s="305"/>
      <c r="P4" s="15"/>
      <c r="Q4" s="305"/>
      <c r="R4" s="305"/>
      <c r="S4" s="305"/>
      <c r="T4" s="15"/>
      <c r="U4" s="305"/>
      <c r="V4" s="305"/>
      <c r="W4" s="305"/>
      <c r="X4" s="306"/>
      <c r="Y4" s="305"/>
      <c r="Z4" s="305"/>
      <c r="AA4" s="305"/>
      <c r="AB4" s="306"/>
      <c r="AC4" s="305"/>
      <c r="AD4" s="305"/>
      <c r="AE4" s="305"/>
      <c r="AF4" s="306"/>
      <c r="AG4" s="305"/>
      <c r="AH4" s="305"/>
      <c r="AI4" s="305"/>
      <c r="AJ4" s="306"/>
      <c r="AK4" s="305"/>
      <c r="AL4" s="305"/>
      <c r="AM4" s="305"/>
      <c r="AN4" s="306"/>
      <c r="AO4" s="306"/>
      <c r="AP4" s="305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73"/>
      <c r="BI4" s="71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</row>
    <row r="5" spans="1:76" s="23" customFormat="1" x14ac:dyDescent="0.35">
      <c r="A5" s="80"/>
      <c r="B5" s="30" t="str">
        <f>IF(Control!$D$5=1,"FINANCIAL STATEMENTS","DEMONSTRATIVOS FINANCEIROS")</f>
        <v>FINANCIAL STATEMENTS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162"/>
      <c r="BI5" s="71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</row>
    <row r="6" spans="1:76" s="23" customFormat="1" x14ac:dyDescent="0.35">
      <c r="A6" s="80"/>
      <c r="B6" s="30" t="str">
        <f>IF(Control!D4=1,"In "&amp;TEXT(Control!D8,0)&amp;" "&amp;TEXT(Control!D9,0)&amp;", except where noted","Em "&amp;TEXT(Control!D8,0)&amp;" "&amp;TEXT(Control!D7,0)&amp;", exceto se especificado")</f>
        <v>Em millions R$, exceto se especificado</v>
      </c>
      <c r="C6" s="111" t="str">
        <f>IF(Control!$D$5=1,"4Q07","4T07")</f>
        <v>4Q07</v>
      </c>
      <c r="D6" s="111" t="str">
        <f>IF(Control!$D$5=1,"1Q08","1T08")</f>
        <v>1Q08</v>
      </c>
      <c r="E6" s="111" t="str">
        <f>IF(Control!$D$5=1,"2Q08","2T08")</f>
        <v>2Q08</v>
      </c>
      <c r="F6" s="111" t="str">
        <f>IF(Control!$D$5=1,"3Q08","3T08")</f>
        <v>3Q08</v>
      </c>
      <c r="G6" s="111" t="str">
        <f>IF(Control!$D$5=1,"4Q08","4T08")</f>
        <v>4Q08</v>
      </c>
      <c r="H6" s="111" t="str">
        <f>IF(Control!$D$5=1,"1Q09","1T09")</f>
        <v>1Q09</v>
      </c>
      <c r="I6" s="111" t="str">
        <f>IF(Control!$D$5=1,"2Q09","2T09")</f>
        <v>2Q09</v>
      </c>
      <c r="J6" s="111" t="str">
        <f>IF(Control!$D$5=1,"3Q09","3T09")</f>
        <v>3Q09</v>
      </c>
      <c r="K6" s="111" t="str">
        <f>IF(Control!$D$5=1,"4Q09","4T09")</f>
        <v>4Q09</v>
      </c>
      <c r="L6" s="111" t="str">
        <f>IF(Control!$D$5=1,"1Q10","1T10")</f>
        <v>1Q10</v>
      </c>
      <c r="M6" s="111" t="str">
        <f>IF(Control!$D$5=1,"2Q10","2T10")</f>
        <v>2Q10</v>
      </c>
      <c r="N6" s="111" t="str">
        <f>IF(Control!$D$5=1,"3Q10","3T10")</f>
        <v>3Q10</v>
      </c>
      <c r="O6" s="111" t="str">
        <f>IF(Control!$D$5=1,"4Q10","4T10")</f>
        <v>4Q10</v>
      </c>
      <c r="P6" s="111" t="str">
        <f>IF(Control!$D$5=1,"1Q11","1T11")</f>
        <v>1Q11</v>
      </c>
      <c r="Q6" s="111" t="str">
        <f>IF(Control!$D$5=1,"2Q11","2T11")</f>
        <v>2Q11</v>
      </c>
      <c r="R6" s="111" t="str">
        <f>IF(Control!$D$5=1,"3Q11","3T11")</f>
        <v>3Q11</v>
      </c>
      <c r="S6" s="111" t="str">
        <f>IF(Control!$D$5=1,"4Q11","4T11")</f>
        <v>4Q11</v>
      </c>
      <c r="T6" s="111" t="str">
        <f>IF(Control!$D$5=1,"1Q12","1T12")</f>
        <v>1Q12</v>
      </c>
      <c r="U6" s="111" t="str">
        <f>IF(Control!$D$5=1,"2Q12","2T12")</f>
        <v>2Q12</v>
      </c>
      <c r="V6" s="111" t="str">
        <f>IF(Control!$D$5=1,"3Q12","3T12")</f>
        <v>3Q12</v>
      </c>
      <c r="W6" s="111" t="str">
        <f>IF(Control!$D$5=1,"4Q12","4T12")</f>
        <v>4Q12</v>
      </c>
      <c r="X6" s="111" t="str">
        <f>IF(Control!$D$5=1,"1Q13","1T13")</f>
        <v>1Q13</v>
      </c>
      <c r="Y6" s="111" t="str">
        <f>IF(Control!$D$5=1,"2Q13","2T13")</f>
        <v>2Q13</v>
      </c>
      <c r="Z6" s="111" t="str">
        <f>IF(Control!$D$5=1,"3Q13","3T13")</f>
        <v>3Q13</v>
      </c>
      <c r="AA6" s="111" t="str">
        <f>IF(Control!$D$5=1,"4Q13","4T13")</f>
        <v>4Q13</v>
      </c>
      <c r="AB6" s="111" t="str">
        <f>IF(Control!$D$5=1,"1Q14","1T14")</f>
        <v>1Q14</v>
      </c>
      <c r="AC6" s="111" t="str">
        <f>IF(Control!$D$5=1,"2Q14","2T14")</f>
        <v>2Q14</v>
      </c>
      <c r="AD6" s="111" t="str">
        <f>IF(Control!$D$5=1,"3Q14","3T14")</f>
        <v>3Q14</v>
      </c>
      <c r="AE6" s="111" t="str">
        <f>IF(Control!$D$5=1,"4Q14","4T14")</f>
        <v>4Q14</v>
      </c>
      <c r="AF6" s="111" t="str">
        <f>IF(Control!$D$5=1,"1Q15","1T15")</f>
        <v>1Q15</v>
      </c>
      <c r="AG6" s="111" t="str">
        <f>IF(Control!$D$5=1,"2Q15","2T15")</f>
        <v>2Q15</v>
      </c>
      <c r="AH6" s="111" t="str">
        <f>IF(Control!$D$5=1,"3Q15","3T15")</f>
        <v>3Q15</v>
      </c>
      <c r="AI6" s="111" t="str">
        <f>IF(Control!$D$5=1,"4Q15","4T15")</f>
        <v>4Q15</v>
      </c>
      <c r="AJ6" s="111" t="str">
        <f>IF(Control!$D$5=1,"1Q16","1T16")</f>
        <v>1Q16</v>
      </c>
      <c r="AK6" s="111" t="str">
        <f>IF(Control!$D$5=1,"2Q16","2T16")</f>
        <v>2Q16</v>
      </c>
      <c r="AL6" s="111" t="str">
        <f>IF(Control!$D$5=1,"3Q16","3T16")</f>
        <v>3Q16</v>
      </c>
      <c r="AM6" s="111" t="str">
        <f>IF(Control!$D$5=1,"4Q16","4T16")</f>
        <v>4Q16</v>
      </c>
      <c r="AN6" s="111" t="str">
        <f>IF(Control!$D$5=1,"1Q17","1T17")</f>
        <v>1Q17</v>
      </c>
      <c r="AO6" s="111" t="str">
        <f>IF(Control!$D$5=1,"2Q17","2T17")</f>
        <v>2Q17</v>
      </c>
      <c r="AP6" s="111" t="str">
        <f>IF(Control!$D$5=1,"3Q17","3T17")</f>
        <v>3Q17</v>
      </c>
      <c r="AQ6" s="111" t="str">
        <f>IF(Control!$D$5=1,"4Q17","4T17")</f>
        <v>4Q17</v>
      </c>
      <c r="AR6" s="111" t="str">
        <f>IF(Control!$D$5=1,"1Q18","1T18")</f>
        <v>1Q18</v>
      </c>
      <c r="AS6" s="111" t="s">
        <v>11</v>
      </c>
      <c r="AT6" s="111" t="str">
        <f>IF(Control!$D$5=1,"3Q18","3T18")</f>
        <v>3Q18</v>
      </c>
      <c r="AU6" s="111" t="str">
        <f>IF(Control!$D$5=1,"4Q18","4T18")</f>
        <v>4Q18</v>
      </c>
      <c r="AV6" s="111" t="str">
        <f>IF(Control!$D$5=1,"1Q19","1T19")</f>
        <v>1Q19</v>
      </c>
      <c r="AW6" s="111" t="str">
        <f>IF(Control!$D$5=1,"2Q19","2T19")</f>
        <v>2Q19</v>
      </c>
      <c r="AX6" s="111" t="str">
        <f>IF(Control!$D$5=1,"3Q19","3T19")</f>
        <v>3Q19</v>
      </c>
      <c r="AY6" s="111" t="str">
        <f>IF(Control!$D$5=1,"4Q19","4T19")</f>
        <v>4Q19</v>
      </c>
      <c r="AZ6" s="111" t="str">
        <f>IF(Control!$D$5=1,"1Q20","1T20")</f>
        <v>1Q20</v>
      </c>
      <c r="BA6" s="111" t="str">
        <f>IF(Control!$D$5=1,"2Q20","2T20")</f>
        <v>2Q20</v>
      </c>
      <c r="BB6" s="111" t="str">
        <f>IF(Control!$D$5=1,"3Q20","3T20")</f>
        <v>3Q20</v>
      </c>
      <c r="BC6" s="111" t="str">
        <f>IF(Control!$D$5=1,"4Q20","4T20")</f>
        <v>4Q20</v>
      </c>
      <c r="BD6" s="111" t="str">
        <f>IF(Control!$D$5=1,"1Q21","1T21")</f>
        <v>1Q21</v>
      </c>
      <c r="BE6" s="111" t="str">
        <f>IF(Control!$D$5=1,"2Q21","2T21")</f>
        <v>2Q21</v>
      </c>
      <c r="BF6" s="111" t="str">
        <f>IF(Control!$D$5=1,"3Q21","3T21")</f>
        <v>3Q21</v>
      </c>
      <c r="BG6" s="111" t="str">
        <f>IF(Control!$D$5=1,"4Q21","4T21")</f>
        <v>4Q21</v>
      </c>
      <c r="BH6" s="111" t="str">
        <f>IF(Control!$D$5=1,"1Q22","1T22")</f>
        <v>1Q22</v>
      </c>
      <c r="BI6" s="71"/>
      <c r="BJ6" s="106" t="str">
        <f>'P&amp;L'!BI6</f>
        <v>12M07</v>
      </c>
      <c r="BK6" s="106" t="str">
        <f>'P&amp;L'!BJ6</f>
        <v>12M08</v>
      </c>
      <c r="BL6" s="106" t="str">
        <f>'P&amp;L'!BK6</f>
        <v>12M09</v>
      </c>
      <c r="BM6" s="106" t="str">
        <f>'P&amp;L'!BL6</f>
        <v>12M10</v>
      </c>
      <c r="BN6" s="106" t="str">
        <f>'P&amp;L'!BM6</f>
        <v>11M11</v>
      </c>
      <c r="BO6" s="106" t="str">
        <f>'P&amp;L'!BN6</f>
        <v>12M12</v>
      </c>
      <c r="BP6" s="106" t="str">
        <f>'P&amp;L'!BO6</f>
        <v>12M13</v>
      </c>
      <c r="BQ6" s="106" t="str">
        <f>'P&amp;L'!BP6</f>
        <v>12M14</v>
      </c>
      <c r="BR6" s="106" t="str">
        <f>'P&amp;L'!BQ6</f>
        <v>12M15</v>
      </c>
      <c r="BS6" s="106" t="str">
        <f>'P&amp;L'!BR6</f>
        <v>12M16</v>
      </c>
      <c r="BT6" s="106" t="str">
        <f>'P&amp;L'!BS6</f>
        <v>12M17</v>
      </c>
      <c r="BU6" s="106" t="str">
        <f>'P&amp;L'!BT6</f>
        <v>12M18</v>
      </c>
      <c r="BV6" s="106" t="str">
        <f>'P&amp;L'!BU6</f>
        <v>12M19</v>
      </c>
      <c r="BW6" s="106" t="str">
        <f>'P&amp;L'!BV6</f>
        <v>12M20</v>
      </c>
      <c r="BX6" s="106" t="str">
        <f>'P&amp;L'!BW6</f>
        <v>12M21</v>
      </c>
    </row>
    <row r="7" spans="1:76" s="23" customFormat="1" x14ac:dyDescent="0.35">
      <c r="A7" s="247"/>
      <c r="B7" s="30" t="str">
        <f>IF(Control!$D$5=1,"Closing Date","Data Fechamento")</f>
        <v>Closing Date</v>
      </c>
      <c r="C7" s="74">
        <v>39506</v>
      </c>
      <c r="D7" s="74">
        <v>39599</v>
      </c>
      <c r="E7" s="74">
        <v>39690</v>
      </c>
      <c r="F7" s="74">
        <v>39782</v>
      </c>
      <c r="G7" s="74">
        <v>39872</v>
      </c>
      <c r="H7" s="74">
        <v>39964</v>
      </c>
      <c r="I7" s="74">
        <v>40056</v>
      </c>
      <c r="J7" s="74">
        <v>40147</v>
      </c>
      <c r="K7" s="74">
        <v>40237</v>
      </c>
      <c r="L7" s="74">
        <v>40329</v>
      </c>
      <c r="M7" s="74">
        <v>40421</v>
      </c>
      <c r="N7" s="74">
        <v>40512</v>
      </c>
      <c r="O7" s="74">
        <v>40602</v>
      </c>
      <c r="P7" s="74">
        <v>40694</v>
      </c>
      <c r="Q7" s="74">
        <v>40786</v>
      </c>
      <c r="R7" s="74">
        <v>40877</v>
      </c>
      <c r="S7" s="74">
        <v>40968</v>
      </c>
      <c r="T7" s="74">
        <v>41060</v>
      </c>
      <c r="U7" s="74">
        <v>41152</v>
      </c>
      <c r="V7" s="74">
        <v>41243</v>
      </c>
      <c r="W7" s="74">
        <v>41333</v>
      </c>
      <c r="X7" s="74">
        <v>41425</v>
      </c>
      <c r="Y7" s="74">
        <v>41517</v>
      </c>
      <c r="Z7" s="74">
        <v>41608</v>
      </c>
      <c r="AA7" s="74">
        <v>41698</v>
      </c>
      <c r="AB7" s="74">
        <v>41790</v>
      </c>
      <c r="AC7" s="74">
        <v>41882</v>
      </c>
      <c r="AD7" s="74">
        <v>41973</v>
      </c>
      <c r="AE7" s="74">
        <v>42063</v>
      </c>
      <c r="AF7" s="74">
        <v>42155</v>
      </c>
      <c r="AG7" s="74">
        <v>42247</v>
      </c>
      <c r="AH7" s="74">
        <v>42338</v>
      </c>
      <c r="AI7" s="74">
        <v>42429</v>
      </c>
      <c r="AJ7" s="74">
        <v>42521</v>
      </c>
      <c r="AK7" s="74">
        <v>42613</v>
      </c>
      <c r="AL7" s="74">
        <v>42704</v>
      </c>
      <c r="AM7" s="74">
        <v>42794</v>
      </c>
      <c r="AN7" s="74">
        <v>42886</v>
      </c>
      <c r="AO7" s="74">
        <v>42978</v>
      </c>
      <c r="AP7" s="74">
        <v>43069</v>
      </c>
      <c r="AQ7" s="74">
        <v>43159</v>
      </c>
      <c r="AR7" s="74">
        <v>43251</v>
      </c>
      <c r="AS7" s="74">
        <v>43343</v>
      </c>
      <c r="AT7" s="74">
        <v>43434</v>
      </c>
      <c r="AU7" s="74">
        <v>43524</v>
      </c>
      <c r="AV7" s="74">
        <v>43616</v>
      </c>
      <c r="AW7" s="74">
        <v>43708</v>
      </c>
      <c r="AX7" s="74">
        <v>43799</v>
      </c>
      <c r="AY7" s="74">
        <v>43890</v>
      </c>
      <c r="AZ7" s="74">
        <v>43982</v>
      </c>
      <c r="BA7" s="74">
        <v>44074</v>
      </c>
      <c r="BB7" s="74">
        <v>44165</v>
      </c>
      <c r="BC7" s="74">
        <v>44255</v>
      </c>
      <c r="BD7" s="74">
        <v>44347</v>
      </c>
      <c r="BE7" s="74">
        <v>44439</v>
      </c>
      <c r="BF7" s="74">
        <v>44530</v>
      </c>
      <c r="BG7" s="74">
        <v>44620</v>
      </c>
      <c r="BH7" s="74">
        <v>44712</v>
      </c>
      <c r="BI7" s="71"/>
      <c r="BJ7" s="106">
        <f>'P&amp;L'!BI7</f>
        <v>39506</v>
      </c>
      <c r="BK7" s="106">
        <f>'P&amp;L'!BJ7</f>
        <v>39872</v>
      </c>
      <c r="BL7" s="106">
        <f>'P&amp;L'!BK7</f>
        <v>40237</v>
      </c>
      <c r="BM7" s="106">
        <f>'P&amp;L'!BL7</f>
        <v>40602</v>
      </c>
      <c r="BN7" s="106">
        <f>'P&amp;L'!BM7</f>
        <v>40967</v>
      </c>
      <c r="BO7" s="106">
        <f>'P&amp;L'!BN7</f>
        <v>41333</v>
      </c>
      <c r="BP7" s="106">
        <f>'P&amp;L'!BO7</f>
        <v>41698</v>
      </c>
      <c r="BQ7" s="106">
        <f>'P&amp;L'!BP7</f>
        <v>42063</v>
      </c>
      <c r="BR7" s="106">
        <f>'P&amp;L'!BQ7</f>
        <v>42429</v>
      </c>
      <c r="BS7" s="106">
        <f>'P&amp;L'!BR7</f>
        <v>42794</v>
      </c>
      <c r="BT7" s="106">
        <f>'P&amp;L'!BS7</f>
        <v>43159</v>
      </c>
      <c r="BU7" s="106">
        <f>'P&amp;L'!BT7</f>
        <v>43524</v>
      </c>
      <c r="BV7" s="106">
        <f>'P&amp;L'!BU7</f>
        <v>43890</v>
      </c>
      <c r="BW7" s="106">
        <f>'P&amp;L'!BV7</f>
        <v>44255</v>
      </c>
      <c r="BX7" s="106">
        <f>'P&amp;L'!BW7</f>
        <v>44620</v>
      </c>
    </row>
    <row r="8" spans="1:76" s="8" customFormat="1" ht="6.75" customHeight="1" x14ac:dyDescent="0.35">
      <c r="A8" s="7"/>
      <c r="B8" s="15"/>
      <c r="C8" s="15"/>
      <c r="D8" s="15"/>
      <c r="E8" s="68"/>
      <c r="F8" s="68"/>
      <c r="G8" s="68"/>
      <c r="H8" s="15"/>
      <c r="I8" s="68"/>
      <c r="J8" s="68"/>
      <c r="K8" s="68"/>
      <c r="L8" s="15"/>
      <c r="M8" s="68"/>
      <c r="N8" s="68"/>
      <c r="O8" s="68"/>
      <c r="P8" s="15"/>
      <c r="Q8" s="68"/>
      <c r="R8" s="35"/>
      <c r="S8" s="35"/>
      <c r="T8" s="15"/>
      <c r="U8" s="68"/>
      <c r="V8" s="35"/>
      <c r="W8" s="35"/>
      <c r="X8" s="75"/>
      <c r="Y8" s="35"/>
      <c r="Z8" s="35"/>
      <c r="AA8" s="35"/>
      <c r="AB8" s="75"/>
      <c r="AC8" s="35"/>
      <c r="AD8" s="35"/>
      <c r="AE8" s="35"/>
      <c r="AF8" s="75"/>
      <c r="AG8" s="35"/>
      <c r="AH8" s="35"/>
      <c r="AI8" s="35"/>
      <c r="AJ8" s="75"/>
      <c r="AK8" s="35"/>
      <c r="AL8" s="35"/>
      <c r="AM8" s="35"/>
      <c r="AN8" s="75"/>
      <c r="AO8" s="35"/>
      <c r="AP8" s="3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1"/>
      <c r="BJ8" s="68"/>
      <c r="BK8" s="35"/>
      <c r="BL8" s="35"/>
      <c r="BM8" s="35"/>
      <c r="BN8" s="35"/>
      <c r="BO8" s="35"/>
      <c r="BP8" s="35"/>
      <c r="BQ8" s="35"/>
      <c r="BR8" s="36"/>
      <c r="BS8" s="36"/>
      <c r="BT8" s="75"/>
      <c r="BU8" s="75"/>
      <c r="BV8" s="75"/>
      <c r="BW8" s="75"/>
      <c r="BX8" s="75"/>
    </row>
    <row r="9" spans="1:76" s="147" customFormat="1" x14ac:dyDescent="0.35">
      <c r="B9" s="144" t="str">
        <f>IF(Control!$D$5=1,"Inventories","Estoques")</f>
        <v>Inventories</v>
      </c>
      <c r="C9" s="146">
        <v>0</v>
      </c>
      <c r="D9" s="146">
        <f>SUM(D10:D14)</f>
        <v>0</v>
      </c>
      <c r="E9" s="146">
        <f>SUM(E10:E14)</f>
        <v>0</v>
      </c>
      <c r="F9" s="146">
        <f>SUM(F10:F14)</f>
        <v>0</v>
      </c>
      <c r="G9" s="146">
        <f>F9</f>
        <v>0</v>
      </c>
      <c r="H9" s="146">
        <f>SUM(H10:H14)</f>
        <v>0</v>
      </c>
      <c r="I9" s="146">
        <f>SUM(I10:I14)</f>
        <v>0</v>
      </c>
      <c r="J9" s="146">
        <f>SUM(J10:J14)</f>
        <v>0</v>
      </c>
      <c r="K9" s="146">
        <f>J9</f>
        <v>0</v>
      </c>
      <c r="L9" s="146">
        <f>SUM(L10:L14)</f>
        <v>0</v>
      </c>
      <c r="M9" s="146">
        <f>SUM(M10:M14)</f>
        <v>0</v>
      </c>
      <c r="N9" s="146">
        <f>SUM(N10:N14)</f>
        <v>0</v>
      </c>
      <c r="O9" s="146">
        <f>N9</f>
        <v>0</v>
      </c>
      <c r="P9" s="146">
        <f>SUM(P10:P14)</f>
        <v>0</v>
      </c>
      <c r="Q9" s="146">
        <f>SUM(Q10:Q14)</f>
        <v>0</v>
      </c>
      <c r="R9" s="146">
        <f>SUM(R10:R14)</f>
        <v>0</v>
      </c>
      <c r="S9" s="146">
        <f>R9</f>
        <v>0</v>
      </c>
      <c r="T9" s="146">
        <f>SUM(T10:T14)</f>
        <v>0</v>
      </c>
      <c r="U9" s="146">
        <f>SUM(U10:U14)</f>
        <v>0</v>
      </c>
      <c r="V9" s="146">
        <f>SUM(V10:V14)</f>
        <v>0</v>
      </c>
      <c r="W9" s="146">
        <f>V9</f>
        <v>0</v>
      </c>
      <c r="X9" s="146">
        <f>SUM(X10:X14)</f>
        <v>0</v>
      </c>
      <c r="Y9" s="146">
        <f>SUM(Y10:Y14)</f>
        <v>0</v>
      </c>
      <c r="Z9" s="146">
        <f>SUM(Z10:Z14)</f>
        <v>0</v>
      </c>
      <c r="AA9" s="146">
        <f>Z9</f>
        <v>0</v>
      </c>
      <c r="AB9" s="146">
        <f>SUM(AB10:AB14)</f>
        <v>0</v>
      </c>
      <c r="AC9" s="146">
        <f>SUM(AC10:AC14)</f>
        <v>0</v>
      </c>
      <c r="AD9" s="146">
        <f>SUM(AD10:AD14)</f>
        <v>0</v>
      </c>
      <c r="AE9" s="146">
        <f>AD9</f>
        <v>0</v>
      </c>
      <c r="AF9" s="145">
        <f t="shared" ref="AF9:AQ9" si="0">SUM(AF10:AF14)</f>
        <v>0</v>
      </c>
      <c r="AG9" s="146">
        <f t="shared" si="0"/>
        <v>0</v>
      </c>
      <c r="AH9" s="146">
        <f t="shared" si="0"/>
        <v>0</v>
      </c>
      <c r="AI9" s="145">
        <f t="shared" si="0"/>
        <v>874.63099999999997</v>
      </c>
      <c r="AJ9" s="146">
        <f t="shared" si="0"/>
        <v>1371.242</v>
      </c>
      <c r="AK9" s="146">
        <f t="shared" si="0"/>
        <v>1341.8760000000002</v>
      </c>
      <c r="AL9" s="146">
        <f t="shared" si="0"/>
        <v>1262.2379999999998</v>
      </c>
      <c r="AM9" s="146">
        <f t="shared" si="0"/>
        <v>1100.4779999999998</v>
      </c>
      <c r="AN9" s="146">
        <f t="shared" si="0"/>
        <v>1446.414</v>
      </c>
      <c r="AO9" s="146">
        <f t="shared" si="0"/>
        <v>1245.3919999999998</v>
      </c>
      <c r="AP9" s="146">
        <f t="shared" si="0"/>
        <v>1100.4779999999998</v>
      </c>
      <c r="AQ9" s="146">
        <f t="shared" si="0"/>
        <v>874.5</v>
      </c>
      <c r="AR9" s="146">
        <f t="shared" ref="AR9:AW9" si="1">SUM(AR10:AR14)</f>
        <v>1423.6000000000001</v>
      </c>
      <c r="AS9" s="146">
        <f t="shared" si="1"/>
        <v>1395.6</v>
      </c>
      <c r="AT9" s="146">
        <f t="shared" si="1"/>
        <v>1333.8999999999999</v>
      </c>
      <c r="AU9" s="146">
        <f t="shared" si="1"/>
        <v>1144.441</v>
      </c>
      <c r="AV9" s="146">
        <f t="shared" si="1"/>
        <v>1699.6999999999998</v>
      </c>
      <c r="AW9" s="146">
        <f t="shared" si="1"/>
        <v>1560.0119999999999</v>
      </c>
      <c r="AX9" s="146">
        <f t="shared" ref="AX9:BE9" si="2">SUM(AX10:AX14)</f>
        <v>1469.184</v>
      </c>
      <c r="AY9" s="146">
        <f t="shared" si="2"/>
        <v>1207.6010000000001</v>
      </c>
      <c r="AZ9" s="146">
        <f t="shared" si="2"/>
        <v>2116.1280000000002</v>
      </c>
      <c r="BA9" s="146">
        <f t="shared" si="2"/>
        <v>1894.8179999999998</v>
      </c>
      <c r="BB9" s="146">
        <f t="shared" si="2"/>
        <v>1923.7569999999998</v>
      </c>
      <c r="BC9" s="146">
        <f t="shared" si="2"/>
        <v>1509.8879999999999</v>
      </c>
      <c r="BD9" s="146">
        <f t="shared" si="2"/>
        <v>2170.038</v>
      </c>
      <c r="BE9" s="146">
        <f t="shared" si="2"/>
        <v>1747.9549999999999</v>
      </c>
      <c r="BF9" s="146">
        <f>SUM(BF10:BF14)</f>
        <v>1781.8828115887109</v>
      </c>
      <c r="BG9" s="146">
        <f>SUM(BG10:BG14)</f>
        <v>1691.15</v>
      </c>
      <c r="BH9" s="146">
        <f>SUM(BH10:BH14)</f>
        <v>2381.8560000000002</v>
      </c>
      <c r="BI9" s="71"/>
      <c r="BJ9" s="145">
        <f t="shared" ref="BJ9:BR9" si="3">SUM(BJ10:BJ14)</f>
        <v>0</v>
      </c>
      <c r="BK9" s="145">
        <f t="shared" si="3"/>
        <v>0</v>
      </c>
      <c r="BL9" s="145">
        <f t="shared" si="3"/>
        <v>0</v>
      </c>
      <c r="BM9" s="145">
        <f t="shared" si="3"/>
        <v>0</v>
      </c>
      <c r="BN9" s="145">
        <f t="shared" si="3"/>
        <v>0</v>
      </c>
      <c r="BO9" s="145">
        <f t="shared" si="3"/>
        <v>0</v>
      </c>
      <c r="BP9" s="145">
        <f t="shared" si="3"/>
        <v>0</v>
      </c>
      <c r="BQ9" s="145">
        <f t="shared" si="3"/>
        <v>0</v>
      </c>
      <c r="BR9" s="145">
        <f t="shared" si="3"/>
        <v>874.63099999999997</v>
      </c>
      <c r="BS9" s="145">
        <f>SUM(BS10:BS14)</f>
        <v>1100.4779999999998</v>
      </c>
      <c r="BT9" s="145">
        <f>SUM(BT10:BT14)</f>
        <v>874.5</v>
      </c>
      <c r="BU9" s="145">
        <f>SUM(BU10:BU14)</f>
        <v>1144.441</v>
      </c>
      <c r="BV9" s="145">
        <f>SUM(BV10:BV14)</f>
        <v>1207.6010000000001</v>
      </c>
      <c r="BW9" s="145">
        <f>BC9</f>
        <v>1509.8879999999999</v>
      </c>
      <c r="BX9" s="145">
        <f>BG9</f>
        <v>1691.15</v>
      </c>
    </row>
    <row r="10" spans="1:76" s="147" customFormat="1" x14ac:dyDescent="0.35">
      <c r="B10" s="148" t="str">
        <f>IF(Control!$D$5=1,"Finished Goods","Produtos Acabados")</f>
        <v>Finished Goods</v>
      </c>
      <c r="C10" s="146">
        <v>0</v>
      </c>
      <c r="D10" s="95" t="s">
        <v>3</v>
      </c>
      <c r="E10" s="279" t="s">
        <v>3</v>
      </c>
      <c r="F10" s="279" t="s">
        <v>3</v>
      </c>
      <c r="G10" s="279" t="str">
        <f t="shared" ref="G10:G17" si="4">F10</f>
        <v>n.a</v>
      </c>
      <c r="H10" s="95" t="s">
        <v>3</v>
      </c>
      <c r="I10" s="279" t="s">
        <v>3</v>
      </c>
      <c r="J10" s="279" t="s">
        <v>3</v>
      </c>
      <c r="K10" s="279" t="str">
        <f t="shared" ref="K10:K17" si="5">J10</f>
        <v>n.a</v>
      </c>
      <c r="L10" s="95" t="s">
        <v>3</v>
      </c>
      <c r="M10" s="279" t="s">
        <v>3</v>
      </c>
      <c r="N10" s="279" t="s">
        <v>3</v>
      </c>
      <c r="O10" s="279" t="str">
        <f t="shared" ref="O10:O17" si="6">N10</f>
        <v>n.a</v>
      </c>
      <c r="P10" s="95" t="s">
        <v>3</v>
      </c>
      <c r="Q10" s="279" t="s">
        <v>3</v>
      </c>
      <c r="R10" s="279" t="s">
        <v>3</v>
      </c>
      <c r="S10" s="279" t="str">
        <f t="shared" ref="S10:S17" si="7">R10</f>
        <v>n.a</v>
      </c>
      <c r="T10" s="95" t="s">
        <v>3</v>
      </c>
      <c r="U10" s="279" t="s">
        <v>3</v>
      </c>
      <c r="V10" s="279" t="s">
        <v>3</v>
      </c>
      <c r="W10" s="279" t="str">
        <f t="shared" ref="W10:W17" si="8">V10</f>
        <v>n.a</v>
      </c>
      <c r="X10" s="95" t="s">
        <v>3</v>
      </c>
      <c r="Y10" s="279" t="s">
        <v>3</v>
      </c>
      <c r="Z10" s="279" t="s">
        <v>3</v>
      </c>
      <c r="AA10" s="279" t="str">
        <f t="shared" ref="AA10:AA17" si="9">Z10</f>
        <v>n.a</v>
      </c>
      <c r="AB10" s="95" t="s">
        <v>3</v>
      </c>
      <c r="AC10" s="279" t="s">
        <v>3</v>
      </c>
      <c r="AD10" s="279" t="s">
        <v>3</v>
      </c>
      <c r="AE10" s="279" t="str">
        <f t="shared" ref="AE10:AE17" si="10">AD10</f>
        <v>n.a</v>
      </c>
      <c r="AF10" s="279" t="s">
        <v>3</v>
      </c>
      <c r="AG10" s="279" t="s">
        <v>3</v>
      </c>
      <c r="AH10" s="279" t="s">
        <v>3</v>
      </c>
      <c r="AI10" s="64">
        <v>250.68100000000001</v>
      </c>
      <c r="AJ10" s="94">
        <v>276.024</v>
      </c>
      <c r="AK10" s="64">
        <v>370.17200000000003</v>
      </c>
      <c r="AL10" s="64">
        <v>361.59399999999999</v>
      </c>
      <c r="AM10" s="64">
        <v>291.18</v>
      </c>
      <c r="AN10" s="94">
        <v>275.392</v>
      </c>
      <c r="AO10" s="64">
        <v>311.06900000000002</v>
      </c>
      <c r="AP10" s="64">
        <v>291.18</v>
      </c>
      <c r="AQ10" s="94">
        <v>258.3</v>
      </c>
      <c r="AR10" s="94">
        <v>285</v>
      </c>
      <c r="AS10" s="94">
        <v>379.5</v>
      </c>
      <c r="AT10" s="94">
        <v>366.7</v>
      </c>
      <c r="AU10" s="94">
        <v>357.10199999999998</v>
      </c>
      <c r="AV10" s="94">
        <v>427</v>
      </c>
      <c r="AW10" s="94">
        <v>446.72399999999999</v>
      </c>
      <c r="AX10" s="94">
        <v>471.38099999999997</v>
      </c>
      <c r="AY10" s="94">
        <v>342.92200000000003</v>
      </c>
      <c r="AZ10" s="94">
        <v>397.11399999999998</v>
      </c>
      <c r="BA10" s="94">
        <v>445.81200000000001</v>
      </c>
      <c r="BB10" s="94">
        <v>504.27499999999998</v>
      </c>
      <c r="BC10" s="94">
        <v>397.93</v>
      </c>
      <c r="BD10" s="94">
        <v>402.084</v>
      </c>
      <c r="BE10" s="94">
        <v>505.791</v>
      </c>
      <c r="BF10" s="94">
        <v>641.08978119179551</v>
      </c>
      <c r="BG10" s="94">
        <v>495.03800000000001</v>
      </c>
      <c r="BH10" s="94">
        <v>614.52700000000004</v>
      </c>
      <c r="BI10" s="246"/>
      <c r="BJ10" s="92" t="s">
        <v>3</v>
      </c>
      <c r="BK10" s="92" t="s">
        <v>3</v>
      </c>
      <c r="BL10" s="92" t="s">
        <v>3</v>
      </c>
      <c r="BM10" s="92" t="s">
        <v>3</v>
      </c>
      <c r="BN10" s="92" t="s">
        <v>3</v>
      </c>
      <c r="BO10" s="92" t="s">
        <v>3</v>
      </c>
      <c r="BP10" s="92" t="s">
        <v>3</v>
      </c>
      <c r="BQ10" s="92" t="s">
        <v>3</v>
      </c>
      <c r="BR10" s="64">
        <v>250.68100000000001</v>
      </c>
      <c r="BS10" s="64">
        <f>AM10</f>
        <v>291.18</v>
      </c>
      <c r="BT10" s="94">
        <f>AQ10</f>
        <v>258.3</v>
      </c>
      <c r="BU10" s="94">
        <f>AU10</f>
        <v>357.10199999999998</v>
      </c>
      <c r="BV10" s="94">
        <f>AY10</f>
        <v>342.92200000000003</v>
      </c>
      <c r="BW10" s="94">
        <f t="shared" ref="BW10:BW17" si="11">BC10</f>
        <v>397.93</v>
      </c>
      <c r="BX10" s="94">
        <f t="shared" ref="BX10:BX14" si="12">BG10</f>
        <v>495.03800000000001</v>
      </c>
    </row>
    <row r="11" spans="1:76" s="147" customFormat="1" x14ac:dyDescent="0.35">
      <c r="B11" s="148" t="str">
        <f>IF(Control!$D$5=1,"Raw Material","Matéria Prima")</f>
        <v>Raw Material</v>
      </c>
      <c r="C11" s="146">
        <v>0</v>
      </c>
      <c r="D11" s="95" t="s">
        <v>3</v>
      </c>
      <c r="E11" s="279" t="s">
        <v>3</v>
      </c>
      <c r="F11" s="279" t="s">
        <v>3</v>
      </c>
      <c r="G11" s="279" t="str">
        <f t="shared" si="4"/>
        <v>n.a</v>
      </c>
      <c r="H11" s="95" t="s">
        <v>3</v>
      </c>
      <c r="I11" s="279" t="s">
        <v>3</v>
      </c>
      <c r="J11" s="279" t="s">
        <v>3</v>
      </c>
      <c r="K11" s="279" t="str">
        <f t="shared" si="5"/>
        <v>n.a</v>
      </c>
      <c r="L11" s="95" t="s">
        <v>3</v>
      </c>
      <c r="M11" s="279" t="s">
        <v>3</v>
      </c>
      <c r="N11" s="279" t="s">
        <v>3</v>
      </c>
      <c r="O11" s="279" t="str">
        <f t="shared" si="6"/>
        <v>n.a</v>
      </c>
      <c r="P11" s="95" t="s">
        <v>3</v>
      </c>
      <c r="Q11" s="279" t="s">
        <v>3</v>
      </c>
      <c r="R11" s="279" t="s">
        <v>3</v>
      </c>
      <c r="S11" s="279" t="str">
        <f t="shared" si="7"/>
        <v>n.a</v>
      </c>
      <c r="T11" s="95" t="s">
        <v>3</v>
      </c>
      <c r="U11" s="279" t="s">
        <v>3</v>
      </c>
      <c r="V11" s="279" t="s">
        <v>3</v>
      </c>
      <c r="W11" s="279" t="str">
        <f t="shared" si="8"/>
        <v>n.a</v>
      </c>
      <c r="X11" s="95" t="s">
        <v>3</v>
      </c>
      <c r="Y11" s="279" t="s">
        <v>3</v>
      </c>
      <c r="Z11" s="279" t="s">
        <v>3</v>
      </c>
      <c r="AA11" s="279" t="str">
        <f t="shared" si="9"/>
        <v>n.a</v>
      </c>
      <c r="AB11" s="95" t="s">
        <v>3</v>
      </c>
      <c r="AC11" s="279" t="s">
        <v>3</v>
      </c>
      <c r="AD11" s="279" t="s">
        <v>3</v>
      </c>
      <c r="AE11" s="279" t="str">
        <f t="shared" si="10"/>
        <v>n.a</v>
      </c>
      <c r="AF11" s="279" t="s">
        <v>3</v>
      </c>
      <c r="AG11" s="279" t="s">
        <v>3</v>
      </c>
      <c r="AH11" s="279" t="s">
        <v>3</v>
      </c>
      <c r="AI11" s="64">
        <v>208.48599999999999</v>
      </c>
      <c r="AJ11" s="94">
        <v>737.74099999999999</v>
      </c>
      <c r="AK11" s="64">
        <v>558.53800000000001</v>
      </c>
      <c r="AL11" s="64">
        <v>473.04599999999999</v>
      </c>
      <c r="AM11" s="64">
        <v>393.11599999999999</v>
      </c>
      <c r="AN11" s="94">
        <v>721.601</v>
      </c>
      <c r="AO11" s="64">
        <v>579.89499999999998</v>
      </c>
      <c r="AP11" s="64">
        <v>393.11599999999999</v>
      </c>
      <c r="AQ11" s="94">
        <v>199.8</v>
      </c>
      <c r="AR11" s="94">
        <v>688.6</v>
      </c>
      <c r="AS11" s="94">
        <v>623.1</v>
      </c>
      <c r="AT11" s="94">
        <v>506.7</v>
      </c>
      <c r="AU11" s="94">
        <v>270.06799999999998</v>
      </c>
      <c r="AV11" s="94">
        <v>774.1</v>
      </c>
      <c r="AW11" s="94">
        <v>646.55399999999997</v>
      </c>
      <c r="AX11" s="94">
        <v>416.07600000000002</v>
      </c>
      <c r="AY11" s="94">
        <v>231.18100000000001</v>
      </c>
      <c r="AZ11" s="94">
        <v>996.40300000000002</v>
      </c>
      <c r="BA11" s="94">
        <v>791.10500000000002</v>
      </c>
      <c r="BB11" s="94">
        <v>718.07899999999995</v>
      </c>
      <c r="BC11" s="94">
        <v>390.83100000000002</v>
      </c>
      <c r="BD11" s="94">
        <v>1098.6959999999999</v>
      </c>
      <c r="BE11" s="94">
        <v>698.053</v>
      </c>
      <c r="BF11" s="94">
        <v>497.99703039691525</v>
      </c>
      <c r="BG11" s="94">
        <v>386.56400000000002</v>
      </c>
      <c r="BH11" s="94">
        <v>984.596</v>
      </c>
      <c r="BI11" s="246"/>
      <c r="BJ11" s="92" t="s">
        <v>3</v>
      </c>
      <c r="BK11" s="92" t="s">
        <v>3</v>
      </c>
      <c r="BL11" s="92" t="s">
        <v>3</v>
      </c>
      <c r="BM11" s="92" t="s">
        <v>3</v>
      </c>
      <c r="BN11" s="92" t="s">
        <v>3</v>
      </c>
      <c r="BO11" s="92" t="s">
        <v>3</v>
      </c>
      <c r="BP11" s="92" t="s">
        <v>3</v>
      </c>
      <c r="BQ11" s="92" t="s">
        <v>3</v>
      </c>
      <c r="BR11" s="64">
        <v>208.48599999999999</v>
      </c>
      <c r="BS11" s="64">
        <f>AM11</f>
        <v>393.11599999999999</v>
      </c>
      <c r="BT11" s="94">
        <f>AQ11</f>
        <v>199.8</v>
      </c>
      <c r="BU11" s="94">
        <f>AU11</f>
        <v>270.06799999999998</v>
      </c>
      <c r="BV11" s="94">
        <f>AY11</f>
        <v>231.18100000000001</v>
      </c>
      <c r="BW11" s="94">
        <f t="shared" si="11"/>
        <v>390.83100000000002</v>
      </c>
      <c r="BX11" s="94">
        <f t="shared" si="12"/>
        <v>386.56400000000002</v>
      </c>
    </row>
    <row r="12" spans="1:76" s="147" customFormat="1" x14ac:dyDescent="0.35">
      <c r="A12" s="127"/>
      <c r="B12" s="148" t="str">
        <f>IF(Control!$D$5=1,"Packaging Materials","Material de Embalagem")</f>
        <v>Packaging Materials</v>
      </c>
      <c r="C12" s="146">
        <v>0</v>
      </c>
      <c r="D12" s="95" t="s">
        <v>3</v>
      </c>
      <c r="E12" s="279" t="s">
        <v>3</v>
      </c>
      <c r="F12" s="279" t="s">
        <v>3</v>
      </c>
      <c r="G12" s="279" t="str">
        <f t="shared" si="4"/>
        <v>n.a</v>
      </c>
      <c r="H12" s="95" t="s">
        <v>3</v>
      </c>
      <c r="I12" s="279" t="s">
        <v>3</v>
      </c>
      <c r="J12" s="279" t="s">
        <v>3</v>
      </c>
      <c r="K12" s="279" t="str">
        <f t="shared" si="5"/>
        <v>n.a</v>
      </c>
      <c r="L12" s="95" t="s">
        <v>3</v>
      </c>
      <c r="M12" s="279" t="s">
        <v>3</v>
      </c>
      <c r="N12" s="279" t="s">
        <v>3</v>
      </c>
      <c r="O12" s="279" t="str">
        <f t="shared" si="6"/>
        <v>n.a</v>
      </c>
      <c r="P12" s="95" t="s">
        <v>3</v>
      </c>
      <c r="Q12" s="279" t="s">
        <v>3</v>
      </c>
      <c r="R12" s="279" t="s">
        <v>3</v>
      </c>
      <c r="S12" s="279" t="str">
        <f t="shared" si="7"/>
        <v>n.a</v>
      </c>
      <c r="T12" s="95" t="s">
        <v>3</v>
      </c>
      <c r="U12" s="279" t="s">
        <v>3</v>
      </c>
      <c r="V12" s="279" t="s">
        <v>3</v>
      </c>
      <c r="W12" s="279" t="str">
        <f t="shared" si="8"/>
        <v>n.a</v>
      </c>
      <c r="X12" s="95" t="s">
        <v>3</v>
      </c>
      <c r="Y12" s="279" t="s">
        <v>3</v>
      </c>
      <c r="Z12" s="279" t="s">
        <v>3</v>
      </c>
      <c r="AA12" s="279" t="str">
        <f t="shared" si="9"/>
        <v>n.a</v>
      </c>
      <c r="AB12" s="95" t="s">
        <v>3</v>
      </c>
      <c r="AC12" s="279" t="s">
        <v>3</v>
      </c>
      <c r="AD12" s="279" t="s">
        <v>3</v>
      </c>
      <c r="AE12" s="279" t="str">
        <f t="shared" si="10"/>
        <v>n.a</v>
      </c>
      <c r="AF12" s="279" t="s">
        <v>3</v>
      </c>
      <c r="AG12" s="279" t="s">
        <v>3</v>
      </c>
      <c r="AH12" s="279" t="s">
        <v>3</v>
      </c>
      <c r="AI12" s="64">
        <v>59.948999999999998</v>
      </c>
      <c r="AJ12" s="94">
        <v>52.725000000000001</v>
      </c>
      <c r="AK12" s="64">
        <v>51.543999999999997</v>
      </c>
      <c r="AL12" s="64">
        <v>67.42</v>
      </c>
      <c r="AM12" s="64">
        <v>71.572999999999993</v>
      </c>
      <c r="AN12" s="94">
        <v>73.370999999999995</v>
      </c>
      <c r="AO12" s="64">
        <v>67.272000000000006</v>
      </c>
      <c r="AP12" s="64">
        <v>71.572999999999993</v>
      </c>
      <c r="AQ12" s="94">
        <v>69.400000000000006</v>
      </c>
      <c r="AR12" s="94">
        <v>68.599999999999994</v>
      </c>
      <c r="AS12" s="94">
        <v>61.6</v>
      </c>
      <c r="AT12" s="94">
        <v>61.4</v>
      </c>
      <c r="AU12" s="94">
        <v>67.33</v>
      </c>
      <c r="AV12" s="94">
        <v>73.8</v>
      </c>
      <c r="AW12" s="94">
        <v>78.414000000000001</v>
      </c>
      <c r="AX12" s="94">
        <v>86.459000000000003</v>
      </c>
      <c r="AY12" s="94">
        <v>81.326999999999998</v>
      </c>
      <c r="AZ12" s="94">
        <v>96.869</v>
      </c>
      <c r="BA12" s="94">
        <v>100.087</v>
      </c>
      <c r="BB12" s="94">
        <v>96.519000000000005</v>
      </c>
      <c r="BC12" s="94">
        <v>86.11</v>
      </c>
      <c r="BD12" s="94">
        <v>123.015</v>
      </c>
      <c r="BE12" s="94">
        <v>126.589</v>
      </c>
      <c r="BF12" s="94">
        <v>133.30000000000001</v>
      </c>
      <c r="BG12" s="94">
        <v>140.709</v>
      </c>
      <c r="BH12" s="94">
        <v>140.494</v>
      </c>
      <c r="BI12" s="246"/>
      <c r="BJ12" s="92" t="s">
        <v>3</v>
      </c>
      <c r="BK12" s="92" t="s">
        <v>3</v>
      </c>
      <c r="BL12" s="92" t="s">
        <v>3</v>
      </c>
      <c r="BM12" s="92" t="s">
        <v>3</v>
      </c>
      <c r="BN12" s="92" t="s">
        <v>3</v>
      </c>
      <c r="BO12" s="92" t="s">
        <v>3</v>
      </c>
      <c r="BP12" s="92" t="s">
        <v>3</v>
      </c>
      <c r="BQ12" s="92" t="s">
        <v>3</v>
      </c>
      <c r="BR12" s="64">
        <v>59.948999999999998</v>
      </c>
      <c r="BS12" s="64">
        <f>AM12</f>
        <v>71.572999999999993</v>
      </c>
      <c r="BT12" s="94">
        <f>AQ12</f>
        <v>69.400000000000006</v>
      </c>
      <c r="BU12" s="94">
        <f>AU12</f>
        <v>67.33</v>
      </c>
      <c r="BV12" s="94">
        <f>AY12</f>
        <v>81.326999999999998</v>
      </c>
      <c r="BW12" s="94">
        <f t="shared" si="11"/>
        <v>86.11</v>
      </c>
      <c r="BX12" s="94">
        <f t="shared" si="12"/>
        <v>140.709</v>
      </c>
    </row>
    <row r="13" spans="1:76" s="147" customFormat="1" x14ac:dyDescent="0.35">
      <c r="A13" s="127"/>
      <c r="B13" s="148" t="str">
        <f>IF(Control!$D$5=1,"Advance to Suppliers","Adiantamento a Fornecedores")</f>
        <v>Advance to Suppliers</v>
      </c>
      <c r="C13" s="146">
        <v>0</v>
      </c>
      <c r="D13" s="95" t="s">
        <v>3</v>
      </c>
      <c r="E13" s="279" t="s">
        <v>3</v>
      </c>
      <c r="F13" s="279" t="s">
        <v>3</v>
      </c>
      <c r="G13" s="279" t="str">
        <f t="shared" si="4"/>
        <v>n.a</v>
      </c>
      <c r="H13" s="95" t="s">
        <v>3</v>
      </c>
      <c r="I13" s="279" t="s">
        <v>3</v>
      </c>
      <c r="J13" s="279" t="s">
        <v>3</v>
      </c>
      <c r="K13" s="279" t="str">
        <f t="shared" si="5"/>
        <v>n.a</v>
      </c>
      <c r="L13" s="95" t="s">
        <v>3</v>
      </c>
      <c r="M13" s="279" t="s">
        <v>3</v>
      </c>
      <c r="N13" s="279" t="s">
        <v>3</v>
      </c>
      <c r="O13" s="279" t="str">
        <f t="shared" si="6"/>
        <v>n.a</v>
      </c>
      <c r="P13" s="95" t="s">
        <v>3</v>
      </c>
      <c r="Q13" s="279" t="s">
        <v>3</v>
      </c>
      <c r="R13" s="279" t="s">
        <v>3</v>
      </c>
      <c r="S13" s="279" t="str">
        <f t="shared" si="7"/>
        <v>n.a</v>
      </c>
      <c r="T13" s="95" t="s">
        <v>3</v>
      </c>
      <c r="U13" s="279" t="s">
        <v>3</v>
      </c>
      <c r="V13" s="279" t="s">
        <v>3</v>
      </c>
      <c r="W13" s="279" t="str">
        <f t="shared" si="8"/>
        <v>n.a</v>
      </c>
      <c r="X13" s="95" t="s">
        <v>3</v>
      </c>
      <c r="Y13" s="279" t="s">
        <v>3</v>
      </c>
      <c r="Z13" s="279" t="s">
        <v>3</v>
      </c>
      <c r="AA13" s="279" t="str">
        <f t="shared" si="9"/>
        <v>n.a</v>
      </c>
      <c r="AB13" s="95" t="s">
        <v>3</v>
      </c>
      <c r="AC13" s="279" t="s">
        <v>3</v>
      </c>
      <c r="AD13" s="279" t="s">
        <v>3</v>
      </c>
      <c r="AE13" s="279" t="str">
        <f t="shared" si="10"/>
        <v>n.a</v>
      </c>
      <c r="AF13" s="279" t="s">
        <v>3</v>
      </c>
      <c r="AG13" s="279" t="s">
        <v>3</v>
      </c>
      <c r="AH13" s="279" t="s">
        <v>3</v>
      </c>
      <c r="AI13" s="64">
        <v>299.73599999999999</v>
      </c>
      <c r="AJ13" s="94">
        <v>280.82499999999999</v>
      </c>
      <c r="AK13" s="64">
        <v>292.43400000000003</v>
      </c>
      <c r="AL13" s="64">
        <v>324.85599999999999</v>
      </c>
      <c r="AM13" s="64">
        <v>283.40499999999997</v>
      </c>
      <c r="AN13" s="94">
        <v>306.82900000000001</v>
      </c>
      <c r="AO13" s="64">
        <v>215.81700000000001</v>
      </c>
      <c r="AP13" s="64">
        <v>283.40499999999997</v>
      </c>
      <c r="AQ13" s="94">
        <v>316.60000000000002</v>
      </c>
      <c r="AR13" s="94">
        <v>334.5</v>
      </c>
      <c r="AS13" s="94">
        <v>270.8</v>
      </c>
      <c r="AT13" s="94">
        <v>352.5</v>
      </c>
      <c r="AU13" s="94">
        <v>393.28500000000003</v>
      </c>
      <c r="AV13" s="94">
        <v>374</v>
      </c>
      <c r="AW13" s="94">
        <v>321.00299999999999</v>
      </c>
      <c r="AX13" s="94">
        <v>435.584</v>
      </c>
      <c r="AY13" s="94">
        <v>493.26600000000002</v>
      </c>
      <c r="AZ13" s="94">
        <v>541.79600000000005</v>
      </c>
      <c r="BA13" s="94">
        <v>451.88099999999997</v>
      </c>
      <c r="BB13" s="94">
        <v>519.827</v>
      </c>
      <c r="BC13" s="94">
        <v>522.91399999999999</v>
      </c>
      <c r="BD13" s="94">
        <v>448.78500000000003</v>
      </c>
      <c r="BE13" s="94">
        <v>320.73099999999999</v>
      </c>
      <c r="BF13" s="94">
        <v>431.42200000000003</v>
      </c>
      <c r="BG13" s="94">
        <v>553.21299999999997</v>
      </c>
      <c r="BH13" s="94">
        <v>535.08500000000004</v>
      </c>
      <c r="BI13" s="246"/>
      <c r="BJ13" s="92" t="s">
        <v>3</v>
      </c>
      <c r="BK13" s="92" t="s">
        <v>3</v>
      </c>
      <c r="BL13" s="92" t="s">
        <v>3</v>
      </c>
      <c r="BM13" s="92" t="s">
        <v>3</v>
      </c>
      <c r="BN13" s="92" t="s">
        <v>3</v>
      </c>
      <c r="BO13" s="92" t="s">
        <v>3</v>
      </c>
      <c r="BP13" s="92" t="s">
        <v>3</v>
      </c>
      <c r="BQ13" s="92" t="s">
        <v>3</v>
      </c>
      <c r="BR13" s="64">
        <v>299.73599999999999</v>
      </c>
      <c r="BS13" s="64">
        <f>AM13</f>
        <v>283.40499999999997</v>
      </c>
      <c r="BT13" s="94">
        <f>AQ13</f>
        <v>316.60000000000002</v>
      </c>
      <c r="BU13" s="94">
        <f>AU13</f>
        <v>393.28500000000003</v>
      </c>
      <c r="BV13" s="94">
        <f>AY13</f>
        <v>493.26600000000002</v>
      </c>
      <c r="BW13" s="94">
        <f t="shared" si="11"/>
        <v>522.91399999999999</v>
      </c>
      <c r="BX13" s="94">
        <f t="shared" si="12"/>
        <v>553.21299999999997</v>
      </c>
    </row>
    <row r="14" spans="1:76" s="147" customFormat="1" x14ac:dyDescent="0.35">
      <c r="A14" s="127"/>
      <c r="B14" s="148" t="str">
        <f>IF(Control!$D$5=1,"Others","Outros")</f>
        <v>Others</v>
      </c>
      <c r="C14" s="146">
        <v>0</v>
      </c>
      <c r="D14" s="95" t="s">
        <v>3</v>
      </c>
      <c r="E14" s="279" t="s">
        <v>3</v>
      </c>
      <c r="F14" s="279" t="s">
        <v>3</v>
      </c>
      <c r="G14" s="279" t="str">
        <f t="shared" si="4"/>
        <v>n.a</v>
      </c>
      <c r="H14" s="95" t="s">
        <v>3</v>
      </c>
      <c r="I14" s="279" t="s">
        <v>3</v>
      </c>
      <c r="J14" s="279" t="s">
        <v>3</v>
      </c>
      <c r="K14" s="279" t="str">
        <f t="shared" si="5"/>
        <v>n.a</v>
      </c>
      <c r="L14" s="95" t="s">
        <v>3</v>
      </c>
      <c r="M14" s="279" t="s">
        <v>3</v>
      </c>
      <c r="N14" s="279" t="s">
        <v>3</v>
      </c>
      <c r="O14" s="279" t="str">
        <f t="shared" si="6"/>
        <v>n.a</v>
      </c>
      <c r="P14" s="95" t="s">
        <v>3</v>
      </c>
      <c r="Q14" s="279" t="s">
        <v>3</v>
      </c>
      <c r="R14" s="279" t="s">
        <v>3</v>
      </c>
      <c r="S14" s="279" t="str">
        <f t="shared" si="7"/>
        <v>n.a</v>
      </c>
      <c r="T14" s="95" t="s">
        <v>3</v>
      </c>
      <c r="U14" s="279" t="s">
        <v>3</v>
      </c>
      <c r="V14" s="279" t="s">
        <v>3</v>
      </c>
      <c r="W14" s="279" t="str">
        <f t="shared" si="8"/>
        <v>n.a</v>
      </c>
      <c r="X14" s="95" t="s">
        <v>3</v>
      </c>
      <c r="Y14" s="279" t="s">
        <v>3</v>
      </c>
      <c r="Z14" s="279" t="s">
        <v>3</v>
      </c>
      <c r="AA14" s="279" t="str">
        <f t="shared" si="9"/>
        <v>n.a</v>
      </c>
      <c r="AB14" s="95" t="s">
        <v>3</v>
      </c>
      <c r="AC14" s="279" t="s">
        <v>3</v>
      </c>
      <c r="AD14" s="279" t="s">
        <v>3</v>
      </c>
      <c r="AE14" s="279" t="str">
        <f t="shared" si="10"/>
        <v>n.a</v>
      </c>
      <c r="AF14" s="279" t="s">
        <v>3</v>
      </c>
      <c r="AG14" s="279" t="s">
        <v>3</v>
      </c>
      <c r="AH14" s="279" t="s">
        <v>3</v>
      </c>
      <c r="AI14" s="64">
        <v>55.779000000000003</v>
      </c>
      <c r="AJ14" s="94">
        <v>23.927</v>
      </c>
      <c r="AK14" s="64">
        <v>69.188000000000002</v>
      </c>
      <c r="AL14" s="64">
        <v>35.322000000000003</v>
      </c>
      <c r="AM14" s="64">
        <v>61.204000000000001</v>
      </c>
      <c r="AN14" s="94">
        <v>69.221000000000004</v>
      </c>
      <c r="AO14" s="64">
        <v>71.338999999999999</v>
      </c>
      <c r="AP14" s="64">
        <v>61.204000000000001</v>
      </c>
      <c r="AQ14" s="94">
        <v>30.4</v>
      </c>
      <c r="AR14" s="94">
        <v>46.9</v>
      </c>
      <c r="AS14" s="94">
        <v>60.6</v>
      </c>
      <c r="AT14" s="94">
        <v>46.6</v>
      </c>
      <c r="AU14" s="94">
        <v>56.655999999999999</v>
      </c>
      <c r="AV14" s="94">
        <v>50.8</v>
      </c>
      <c r="AW14" s="94">
        <v>67.316999999999993</v>
      </c>
      <c r="AX14" s="94">
        <v>59.683999999999997</v>
      </c>
      <c r="AY14" s="94">
        <v>58.905000000000001</v>
      </c>
      <c r="AZ14" s="94">
        <v>83.945999999999998</v>
      </c>
      <c r="BA14" s="94">
        <v>105.93300000000001</v>
      </c>
      <c r="BB14" s="94">
        <v>85.057000000000002</v>
      </c>
      <c r="BC14" s="94">
        <v>112.10299999999999</v>
      </c>
      <c r="BD14" s="94">
        <v>97.457999999999998</v>
      </c>
      <c r="BE14" s="94">
        <v>96.790999999999997</v>
      </c>
      <c r="BF14" s="94">
        <v>78.073999999999998</v>
      </c>
      <c r="BG14" s="94">
        <v>115.626</v>
      </c>
      <c r="BH14" s="94">
        <v>107.154</v>
      </c>
      <c r="BI14" s="246"/>
      <c r="BJ14" s="92" t="s">
        <v>3</v>
      </c>
      <c r="BK14" s="92" t="s">
        <v>3</v>
      </c>
      <c r="BL14" s="92" t="s">
        <v>3</v>
      </c>
      <c r="BM14" s="92" t="s">
        <v>3</v>
      </c>
      <c r="BN14" s="92" t="s">
        <v>3</v>
      </c>
      <c r="BO14" s="92" t="s">
        <v>3</v>
      </c>
      <c r="BP14" s="92" t="s">
        <v>3</v>
      </c>
      <c r="BQ14" s="92" t="s">
        <v>3</v>
      </c>
      <c r="BR14" s="64">
        <v>55.779000000000003</v>
      </c>
      <c r="BS14" s="64">
        <f>AM14</f>
        <v>61.204000000000001</v>
      </c>
      <c r="BT14" s="94">
        <f>AQ14</f>
        <v>30.4</v>
      </c>
      <c r="BU14" s="94">
        <f>AU14</f>
        <v>56.655999999999999</v>
      </c>
      <c r="BV14" s="94">
        <f>AY14</f>
        <v>58.905000000000001</v>
      </c>
      <c r="BW14" s="94">
        <f t="shared" si="11"/>
        <v>112.10299999999999</v>
      </c>
      <c r="BX14" s="94">
        <f t="shared" si="12"/>
        <v>115.626</v>
      </c>
    </row>
    <row r="15" spans="1:76" ht="6.75" customHeight="1" x14ac:dyDescent="0.35">
      <c r="A15" s="80"/>
      <c r="B15" s="56"/>
      <c r="C15" s="95"/>
      <c r="D15" s="95"/>
      <c r="E15" s="279"/>
      <c r="F15" s="279"/>
      <c r="G15" s="279"/>
      <c r="H15" s="95"/>
      <c r="I15" s="279"/>
      <c r="J15" s="279"/>
      <c r="K15" s="279"/>
      <c r="L15" s="95"/>
      <c r="M15" s="279"/>
      <c r="N15" s="279"/>
      <c r="O15" s="279"/>
      <c r="P15" s="95"/>
      <c r="Q15" s="279"/>
      <c r="R15" s="279"/>
      <c r="S15" s="279"/>
      <c r="T15" s="95"/>
      <c r="U15" s="279"/>
      <c r="V15" s="279"/>
      <c r="W15" s="279"/>
      <c r="X15" s="95"/>
      <c r="Y15" s="279"/>
      <c r="Z15" s="279"/>
      <c r="AA15" s="279"/>
      <c r="AB15" s="95"/>
      <c r="AC15" s="279"/>
      <c r="AD15" s="279"/>
      <c r="AE15" s="279"/>
      <c r="AF15" s="279"/>
      <c r="AG15" s="279"/>
      <c r="AH15" s="279"/>
      <c r="AI15" s="149"/>
      <c r="AJ15" s="95"/>
      <c r="AK15" s="279"/>
      <c r="AL15" s="279"/>
      <c r="AM15" s="279"/>
      <c r="AN15" s="95"/>
      <c r="AO15" s="150"/>
      <c r="AP15" s="279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246"/>
      <c r="BJ15" s="92"/>
      <c r="BK15" s="92"/>
      <c r="BL15" s="92"/>
      <c r="BM15" s="92"/>
      <c r="BN15" s="92"/>
      <c r="BO15" s="92"/>
      <c r="BP15" s="92"/>
      <c r="BQ15" s="92"/>
      <c r="BR15" s="149"/>
      <c r="BS15" s="149"/>
      <c r="BT15" s="94"/>
      <c r="BU15" s="94"/>
      <c r="BV15" s="94"/>
      <c r="BW15" s="94"/>
      <c r="BX15" s="94"/>
    </row>
    <row r="16" spans="1:76" s="147" customFormat="1" x14ac:dyDescent="0.35">
      <c r="A16" s="127"/>
      <c r="B16" s="148" t="str">
        <f>IF(Control!$D$5=1,"Current Portion","Parcela Circulante")</f>
        <v>Current Portion</v>
      </c>
      <c r="C16" s="146">
        <v>0</v>
      </c>
      <c r="D16" s="95" t="s">
        <v>3</v>
      </c>
      <c r="E16" s="279" t="s">
        <v>3</v>
      </c>
      <c r="F16" s="279" t="s">
        <v>3</v>
      </c>
      <c r="G16" s="279" t="str">
        <f t="shared" si="4"/>
        <v>n.a</v>
      </c>
      <c r="H16" s="95" t="s">
        <v>3</v>
      </c>
      <c r="I16" s="279" t="s">
        <v>3</v>
      </c>
      <c r="J16" s="279" t="s">
        <v>3</v>
      </c>
      <c r="K16" s="279" t="str">
        <f t="shared" si="5"/>
        <v>n.a</v>
      </c>
      <c r="L16" s="95" t="s">
        <v>3</v>
      </c>
      <c r="M16" s="279" t="s">
        <v>3</v>
      </c>
      <c r="N16" s="279" t="s">
        <v>3</v>
      </c>
      <c r="O16" s="279" t="str">
        <f t="shared" si="6"/>
        <v>n.a</v>
      </c>
      <c r="P16" s="95" t="s">
        <v>3</v>
      </c>
      <c r="Q16" s="279" t="s">
        <v>3</v>
      </c>
      <c r="R16" s="279" t="s">
        <v>3</v>
      </c>
      <c r="S16" s="279" t="str">
        <f t="shared" si="7"/>
        <v>n.a</v>
      </c>
      <c r="T16" s="95" t="s">
        <v>3</v>
      </c>
      <c r="U16" s="279" t="s">
        <v>3</v>
      </c>
      <c r="V16" s="279" t="s">
        <v>3</v>
      </c>
      <c r="W16" s="279" t="str">
        <f t="shared" si="8"/>
        <v>n.a</v>
      </c>
      <c r="X16" s="95" t="s">
        <v>3</v>
      </c>
      <c r="Y16" s="279" t="s">
        <v>3</v>
      </c>
      <c r="Z16" s="279" t="s">
        <v>3</v>
      </c>
      <c r="AA16" s="279" t="str">
        <f t="shared" si="9"/>
        <v>n.a</v>
      </c>
      <c r="AB16" s="95" t="s">
        <v>3</v>
      </c>
      <c r="AC16" s="279" t="s">
        <v>3</v>
      </c>
      <c r="AD16" s="279" t="s">
        <v>3</v>
      </c>
      <c r="AE16" s="279" t="str">
        <f t="shared" si="10"/>
        <v>n.a</v>
      </c>
      <c r="AF16" s="279" t="s">
        <v>3</v>
      </c>
      <c r="AG16" s="279" t="s">
        <v>3</v>
      </c>
      <c r="AH16" s="279" t="s">
        <v>3</v>
      </c>
      <c r="AI16" s="64">
        <v>857.64</v>
      </c>
      <c r="AJ16" s="94">
        <v>1363.44</v>
      </c>
      <c r="AK16" s="64">
        <v>1336.6949999999999</v>
      </c>
      <c r="AL16" s="64">
        <v>1253.325</v>
      </c>
      <c r="AM16" s="64">
        <v>579.245</v>
      </c>
      <c r="AN16" s="94">
        <v>1438.2719999999999</v>
      </c>
      <c r="AO16" s="64">
        <v>1232.9659999999999</v>
      </c>
      <c r="AP16" s="64">
        <v>1085.134</v>
      </c>
      <c r="AQ16" s="94">
        <v>505.68400000000003</v>
      </c>
      <c r="AR16" s="94">
        <v>491.57400000000001</v>
      </c>
      <c r="AS16" s="94">
        <v>631.94500000000005</v>
      </c>
      <c r="AT16" s="94">
        <v>1311.2349999999999</v>
      </c>
      <c r="AU16" s="94">
        <v>1120.18</v>
      </c>
      <c r="AV16" s="94">
        <v>1679</v>
      </c>
      <c r="AW16" s="94">
        <v>1536.473</v>
      </c>
      <c r="AX16" s="94">
        <v>1439.1990000000001</v>
      </c>
      <c r="AY16" s="94">
        <v>1152.8040000000001</v>
      </c>
      <c r="AZ16" s="94">
        <v>2080.8780000000002</v>
      </c>
      <c r="BA16" s="94">
        <v>1860.835</v>
      </c>
      <c r="BB16" s="94">
        <v>1878.9870000000001</v>
      </c>
      <c r="BC16" s="94">
        <v>1456.78</v>
      </c>
      <c r="BD16" s="94">
        <v>2124.0619999999999</v>
      </c>
      <c r="BE16" s="94">
        <v>1706.636</v>
      </c>
      <c r="BF16" s="94">
        <v>1734.0440000000001</v>
      </c>
      <c r="BG16" s="94">
        <v>1646.6969999999999</v>
      </c>
      <c r="BH16" s="94">
        <v>2335.6</v>
      </c>
      <c r="BI16" s="246"/>
      <c r="BJ16" s="92" t="s">
        <v>3</v>
      </c>
      <c r="BK16" s="92" t="s">
        <v>3</v>
      </c>
      <c r="BL16" s="92" t="s">
        <v>3</v>
      </c>
      <c r="BM16" s="92" t="s">
        <v>3</v>
      </c>
      <c r="BN16" s="92" t="s">
        <v>3</v>
      </c>
      <c r="BO16" s="92" t="s">
        <v>3</v>
      </c>
      <c r="BP16" s="92" t="s">
        <v>3</v>
      </c>
      <c r="BQ16" s="92" t="s">
        <v>3</v>
      </c>
      <c r="BR16" s="64">
        <v>857.64</v>
      </c>
      <c r="BS16" s="64">
        <f>AM16</f>
        <v>579.245</v>
      </c>
      <c r="BT16" s="94">
        <f>AQ16</f>
        <v>505.68400000000003</v>
      </c>
      <c r="BU16" s="94">
        <f>AU16</f>
        <v>1120.18</v>
      </c>
      <c r="BV16" s="94">
        <f>AY16</f>
        <v>1152.8040000000001</v>
      </c>
      <c r="BW16" s="94">
        <f t="shared" si="11"/>
        <v>1456.78</v>
      </c>
      <c r="BX16" s="94">
        <f t="shared" ref="BX16:BX17" si="13">BG16</f>
        <v>1646.6969999999999</v>
      </c>
    </row>
    <row r="17" spans="1:76" s="147" customFormat="1" x14ac:dyDescent="0.35">
      <c r="A17" s="80"/>
      <c r="B17" s="148" t="str">
        <f>IF(Control!$D$5=1,"Noncurrent Portion","Parcela não circulante")</f>
        <v>Noncurrent Portion</v>
      </c>
      <c r="C17" s="146">
        <v>0</v>
      </c>
      <c r="D17" s="95" t="s">
        <v>3</v>
      </c>
      <c r="E17" s="279" t="s">
        <v>3</v>
      </c>
      <c r="F17" s="279" t="s">
        <v>3</v>
      </c>
      <c r="G17" s="279" t="str">
        <f t="shared" si="4"/>
        <v>n.a</v>
      </c>
      <c r="H17" s="95" t="s">
        <v>3</v>
      </c>
      <c r="I17" s="279" t="s">
        <v>3</v>
      </c>
      <c r="J17" s="279" t="s">
        <v>3</v>
      </c>
      <c r="K17" s="279" t="str">
        <f t="shared" si="5"/>
        <v>n.a</v>
      </c>
      <c r="L17" s="95" t="s">
        <v>3</v>
      </c>
      <c r="M17" s="279" t="s">
        <v>3</v>
      </c>
      <c r="N17" s="279" t="s">
        <v>3</v>
      </c>
      <c r="O17" s="279" t="str">
        <f t="shared" si="6"/>
        <v>n.a</v>
      </c>
      <c r="P17" s="95" t="s">
        <v>3</v>
      </c>
      <c r="Q17" s="279" t="s">
        <v>3</v>
      </c>
      <c r="R17" s="279" t="s">
        <v>3</v>
      </c>
      <c r="S17" s="279" t="str">
        <f t="shared" si="7"/>
        <v>n.a</v>
      </c>
      <c r="T17" s="95" t="s">
        <v>3</v>
      </c>
      <c r="U17" s="279" t="s">
        <v>3</v>
      </c>
      <c r="V17" s="279" t="s">
        <v>3</v>
      </c>
      <c r="W17" s="279" t="str">
        <f t="shared" si="8"/>
        <v>n.a</v>
      </c>
      <c r="X17" s="95" t="s">
        <v>3</v>
      </c>
      <c r="Y17" s="279" t="s">
        <v>3</v>
      </c>
      <c r="Z17" s="279" t="s">
        <v>3</v>
      </c>
      <c r="AA17" s="279" t="str">
        <f t="shared" si="9"/>
        <v>n.a</v>
      </c>
      <c r="AB17" s="95" t="s">
        <v>3</v>
      </c>
      <c r="AC17" s="279" t="s">
        <v>3</v>
      </c>
      <c r="AD17" s="279" t="s">
        <v>3</v>
      </c>
      <c r="AE17" s="279" t="str">
        <f t="shared" si="10"/>
        <v>n.a</v>
      </c>
      <c r="AF17" s="279" t="s">
        <v>3</v>
      </c>
      <c r="AG17" s="279" t="s">
        <v>3</v>
      </c>
      <c r="AH17" s="279" t="s">
        <v>3</v>
      </c>
      <c r="AI17" s="64">
        <v>16.991</v>
      </c>
      <c r="AJ17" s="94">
        <v>7.8029999999999999</v>
      </c>
      <c r="AK17" s="64">
        <v>5.181</v>
      </c>
      <c r="AL17" s="64">
        <v>8.9130000000000003</v>
      </c>
      <c r="AM17" s="64">
        <v>8.6039999999999992</v>
      </c>
      <c r="AN17" s="94">
        <v>8.1419999999999995</v>
      </c>
      <c r="AO17" s="64">
        <v>12.426</v>
      </c>
      <c r="AP17" s="64">
        <v>15.343999999999999</v>
      </c>
      <c r="AQ17" s="94">
        <v>17.998999999999999</v>
      </c>
      <c r="AR17" s="94">
        <v>12.09</v>
      </c>
      <c r="AS17" s="94">
        <v>16.314</v>
      </c>
      <c r="AT17" s="94">
        <v>22.593</v>
      </c>
      <c r="AU17" s="94">
        <v>24.260999999999999</v>
      </c>
      <c r="AV17" s="94">
        <v>20.7</v>
      </c>
      <c r="AW17" s="94">
        <v>23.539000000000001</v>
      </c>
      <c r="AX17" s="94">
        <v>29.984999999999999</v>
      </c>
      <c r="AY17" s="94">
        <v>54.796999999999997</v>
      </c>
      <c r="AZ17" s="94">
        <v>35.25</v>
      </c>
      <c r="BA17" s="94">
        <v>53.328000000000003</v>
      </c>
      <c r="BB17" s="94">
        <v>44.77</v>
      </c>
      <c r="BC17" s="94">
        <v>53.107999999999997</v>
      </c>
      <c r="BD17" s="94">
        <v>45.975999999999999</v>
      </c>
      <c r="BE17" s="94">
        <v>41.319000000000003</v>
      </c>
      <c r="BF17" s="94">
        <v>47.838999999999999</v>
      </c>
      <c r="BG17" s="94">
        <v>44.453000000000003</v>
      </c>
      <c r="BH17" s="94">
        <v>46.2</v>
      </c>
      <c r="BI17" s="246"/>
      <c r="BJ17" s="92" t="s">
        <v>3</v>
      </c>
      <c r="BK17" s="92" t="s">
        <v>3</v>
      </c>
      <c r="BL17" s="92" t="s">
        <v>3</v>
      </c>
      <c r="BM17" s="92" t="s">
        <v>3</v>
      </c>
      <c r="BN17" s="92" t="s">
        <v>3</v>
      </c>
      <c r="BO17" s="92" t="s">
        <v>3</v>
      </c>
      <c r="BP17" s="92" t="s">
        <v>3</v>
      </c>
      <c r="BQ17" s="92" t="s">
        <v>3</v>
      </c>
      <c r="BR17" s="64">
        <v>16.991</v>
      </c>
      <c r="BS17" s="64">
        <f>AM17</f>
        <v>8.6039999999999992</v>
      </c>
      <c r="BT17" s="94">
        <f>AQ17</f>
        <v>17.998999999999999</v>
      </c>
      <c r="BU17" s="94">
        <f>AU17</f>
        <v>24.260999999999999</v>
      </c>
      <c r="BV17" s="94">
        <f>AY17</f>
        <v>54.796999999999997</v>
      </c>
      <c r="BW17" s="94">
        <f t="shared" si="11"/>
        <v>53.107999999999997</v>
      </c>
      <c r="BX17" s="94">
        <f t="shared" si="13"/>
        <v>44.453000000000003</v>
      </c>
    </row>
    <row r="18" spans="1:76" ht="6.75" customHeight="1" x14ac:dyDescent="0.35">
      <c r="A18" s="125"/>
      <c r="B18" s="123"/>
      <c r="C18" s="150"/>
      <c r="D18" s="150"/>
      <c r="E18" s="149"/>
      <c r="F18" s="123"/>
      <c r="G18" s="123"/>
      <c r="H18" s="150"/>
      <c r="I18" s="149"/>
      <c r="J18" s="150"/>
      <c r="K18" s="150"/>
      <c r="M18" s="151"/>
      <c r="N18" s="150"/>
      <c r="O18" s="150"/>
      <c r="Q18" s="151"/>
      <c r="R18" s="150"/>
      <c r="S18" s="150"/>
      <c r="U18" s="151"/>
      <c r="V18" s="150"/>
      <c r="W18" s="150"/>
      <c r="X18" s="123"/>
      <c r="Y18" s="150"/>
      <c r="Z18" s="150"/>
      <c r="AA18" s="150"/>
      <c r="AB18" s="123"/>
      <c r="AC18" s="150"/>
      <c r="AD18" s="150"/>
      <c r="AE18" s="150"/>
      <c r="AN18" s="123"/>
      <c r="AO18" s="150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50"/>
      <c r="BK18" s="150"/>
      <c r="BL18" s="150"/>
      <c r="BM18" s="150"/>
      <c r="BN18" s="150"/>
      <c r="BO18" s="150"/>
      <c r="BP18" s="150"/>
      <c r="BT18" s="123"/>
      <c r="BU18" s="123"/>
      <c r="BV18" s="123"/>
      <c r="BW18" s="123"/>
      <c r="BX18" s="123"/>
    </row>
    <row r="19" spans="1:76" ht="6.75" customHeight="1" x14ac:dyDescent="0.35">
      <c r="A19" s="125"/>
      <c r="B19" s="56"/>
      <c r="E19" s="151"/>
      <c r="F19" s="150"/>
      <c r="G19" s="150"/>
      <c r="I19" s="151"/>
      <c r="J19" s="150"/>
      <c r="K19" s="150"/>
      <c r="M19" s="151"/>
      <c r="N19" s="150"/>
      <c r="O19" s="150"/>
      <c r="Q19" s="151"/>
      <c r="R19" s="150"/>
      <c r="S19" s="150"/>
      <c r="U19" s="151"/>
      <c r="V19" s="150"/>
      <c r="W19" s="150"/>
      <c r="X19" s="123"/>
      <c r="Y19" s="150"/>
      <c r="Z19" s="150"/>
      <c r="AA19" s="150"/>
      <c r="AB19" s="123"/>
      <c r="AC19" s="150"/>
      <c r="AD19" s="150"/>
      <c r="AE19" s="150"/>
      <c r="AF19" s="123"/>
      <c r="AG19" s="150"/>
      <c r="AH19" s="150"/>
      <c r="AI19" s="150"/>
      <c r="AJ19" s="123"/>
      <c r="AK19" s="150"/>
      <c r="AL19" s="150"/>
      <c r="AM19" s="150"/>
      <c r="AN19" s="123"/>
      <c r="AO19" s="150"/>
      <c r="AP19" s="150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50"/>
      <c r="BK19" s="150"/>
      <c r="BL19" s="150"/>
      <c r="BM19" s="150"/>
      <c r="BN19" s="150"/>
      <c r="BO19" s="150"/>
      <c r="BP19" s="150"/>
      <c r="BQ19" s="150"/>
      <c r="BR19" s="149"/>
      <c r="BS19" s="149"/>
      <c r="BT19" s="123"/>
      <c r="BU19" s="123"/>
      <c r="BV19" s="123"/>
      <c r="BW19" s="123"/>
      <c r="BX19" s="123"/>
    </row>
    <row r="20" spans="1:76" s="147" customFormat="1" x14ac:dyDescent="0.35">
      <c r="A20" s="127"/>
      <c r="B20" s="144" t="str">
        <f>IF(Control!$D$5=1,"Expenses by Function","Despesas por Função")</f>
        <v>Expenses by Function</v>
      </c>
      <c r="C20" s="146">
        <v>0</v>
      </c>
      <c r="D20" s="145">
        <f t="shared" ref="D20:AN20" si="14">SUM(D21:D23)</f>
        <v>-255.11799999999999</v>
      </c>
      <c r="E20" s="145">
        <f t="shared" si="14"/>
        <v>-360.565</v>
      </c>
      <c r="F20" s="145">
        <f t="shared" si="14"/>
        <v>-406.13699999999994</v>
      </c>
      <c r="G20" s="145">
        <f t="shared" si="14"/>
        <v>-346.77699999999999</v>
      </c>
      <c r="H20" s="145">
        <f t="shared" si="14"/>
        <v>-326.15200000000004</v>
      </c>
      <c r="I20" s="145">
        <f t="shared" si="14"/>
        <v>-306.20499999999998</v>
      </c>
      <c r="J20" s="145">
        <f t="shared" si="14"/>
        <v>-285.012</v>
      </c>
      <c r="K20" s="145">
        <f t="shared" si="14"/>
        <v>-305.87499999999989</v>
      </c>
      <c r="L20" s="145">
        <f t="shared" si="14"/>
        <v>-318.80299999999994</v>
      </c>
      <c r="M20" s="145">
        <f t="shared" si="14"/>
        <v>-338.99400000000003</v>
      </c>
      <c r="N20" s="145">
        <f t="shared" si="14"/>
        <v>-335.71800000000007</v>
      </c>
      <c r="O20" s="145">
        <f t="shared" si="14"/>
        <v>-308.89099999999996</v>
      </c>
      <c r="P20" s="145">
        <f t="shared" si="14"/>
        <v>-331.46800000000002</v>
      </c>
      <c r="Q20" s="145">
        <f t="shared" si="14"/>
        <v>-384.43399999999991</v>
      </c>
      <c r="R20" s="145">
        <f t="shared" si="14"/>
        <v>-457.88499999999999</v>
      </c>
      <c r="S20" s="145">
        <f t="shared" si="14"/>
        <v>-465.43299999999994</v>
      </c>
      <c r="T20" s="145">
        <f t="shared" si="14"/>
        <v>-539.25599999999997</v>
      </c>
      <c r="U20" s="145">
        <f t="shared" si="14"/>
        <v>-549.37400000000002</v>
      </c>
      <c r="V20" s="145">
        <f t="shared" si="14"/>
        <v>-744.56399999999996</v>
      </c>
      <c r="W20" s="145">
        <f t="shared" si="14"/>
        <v>-717.18899999999974</v>
      </c>
      <c r="X20" s="145">
        <f t="shared" si="14"/>
        <v>-755.702</v>
      </c>
      <c r="Y20" s="145">
        <f t="shared" si="14"/>
        <v>-823.78400000000011</v>
      </c>
      <c r="Z20" s="145">
        <f t="shared" si="14"/>
        <v>-850.07599999999991</v>
      </c>
      <c r="AA20" s="145">
        <f t="shared" si="14"/>
        <v>-848.41100000000029</v>
      </c>
      <c r="AB20" s="145">
        <f t="shared" si="14"/>
        <v>-841.00399999999991</v>
      </c>
      <c r="AC20" s="145">
        <f t="shared" si="14"/>
        <v>-822.18700000000013</v>
      </c>
      <c r="AD20" s="145">
        <f t="shared" si="14"/>
        <v>-867.26100000000008</v>
      </c>
      <c r="AE20" s="145">
        <f t="shared" si="14"/>
        <v>-869.91899999999941</v>
      </c>
      <c r="AF20" s="145">
        <f t="shared" si="14"/>
        <v>-877.22299999999996</v>
      </c>
      <c r="AG20" s="145">
        <f t="shared" si="14"/>
        <v>-936.18400000000008</v>
      </c>
      <c r="AH20" s="145">
        <f t="shared" si="14"/>
        <v>-1037.8750000000002</v>
      </c>
      <c r="AI20" s="145">
        <f t="shared" si="14"/>
        <v>-1015.0290000000002</v>
      </c>
      <c r="AJ20" s="145">
        <f t="shared" si="14"/>
        <v>-1023.793</v>
      </c>
      <c r="AK20" s="145">
        <f t="shared" si="14"/>
        <v>-1120.3009999999999</v>
      </c>
      <c r="AL20" s="145">
        <f t="shared" si="14"/>
        <v>-1151.9770000000001</v>
      </c>
      <c r="AM20" s="145">
        <f t="shared" si="14"/>
        <v>-1195.1989999999998</v>
      </c>
      <c r="AN20" s="145">
        <f t="shared" si="14"/>
        <v>-1123.127</v>
      </c>
      <c r="AO20" s="145">
        <f>SUM(AO21:AO23)</f>
        <v>-1080.75</v>
      </c>
      <c r="AP20" s="145">
        <f>SUM(AP21:AP23)</f>
        <v>-1061.3389999999999</v>
      </c>
      <c r="AQ20" s="145">
        <f>SUM(AQ21:AQ23)</f>
        <v>-1029.4839999999997</v>
      </c>
      <c r="AR20" s="145">
        <f>SUM(AR21:AR23)</f>
        <v>-944.1</v>
      </c>
      <c r="AS20" s="145">
        <f t="shared" ref="AS20:AX20" si="15">SUM(AS21:AS23)</f>
        <v>-1056.4000000000001</v>
      </c>
      <c r="AT20" s="145">
        <f t="shared" si="15"/>
        <v>-1178</v>
      </c>
      <c r="AU20" s="145">
        <f t="shared" si="15"/>
        <v>-1272.5999999999999</v>
      </c>
      <c r="AV20" s="145">
        <f t="shared" si="15"/>
        <v>-1188.8</v>
      </c>
      <c r="AW20" s="145">
        <f t="shared" si="15"/>
        <v>-1167.547</v>
      </c>
      <c r="AX20" s="145">
        <f t="shared" si="15"/>
        <v>-1345.0860000000002</v>
      </c>
      <c r="AY20" s="145">
        <f>SUM(AY21:AY23)</f>
        <v>-1398.2809999999999</v>
      </c>
      <c r="AZ20" s="145">
        <f t="shared" ref="AZ20:BE20" si="16">SUM(AZ21:AZ23)</f>
        <v>-1551.672</v>
      </c>
      <c r="BA20" s="145">
        <f t="shared" si="16"/>
        <v>-1756.375</v>
      </c>
      <c r="BB20" s="145">
        <f t="shared" si="16"/>
        <v>-1799.1650000000002</v>
      </c>
      <c r="BC20" s="145">
        <f t="shared" si="16"/>
        <v>-1735.7169999999999</v>
      </c>
      <c r="BD20" s="145">
        <f t="shared" si="16"/>
        <v>-2105.7730000000001</v>
      </c>
      <c r="BE20" s="145">
        <f t="shared" si="16"/>
        <v>-2072.7190000000001</v>
      </c>
      <c r="BF20" s="145">
        <f>SUM(BF21:BF23)</f>
        <v>-2121.11</v>
      </c>
      <c r="BG20" s="145">
        <f>SUM(BG21:BG23)</f>
        <v>-2188.8220000000001</v>
      </c>
      <c r="BH20" s="145">
        <f>SUM(BH21:BH23)</f>
        <v>-2208.1409999999996</v>
      </c>
      <c r="BI20" s="145"/>
      <c r="BJ20" s="145">
        <f t="shared" ref="BJ20:BS20" si="17">SUM(BJ21:BJ23)</f>
        <v>-792.13299999999992</v>
      </c>
      <c r="BK20" s="145">
        <f t="shared" si="17"/>
        <v>-1368.597</v>
      </c>
      <c r="BL20" s="145">
        <f t="shared" si="17"/>
        <v>-1223.2439999999999</v>
      </c>
      <c r="BM20" s="145">
        <f t="shared" si="17"/>
        <v>-1302.4059999999999</v>
      </c>
      <c r="BN20" s="145">
        <f t="shared" si="17"/>
        <v>-1639.2199999999998</v>
      </c>
      <c r="BO20" s="145">
        <f t="shared" si="17"/>
        <v>-2550.3829999999998</v>
      </c>
      <c r="BP20" s="145">
        <f t="shared" si="17"/>
        <v>-3277.9730000000004</v>
      </c>
      <c r="BQ20" s="145">
        <f t="shared" si="17"/>
        <v>-3400.3710000000001</v>
      </c>
      <c r="BR20" s="145">
        <f t="shared" si="17"/>
        <v>-3866.3110000000001</v>
      </c>
      <c r="BS20" s="145">
        <f t="shared" si="17"/>
        <v>-4491.2700000000004</v>
      </c>
      <c r="BT20" s="145">
        <f>SUM(BT21:BT23)</f>
        <v>-4294.7</v>
      </c>
      <c r="BU20" s="145">
        <f>SUM(BU21:BU23)</f>
        <v>-4451.0999999999995</v>
      </c>
      <c r="BV20" s="145">
        <f>SUM(BV21:BV23)</f>
        <v>-5099.7139999999999</v>
      </c>
      <c r="BW20" s="145">
        <f>SUM(BW21:BW23)</f>
        <v>-6867.0739999999996</v>
      </c>
      <c r="BX20" s="145">
        <f>SUM(BX21:BX23)</f>
        <v>-8488.4239999999991</v>
      </c>
    </row>
    <row r="21" spans="1:76" s="147" customFormat="1" x14ac:dyDescent="0.35">
      <c r="A21" s="125"/>
      <c r="B21" s="148" t="str">
        <f>IF(Control!$D$5=1,"Cost of Products Sold","Custo dos Produtos Vendidos")</f>
        <v>Cost of Products Sold</v>
      </c>
      <c r="C21" s="146">
        <v>0</v>
      </c>
      <c r="D21" s="64">
        <f>'P&amp;L'!C16</f>
        <v>-209.047</v>
      </c>
      <c r="E21" s="64">
        <f>'P&amp;L'!D16</f>
        <v>-310.851</v>
      </c>
      <c r="F21" s="64">
        <f>'P&amp;L'!E16</f>
        <v>-352.87599999999998</v>
      </c>
      <c r="G21" s="64">
        <f>'P&amp;L'!F16</f>
        <v>-293.36099999999999</v>
      </c>
      <c r="H21" s="64">
        <f>'P&amp;L'!G16</f>
        <v>-272.48500000000001</v>
      </c>
      <c r="I21" s="64">
        <f>'P&amp;L'!H16</f>
        <v>-250.173</v>
      </c>
      <c r="J21" s="64">
        <f>'P&amp;L'!I16</f>
        <v>-233.65700000000004</v>
      </c>
      <c r="K21" s="64">
        <f>'P&amp;L'!J16</f>
        <v>-257.61999999999989</v>
      </c>
      <c r="L21" s="64">
        <f>'P&amp;L'!K16</f>
        <v>-264.98399999999998</v>
      </c>
      <c r="M21" s="64">
        <f>'P&amp;L'!L16</f>
        <v>-275.28500000000003</v>
      </c>
      <c r="N21" s="64">
        <f>'P&amp;L'!M16</f>
        <v>-275.43900000000002</v>
      </c>
      <c r="O21" s="64">
        <f>'P&amp;L'!N16</f>
        <v>-249.9919999999999</v>
      </c>
      <c r="P21" s="64">
        <f>'P&amp;L'!O16</f>
        <v>-262.63600000000002</v>
      </c>
      <c r="Q21" s="64">
        <f>'P&amp;L'!P16</f>
        <v>-299.73599999999993</v>
      </c>
      <c r="R21" s="64">
        <f>'P&amp;L'!Q16</f>
        <v>-368.68</v>
      </c>
      <c r="S21" s="64">
        <f>'P&amp;L'!R16</f>
        <v>-368.43199999999996</v>
      </c>
      <c r="T21" s="64">
        <f>'P&amp;L'!S16</f>
        <v>-440.959</v>
      </c>
      <c r="U21" s="64">
        <f>'P&amp;L'!T16</f>
        <v>-455.84499999999997</v>
      </c>
      <c r="V21" s="64">
        <f>'P&amp;L'!U16</f>
        <v>-625.58799999999997</v>
      </c>
      <c r="W21" s="64">
        <f>'P&amp;L'!V16</f>
        <v>-585.44399999999973</v>
      </c>
      <c r="X21" s="64">
        <f>'P&amp;L'!W16</f>
        <v>-611.404</v>
      </c>
      <c r="Y21" s="64">
        <f>'P&amp;L'!X16</f>
        <v>-668.47500000000002</v>
      </c>
      <c r="Z21" s="64">
        <f>'P&amp;L'!Y16</f>
        <v>-716.25699999999995</v>
      </c>
      <c r="AA21" s="64">
        <f>'P&amp;L'!Z16</f>
        <v>-706.31800000000021</v>
      </c>
      <c r="AB21" s="64">
        <f>'P&amp;L'!AA16</f>
        <v>-688.68299999999999</v>
      </c>
      <c r="AC21" s="64">
        <f>'P&amp;L'!AB16</f>
        <v>-678.25600000000009</v>
      </c>
      <c r="AD21" s="64">
        <f>'P&amp;L'!AC16</f>
        <v>-723.65800000000013</v>
      </c>
      <c r="AE21" s="64">
        <f>'P&amp;L'!AD16</f>
        <v>-733.76799999999935</v>
      </c>
      <c r="AF21" s="64">
        <f>'P&amp;L'!AE16</f>
        <v>-728.02499999999998</v>
      </c>
      <c r="AG21" s="64">
        <f>'P&amp;L'!AF16</f>
        <v>-776.85700000000008</v>
      </c>
      <c r="AH21" s="64">
        <f>'P&amp;L'!AG16</f>
        <v>-865.19900000000018</v>
      </c>
      <c r="AI21" s="64">
        <f>'P&amp;L'!AH16</f>
        <v>-824.71900000000016</v>
      </c>
      <c r="AJ21" s="64">
        <f>'P&amp;L'!AI16</f>
        <v>-842.35900000000004</v>
      </c>
      <c r="AK21" s="64">
        <f>'P&amp;L'!AJ16</f>
        <v>-920.14499999999987</v>
      </c>
      <c r="AL21" s="64">
        <f>'P&amp;L'!AK16</f>
        <v>-982.18600000000004</v>
      </c>
      <c r="AM21" s="64">
        <f>'P&amp;L'!AL16</f>
        <v>-981.90199999999993</v>
      </c>
      <c r="AN21" s="64">
        <f>'P&amp;L'!AM16</f>
        <v>-928.15899999999999</v>
      </c>
      <c r="AO21" s="64">
        <f>'P&amp;L'!AN16</f>
        <v>-879.63</v>
      </c>
      <c r="AP21" s="64">
        <f>'P&amp;L'!AO16</f>
        <v>-873.221</v>
      </c>
      <c r="AQ21" s="64">
        <f>'P&amp;L'!AP16</f>
        <v>-831.48999999999978</v>
      </c>
      <c r="AR21" s="64">
        <f>'P&amp;L'!AQ16</f>
        <v>-741.1</v>
      </c>
      <c r="AS21" s="64">
        <v>-829.5</v>
      </c>
      <c r="AT21" s="64">
        <v>-946.9</v>
      </c>
      <c r="AU21" s="64">
        <v>-1009.5999999999999</v>
      </c>
      <c r="AV21" s="64">
        <v>-950.3</v>
      </c>
      <c r="AW21" s="64">
        <v>-939.89499999999998</v>
      </c>
      <c r="AX21" s="64">
        <v>-1100.8090000000002</v>
      </c>
      <c r="AY21" s="64">
        <v>-1154.252</v>
      </c>
      <c r="AZ21" s="64">
        <v>-1315.3910000000001</v>
      </c>
      <c r="BA21" s="64">
        <v>-1478.1379999999999</v>
      </c>
      <c r="BB21" s="64">
        <v>-1524.7180000000001</v>
      </c>
      <c r="BC21" s="64">
        <v>-1486.7470000000001</v>
      </c>
      <c r="BD21" s="64">
        <v>-1809.527</v>
      </c>
      <c r="BE21" s="64">
        <v>-1785.577</v>
      </c>
      <c r="BF21" s="64">
        <v>-1801.25</v>
      </c>
      <c r="BG21" s="64">
        <v>-1841.348</v>
      </c>
      <c r="BH21" s="64">
        <v>-1849.2349999999999</v>
      </c>
      <c r="BI21" s="64"/>
      <c r="BJ21" s="64">
        <f>'P&amp;L'!BI16</f>
        <v>-633.28499999999997</v>
      </c>
      <c r="BK21" s="64">
        <f>'P&amp;L'!BJ16</f>
        <v>-1166.135</v>
      </c>
      <c r="BL21" s="64">
        <f>'P&amp;L'!BK16</f>
        <v>-1013.9349999999999</v>
      </c>
      <c r="BM21" s="64">
        <f>'P&amp;L'!BL16</f>
        <v>-1065.7</v>
      </c>
      <c r="BN21" s="64">
        <f>'P&amp;L'!BM16</f>
        <v>-1299.4839999999999</v>
      </c>
      <c r="BO21" s="64">
        <f>'P&amp;L'!BN16</f>
        <v>-2107.8359999999998</v>
      </c>
      <c r="BP21" s="64">
        <f>'P&amp;L'!BO16</f>
        <v>-2702.4540000000002</v>
      </c>
      <c r="BQ21" s="64">
        <f>'P&amp;L'!BP16</f>
        <v>-2824.3649999999998</v>
      </c>
      <c r="BR21" s="64">
        <f>'P&amp;L'!BQ16</f>
        <v>-3194.8</v>
      </c>
      <c r="BS21" s="64">
        <f>'P&amp;L'!BR16</f>
        <v>-3726.5920000000001</v>
      </c>
      <c r="BT21" s="64">
        <f>'P&amp;L'!BS16</f>
        <v>-3512.5</v>
      </c>
      <c r="BU21" s="64">
        <f>'P&amp;L'!BT16</f>
        <v>-3527.1</v>
      </c>
      <c r="BV21" s="64">
        <f>'P&amp;L'!BU16</f>
        <v>-4145.2559999999994</v>
      </c>
      <c r="BW21" s="64">
        <v>-5804.9939999999997</v>
      </c>
      <c r="BX21" s="64">
        <v>-7237.7020000000002</v>
      </c>
    </row>
    <row r="22" spans="1:76" s="147" customFormat="1" x14ac:dyDescent="0.35">
      <c r="A22" s="80"/>
      <c r="B22" s="148" t="str">
        <f>IF(Control!$D$5=1,"Sales Expenses","Despesas com Vendas")</f>
        <v>Sales Expenses</v>
      </c>
      <c r="C22" s="146">
        <v>0</v>
      </c>
      <c r="D22" s="64">
        <f>'P&amp;L'!C18</f>
        <v>-35.776000000000003</v>
      </c>
      <c r="E22" s="64">
        <f>'P&amp;L'!D18</f>
        <v>-38.943999999999996</v>
      </c>
      <c r="F22" s="64">
        <f>'P&amp;L'!E18</f>
        <v>-43.281999999999996</v>
      </c>
      <c r="G22" s="64">
        <f>'P&amp;L'!F18</f>
        <v>-41.414999999999999</v>
      </c>
      <c r="H22" s="64">
        <f>'P&amp;L'!G18</f>
        <v>-43.04</v>
      </c>
      <c r="I22" s="64">
        <f>'P&amp;L'!H18</f>
        <v>-45.143999999999998</v>
      </c>
      <c r="J22" s="64">
        <f>'P&amp;L'!I18</f>
        <v>-41.561</v>
      </c>
      <c r="K22" s="64">
        <f>'P&amp;L'!J18</f>
        <v>-34.990999999999978</v>
      </c>
      <c r="L22" s="64">
        <f>'P&amp;L'!K18</f>
        <v>-40.020000000000003</v>
      </c>
      <c r="M22" s="64">
        <f>'P&amp;L'!L18</f>
        <v>-46.449999999999996</v>
      </c>
      <c r="N22" s="64">
        <f>'P&amp;L'!M18</f>
        <v>-44.076000000000001</v>
      </c>
      <c r="O22" s="64">
        <f>'P&amp;L'!N18</f>
        <v>-40.878000000000021</v>
      </c>
      <c r="P22" s="64">
        <f>'P&amp;L'!O18</f>
        <v>-51.71</v>
      </c>
      <c r="Q22" s="64">
        <f>'P&amp;L'!P18</f>
        <v>-63.372999999999998</v>
      </c>
      <c r="R22" s="64">
        <f>'P&amp;L'!Q18</f>
        <v>-65.459000000000003</v>
      </c>
      <c r="S22" s="64">
        <f>'P&amp;L'!R18</f>
        <v>-62.786000000000008</v>
      </c>
      <c r="T22" s="64">
        <f>'P&amp;L'!S18</f>
        <v>-70.605000000000004</v>
      </c>
      <c r="U22" s="64">
        <f>'P&amp;L'!T18</f>
        <v>-72.17</v>
      </c>
      <c r="V22" s="64">
        <f>'P&amp;L'!U18</f>
        <v>-87.678999999999988</v>
      </c>
      <c r="W22" s="64">
        <f>'P&amp;L'!V18</f>
        <v>-87.469000000000008</v>
      </c>
      <c r="X22" s="64">
        <f>'P&amp;L'!W18</f>
        <v>-104.605</v>
      </c>
      <c r="Y22" s="64">
        <f>'P&amp;L'!X18</f>
        <v>-108.345</v>
      </c>
      <c r="Z22" s="64">
        <f>'P&amp;L'!Y18</f>
        <v>-96.927999999999997</v>
      </c>
      <c r="AA22" s="64">
        <f>'P&amp;L'!Z18</f>
        <v>-103.509</v>
      </c>
      <c r="AB22" s="64">
        <f>'P&amp;L'!AA18</f>
        <v>-105.252</v>
      </c>
      <c r="AC22" s="64">
        <f>'P&amp;L'!AB18</f>
        <v>-100.038</v>
      </c>
      <c r="AD22" s="64">
        <f>'P&amp;L'!AC18</f>
        <v>-100.41299999999997</v>
      </c>
      <c r="AE22" s="64">
        <f>'P&amp;L'!AD18</f>
        <v>-96.396000000000029</v>
      </c>
      <c r="AF22" s="64">
        <f>'P&amp;L'!AE18</f>
        <v>-101.048</v>
      </c>
      <c r="AG22" s="64">
        <f>'P&amp;L'!AF18</f>
        <v>-109.33500000000001</v>
      </c>
      <c r="AH22" s="64">
        <f>'P&amp;L'!AG18</f>
        <v>-116.273</v>
      </c>
      <c r="AI22" s="64">
        <f>'P&amp;L'!AH18</f>
        <v>-117.77400000000003</v>
      </c>
      <c r="AJ22" s="64">
        <f>'P&amp;L'!AI18</f>
        <v>-128.267</v>
      </c>
      <c r="AK22" s="64">
        <f>'P&amp;L'!AJ18</f>
        <v>-129.19600000000003</v>
      </c>
      <c r="AL22" s="64">
        <f>'P&amp;L'!AK18</f>
        <v>-115.28199999999998</v>
      </c>
      <c r="AM22" s="64">
        <f>'P&amp;L'!AL18</f>
        <v>-135.90899999999999</v>
      </c>
      <c r="AN22" s="64">
        <f>'P&amp;L'!AM18</f>
        <v>-133.38999999999999</v>
      </c>
      <c r="AO22" s="64">
        <f>'P&amp;L'!AN18</f>
        <v>-142.10000000000002</v>
      </c>
      <c r="AP22" s="64">
        <f>'P&amp;L'!AO18</f>
        <v>-129.601</v>
      </c>
      <c r="AQ22" s="64">
        <f>'P&amp;L'!AP18</f>
        <v>-138.50900000000001</v>
      </c>
      <c r="AR22" s="64">
        <f>'P&amp;L'!AQ18</f>
        <v>-134.1</v>
      </c>
      <c r="AS22" s="64">
        <v>-153.4</v>
      </c>
      <c r="AT22" s="64">
        <v>-159.5</v>
      </c>
      <c r="AU22" s="64">
        <v>-184.10000000000002</v>
      </c>
      <c r="AV22" s="64">
        <v>-161.19999999999999</v>
      </c>
      <c r="AW22" s="64">
        <v>-148.767</v>
      </c>
      <c r="AX22" s="64">
        <v>-164.00400000000002</v>
      </c>
      <c r="AY22" s="64">
        <v>-168.959</v>
      </c>
      <c r="AZ22" s="64">
        <v>-161.21100000000001</v>
      </c>
      <c r="BA22" s="64">
        <v>-188.36500000000001</v>
      </c>
      <c r="BB22" s="64">
        <v>-177.68899999999999</v>
      </c>
      <c r="BC22" s="64">
        <v>-158.75399999999999</v>
      </c>
      <c r="BD22" s="64">
        <v>-187.22499999999999</v>
      </c>
      <c r="BE22" s="64">
        <v>-189.744</v>
      </c>
      <c r="BF22" s="64">
        <v>-205.76300000000001</v>
      </c>
      <c r="BG22" s="64">
        <v>-224.79300000000001</v>
      </c>
      <c r="BH22" s="64">
        <v>-233.40700000000001</v>
      </c>
      <c r="BI22" s="64"/>
      <c r="BJ22" s="64">
        <f>'P&amp;L'!BI18</f>
        <v>-121.751</v>
      </c>
      <c r="BK22" s="64">
        <f>'P&amp;L'!BJ18</f>
        <v>-159.417</v>
      </c>
      <c r="BL22" s="64">
        <f>'P&amp;L'!BK18</f>
        <v>-164.73599999999999</v>
      </c>
      <c r="BM22" s="64">
        <f>'P&amp;L'!BL18</f>
        <v>-171.42400000000001</v>
      </c>
      <c r="BN22" s="64">
        <f>'P&amp;L'!BM18</f>
        <v>-243.328</v>
      </c>
      <c r="BO22" s="64">
        <f>'P&amp;L'!BN18</f>
        <v>-317.923</v>
      </c>
      <c r="BP22" s="64">
        <f>'P&amp;L'!BO18</f>
        <v>-413.387</v>
      </c>
      <c r="BQ22" s="64">
        <f>'P&amp;L'!BP18</f>
        <v>-402.09899999999999</v>
      </c>
      <c r="BR22" s="64">
        <f>'P&amp;L'!BQ18</f>
        <v>-444.43</v>
      </c>
      <c r="BS22" s="64">
        <f>'P&amp;L'!BR18</f>
        <v>-508.654</v>
      </c>
      <c r="BT22" s="64">
        <f>'P&amp;L'!BS18</f>
        <v>-543.6</v>
      </c>
      <c r="BU22" s="64">
        <f>'P&amp;L'!BT18</f>
        <v>-631.1</v>
      </c>
      <c r="BV22" s="64">
        <f>'P&amp;L'!BU18</f>
        <v>-642.93000000000006</v>
      </c>
      <c r="BW22" s="64">
        <v>-701.22199999999998</v>
      </c>
      <c r="BX22" s="64">
        <v>-807.52499999999998</v>
      </c>
    </row>
    <row r="23" spans="1:76" s="127" customFormat="1" x14ac:dyDescent="0.35">
      <c r="A23" s="125"/>
      <c r="B23" s="126" t="str">
        <f>IF(Control!$D$5=1,"G&amp;A Expenses","Despesas Gerais e Administrativas")</f>
        <v>G&amp;A Expenses</v>
      </c>
      <c r="C23" s="146">
        <v>0</v>
      </c>
      <c r="D23" s="64">
        <f>'P&amp;L'!C19</f>
        <v>-10.295000000000002</v>
      </c>
      <c r="E23" s="64">
        <f>'P&amp;L'!D19</f>
        <v>-10.77</v>
      </c>
      <c r="F23" s="64">
        <f>'P&amp;L'!E19</f>
        <v>-9.9789999999999992</v>
      </c>
      <c r="G23" s="64">
        <f>'P&amp;L'!F19</f>
        <v>-12.001000000000001</v>
      </c>
      <c r="H23" s="64">
        <f>'P&amp;L'!G19</f>
        <v>-10.627000000000001</v>
      </c>
      <c r="I23" s="64">
        <f>'P&amp;L'!H19</f>
        <v>-10.887999999999996</v>
      </c>
      <c r="J23" s="64">
        <f>'P&amp;L'!I19</f>
        <v>-9.7940000000000058</v>
      </c>
      <c r="K23" s="64">
        <f>'P&amp;L'!J19</f>
        <v>-13.263999999999998</v>
      </c>
      <c r="L23" s="64">
        <f>'P&amp;L'!K19</f>
        <v>-13.798999999999999</v>
      </c>
      <c r="M23" s="64">
        <f>'P&amp;L'!L19</f>
        <v>-17.259</v>
      </c>
      <c r="N23" s="64">
        <f>'P&amp;L'!M19</f>
        <v>-16.203000000000003</v>
      </c>
      <c r="O23" s="64">
        <f>'P&amp;L'!N19</f>
        <v>-18.020999999999994</v>
      </c>
      <c r="P23" s="64">
        <f>'P&amp;L'!O19</f>
        <v>-17.122</v>
      </c>
      <c r="Q23" s="64">
        <f>'P&amp;L'!P19</f>
        <v>-21.324999999999996</v>
      </c>
      <c r="R23" s="64">
        <f>'P&amp;L'!Q19</f>
        <v>-23.746000000000009</v>
      </c>
      <c r="S23" s="64">
        <f>'P&amp;L'!R19</f>
        <v>-34.214999999999996</v>
      </c>
      <c r="T23" s="64">
        <f>'P&amp;L'!S19</f>
        <v>-27.692</v>
      </c>
      <c r="U23" s="64">
        <f>'P&amp;L'!T19</f>
        <v>-21.359000000000002</v>
      </c>
      <c r="V23" s="64">
        <f>'P&amp;L'!U19</f>
        <v>-31.296999999999997</v>
      </c>
      <c r="W23" s="64">
        <f>'P&amp;L'!V19</f>
        <v>-44.275999999999989</v>
      </c>
      <c r="X23" s="64">
        <f>'P&amp;L'!W19</f>
        <v>-39.692999999999998</v>
      </c>
      <c r="Y23" s="64">
        <f>'P&amp;L'!X19</f>
        <v>-46.963999999999999</v>
      </c>
      <c r="Z23" s="64">
        <f>'P&amp;L'!Y19</f>
        <v>-36.890999999999998</v>
      </c>
      <c r="AA23" s="64">
        <f>'P&amp;L'!Z19</f>
        <v>-38.584000000000017</v>
      </c>
      <c r="AB23" s="64">
        <f>'P&amp;L'!AA19</f>
        <v>-47.069000000000003</v>
      </c>
      <c r="AC23" s="64">
        <f>'P&amp;L'!AB19</f>
        <v>-43.893000000000001</v>
      </c>
      <c r="AD23" s="64">
        <f>'P&amp;L'!AC19</f>
        <v>-43.189999999999984</v>
      </c>
      <c r="AE23" s="64">
        <f>'P&amp;L'!AD19</f>
        <v>-39.755000000000038</v>
      </c>
      <c r="AF23" s="64">
        <f>'P&amp;L'!AE19</f>
        <v>-48.15</v>
      </c>
      <c r="AG23" s="64">
        <f>'P&amp;L'!AF19</f>
        <v>-49.991999999999997</v>
      </c>
      <c r="AH23" s="64">
        <f>'P&amp;L'!AG19</f>
        <v>-56.402999999999999</v>
      </c>
      <c r="AI23" s="64">
        <f>'P&amp;L'!AH19</f>
        <v>-72.536000000000001</v>
      </c>
      <c r="AJ23" s="64">
        <f>'P&amp;L'!AI19</f>
        <v>-53.167000000000002</v>
      </c>
      <c r="AK23" s="64">
        <f>'P&amp;L'!AJ19</f>
        <v>-70.959999999999994</v>
      </c>
      <c r="AL23" s="64">
        <f>'P&amp;L'!AK19</f>
        <v>-54.509</v>
      </c>
      <c r="AM23" s="64">
        <f>'P&amp;L'!AL19</f>
        <v>-77.388000000000005</v>
      </c>
      <c r="AN23" s="64">
        <f>'P&amp;L'!AM19</f>
        <v>-61.578000000000003</v>
      </c>
      <c r="AO23" s="64">
        <f>'P&amp;L'!AN19</f>
        <v>-59.019999999999996</v>
      </c>
      <c r="AP23" s="64">
        <f>'P&amp;L'!AO19</f>
        <v>-58.517000000000003</v>
      </c>
      <c r="AQ23" s="64">
        <f>'P&amp;L'!AP19</f>
        <v>-59.484999999999985</v>
      </c>
      <c r="AR23" s="64">
        <f>'P&amp;L'!AQ19</f>
        <v>-68.900000000000006</v>
      </c>
      <c r="AS23" s="64">
        <v>-73.5</v>
      </c>
      <c r="AT23" s="64">
        <v>-71.599999999999994</v>
      </c>
      <c r="AU23" s="64">
        <v>-78.899999999999977</v>
      </c>
      <c r="AV23" s="64">
        <v>-77.3</v>
      </c>
      <c r="AW23" s="64">
        <v>-78.885000000000005</v>
      </c>
      <c r="AX23" s="64">
        <v>-80.273000000000025</v>
      </c>
      <c r="AY23" s="64">
        <v>-75.069999999999993</v>
      </c>
      <c r="AZ23" s="64">
        <v>-75.069999999999993</v>
      </c>
      <c r="BA23" s="64">
        <v>-89.871999999999986</v>
      </c>
      <c r="BB23" s="64">
        <v>-96.757999999999996</v>
      </c>
      <c r="BC23" s="64">
        <v>-90.215999999999994</v>
      </c>
      <c r="BD23" s="64">
        <v>-109.021</v>
      </c>
      <c r="BE23" s="64">
        <v>-97.397999999999996</v>
      </c>
      <c r="BF23" s="64">
        <v>-114.09699999999999</v>
      </c>
      <c r="BG23" s="64">
        <v>-122.681</v>
      </c>
      <c r="BH23" s="64">
        <v>-125.499</v>
      </c>
      <c r="BI23" s="64"/>
      <c r="BJ23" s="64">
        <f>'P&amp;L'!BI19</f>
        <v>-37.097000000000001</v>
      </c>
      <c r="BK23" s="64">
        <f>'P&amp;L'!BJ19</f>
        <v>-43.045000000000002</v>
      </c>
      <c r="BL23" s="64">
        <f>'P&amp;L'!BK19</f>
        <v>-44.573</v>
      </c>
      <c r="BM23" s="64">
        <f>'P&amp;L'!BL19</f>
        <v>-65.281999999999996</v>
      </c>
      <c r="BN23" s="64">
        <f>'P&amp;L'!BM19</f>
        <v>-96.408000000000001</v>
      </c>
      <c r="BO23" s="64">
        <f>'P&amp;L'!BN19</f>
        <v>-124.624</v>
      </c>
      <c r="BP23" s="64">
        <f>'P&amp;L'!BO19</f>
        <v>-162.13200000000001</v>
      </c>
      <c r="BQ23" s="64">
        <f>'P&amp;L'!BP19</f>
        <v>-173.90700000000001</v>
      </c>
      <c r="BR23" s="64">
        <f>'P&amp;L'!BQ19</f>
        <v>-227.08099999999999</v>
      </c>
      <c r="BS23" s="64">
        <f>'P&amp;L'!BR19</f>
        <v>-256.024</v>
      </c>
      <c r="BT23" s="64">
        <f>'P&amp;L'!BS19</f>
        <v>-238.6</v>
      </c>
      <c r="BU23" s="64">
        <f>'P&amp;L'!BT19</f>
        <v>-292.89999999999998</v>
      </c>
      <c r="BV23" s="64">
        <f>'P&amp;L'!BU19</f>
        <v>-311.52800000000002</v>
      </c>
      <c r="BW23" s="64">
        <v>-360.858</v>
      </c>
      <c r="BX23" s="64">
        <v>-443.197</v>
      </c>
    </row>
    <row r="24" spans="1:76" s="127" customFormat="1" x14ac:dyDescent="0.35">
      <c r="B24" s="152"/>
      <c r="C24" s="94"/>
      <c r="D24" s="94"/>
      <c r="E24" s="64"/>
      <c r="F24" s="64"/>
      <c r="G24" s="64"/>
      <c r="H24" s="94"/>
      <c r="I24" s="64"/>
      <c r="J24" s="64"/>
      <c r="K24" s="64"/>
      <c r="L24" s="94"/>
      <c r="M24" s="64"/>
      <c r="N24" s="64"/>
      <c r="O24" s="64"/>
      <c r="P24" s="94"/>
      <c r="Q24" s="64"/>
      <c r="R24" s="64"/>
      <c r="S24" s="64"/>
      <c r="T24" s="94"/>
      <c r="U24" s="64"/>
      <c r="V24" s="64"/>
      <c r="W24" s="64"/>
      <c r="X24" s="94"/>
      <c r="Y24" s="64"/>
      <c r="Z24" s="64"/>
      <c r="AA24" s="64"/>
      <c r="AB24" s="94"/>
      <c r="AC24" s="64"/>
      <c r="AD24" s="64"/>
      <c r="AE24" s="64"/>
      <c r="AF24" s="94"/>
      <c r="AG24" s="64"/>
      <c r="AH24" s="64"/>
      <c r="AI24" s="64"/>
      <c r="AJ24" s="94"/>
      <c r="AK24" s="64"/>
      <c r="AL24" s="64"/>
      <c r="AM24" s="64"/>
      <c r="AN24" s="9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</row>
    <row r="25" spans="1:76" s="127" customFormat="1" x14ac:dyDescent="0.35">
      <c r="A25" s="80"/>
      <c r="B25" s="144" t="str">
        <f>IF(Control!$D$5=1,"Expenses by Nature","Despesas por Natureza")</f>
        <v>Expenses by Nature</v>
      </c>
      <c r="C25" s="146">
        <v>0</v>
      </c>
      <c r="D25" s="145">
        <f t="shared" ref="D25:AM25" si="18">SUM(D26:D36)</f>
        <v>0</v>
      </c>
      <c r="E25" s="145">
        <f t="shared" si="18"/>
        <v>0</v>
      </c>
      <c r="F25" s="145">
        <f t="shared" si="18"/>
        <v>0</v>
      </c>
      <c r="G25" s="145">
        <f t="shared" si="18"/>
        <v>0</v>
      </c>
      <c r="H25" s="145">
        <f t="shared" si="18"/>
        <v>0</v>
      </c>
      <c r="I25" s="145">
        <f t="shared" si="18"/>
        <v>0</v>
      </c>
      <c r="J25" s="145">
        <f t="shared" si="18"/>
        <v>0</v>
      </c>
      <c r="K25" s="145">
        <f t="shared" si="18"/>
        <v>0</v>
      </c>
      <c r="L25" s="145">
        <f t="shared" si="18"/>
        <v>0</v>
      </c>
      <c r="M25" s="145">
        <f t="shared" si="18"/>
        <v>0</v>
      </c>
      <c r="N25" s="145">
        <f t="shared" si="18"/>
        <v>0</v>
      </c>
      <c r="O25" s="145">
        <f t="shared" si="18"/>
        <v>0</v>
      </c>
      <c r="P25" s="145">
        <f t="shared" si="18"/>
        <v>0</v>
      </c>
      <c r="Q25" s="145">
        <f t="shared" si="18"/>
        <v>0</v>
      </c>
      <c r="R25" s="145">
        <f t="shared" si="18"/>
        <v>0</v>
      </c>
      <c r="S25" s="145">
        <f t="shared" si="18"/>
        <v>0</v>
      </c>
      <c r="T25" s="145">
        <f t="shared" si="18"/>
        <v>0</v>
      </c>
      <c r="U25" s="145">
        <f t="shared" si="18"/>
        <v>0</v>
      </c>
      <c r="V25" s="145">
        <f t="shared" si="18"/>
        <v>0</v>
      </c>
      <c r="W25" s="145">
        <f t="shared" si="18"/>
        <v>0</v>
      </c>
      <c r="X25" s="145">
        <f t="shared" si="18"/>
        <v>0</v>
      </c>
      <c r="Y25" s="145">
        <f t="shared" si="18"/>
        <v>0</v>
      </c>
      <c r="Z25" s="145">
        <f t="shared" si="18"/>
        <v>0</v>
      </c>
      <c r="AA25" s="145">
        <f t="shared" si="18"/>
        <v>0</v>
      </c>
      <c r="AB25" s="145">
        <f t="shared" si="18"/>
        <v>0</v>
      </c>
      <c r="AC25" s="145">
        <f t="shared" si="18"/>
        <v>0</v>
      </c>
      <c r="AD25" s="145">
        <f t="shared" si="18"/>
        <v>0</v>
      </c>
      <c r="AE25" s="145">
        <f t="shared" si="18"/>
        <v>0</v>
      </c>
      <c r="AF25" s="145">
        <f t="shared" si="18"/>
        <v>0</v>
      </c>
      <c r="AG25" s="145">
        <f t="shared" si="18"/>
        <v>0</v>
      </c>
      <c r="AH25" s="145">
        <f t="shared" si="18"/>
        <v>0</v>
      </c>
      <c r="AI25" s="145">
        <f t="shared" si="18"/>
        <v>0</v>
      </c>
      <c r="AJ25" s="145">
        <f t="shared" si="18"/>
        <v>0</v>
      </c>
      <c r="AK25" s="145">
        <f t="shared" si="18"/>
        <v>0</v>
      </c>
      <c r="AL25" s="145">
        <f t="shared" si="18"/>
        <v>0</v>
      </c>
      <c r="AM25" s="145">
        <f t="shared" si="18"/>
        <v>-1195.2</v>
      </c>
      <c r="AN25" s="145">
        <v>-1123.3</v>
      </c>
      <c r="AO25" s="145">
        <f>AO20</f>
        <v>-1080.75</v>
      </c>
      <c r="AP25" s="145">
        <v>-1061.3</v>
      </c>
      <c r="AQ25" s="145">
        <v>-1029.5</v>
      </c>
      <c r="AR25" s="145">
        <v>-944.1</v>
      </c>
      <c r="AS25" s="145">
        <v>-1056.4000000000001</v>
      </c>
      <c r="AT25" s="145">
        <v>-1178</v>
      </c>
      <c r="AU25" s="145">
        <v>-1272.5999999999999</v>
      </c>
      <c r="AV25" s="145">
        <v>-1188.8</v>
      </c>
      <c r="AW25" s="145">
        <v>-1167.547</v>
      </c>
      <c r="AX25" s="145">
        <v>-1167.547</v>
      </c>
      <c r="AY25" s="145">
        <v>-1398.2809999999999</v>
      </c>
      <c r="AZ25" s="145">
        <v>-1551.672</v>
      </c>
      <c r="BA25" s="145">
        <v>-1756.375</v>
      </c>
      <c r="BB25" s="145">
        <v>-1799.1650000000002</v>
      </c>
      <c r="BC25" s="145">
        <f>SUM(BC26:BC36)</f>
        <v>-1735.722</v>
      </c>
      <c r="BD25" s="145">
        <f>SUM(BD26:BD36)</f>
        <v>-2105.7939999999999</v>
      </c>
      <c r="BE25" s="145">
        <f>SUM(BE26:BE36)</f>
        <v>-2072.6990000000001</v>
      </c>
      <c r="BF25" s="145">
        <f>SUM(BF26:BF36)</f>
        <v>-2121.11</v>
      </c>
      <c r="BG25" s="145">
        <f t="shared" ref="BG25:BH25" si="19">SUM(BG26:BG36)</f>
        <v>-2188.8220000000001</v>
      </c>
      <c r="BH25" s="145">
        <f t="shared" si="19"/>
        <v>-2208.1079406999993</v>
      </c>
      <c r="BI25" s="145"/>
      <c r="BJ25" s="145">
        <f>SUM(BJ26:BJ36)</f>
        <v>0</v>
      </c>
      <c r="BK25" s="145">
        <f>SUM(BK26:BK36)</f>
        <v>0</v>
      </c>
      <c r="BL25" s="145">
        <f>SUM(BL26:BL36)</f>
        <v>0</v>
      </c>
      <c r="BM25" s="145">
        <f t="shared" ref="BM25:BR25" si="20">SUM(BM26:BM36)</f>
        <v>0</v>
      </c>
      <c r="BN25" s="145">
        <f t="shared" si="20"/>
        <v>0</v>
      </c>
      <c r="BO25" s="145">
        <f t="shared" si="20"/>
        <v>0</v>
      </c>
      <c r="BP25" s="145">
        <f t="shared" si="20"/>
        <v>-3277.973</v>
      </c>
      <c r="BQ25" s="145">
        <f t="shared" si="20"/>
        <v>-3400.3710000000001</v>
      </c>
      <c r="BR25" s="145">
        <f t="shared" si="20"/>
        <v>-3866.3110000000001</v>
      </c>
      <c r="BS25" s="145">
        <f t="shared" ref="BS25:BX25" si="21">SUM(BS26:BS36)</f>
        <v>-4491.2</v>
      </c>
      <c r="BT25" s="145">
        <f t="shared" si="21"/>
        <v>-4294.7</v>
      </c>
      <c r="BU25" s="145">
        <f t="shared" si="21"/>
        <v>-4451.0999999999995</v>
      </c>
      <c r="BV25" s="145">
        <f t="shared" si="21"/>
        <v>-5099.6779999999999</v>
      </c>
      <c r="BW25" s="145">
        <f t="shared" si="21"/>
        <v>-6867.049</v>
      </c>
      <c r="BX25" s="145">
        <f t="shared" si="21"/>
        <v>-8488.4249999999993</v>
      </c>
    </row>
    <row r="26" spans="1:76" s="127" customFormat="1" x14ac:dyDescent="0.35">
      <c r="B26" s="56" t="str">
        <f>IF(Control!$D$5=1,"Depreciation and Amortization","Depreciação e Amortização")</f>
        <v>Depreciation and Amortization</v>
      </c>
      <c r="C26" s="146">
        <v>0</v>
      </c>
      <c r="D26" s="279" t="s">
        <v>3</v>
      </c>
      <c r="E26" s="279" t="s">
        <v>3</v>
      </c>
      <c r="F26" s="279" t="s">
        <v>3</v>
      </c>
      <c r="G26" s="279" t="s">
        <v>3</v>
      </c>
      <c r="H26" s="279" t="s">
        <v>3</v>
      </c>
      <c r="I26" s="279" t="s">
        <v>3</v>
      </c>
      <c r="J26" s="279" t="s">
        <v>3</v>
      </c>
      <c r="K26" s="279" t="s">
        <v>3</v>
      </c>
      <c r="L26" s="279" t="s">
        <v>3</v>
      </c>
      <c r="M26" s="279" t="s">
        <v>3</v>
      </c>
      <c r="N26" s="279" t="s">
        <v>3</v>
      </c>
      <c r="O26" s="279" t="s">
        <v>3</v>
      </c>
      <c r="P26" s="279" t="s">
        <v>3</v>
      </c>
      <c r="Q26" s="279" t="s">
        <v>3</v>
      </c>
      <c r="R26" s="279" t="s">
        <v>3</v>
      </c>
      <c r="S26" s="279" t="s">
        <v>3</v>
      </c>
      <c r="T26" s="279" t="s">
        <v>3</v>
      </c>
      <c r="U26" s="279" t="s">
        <v>3</v>
      </c>
      <c r="V26" s="279" t="s">
        <v>3</v>
      </c>
      <c r="W26" s="279" t="s">
        <v>3</v>
      </c>
      <c r="X26" s="279" t="s">
        <v>3</v>
      </c>
      <c r="Y26" s="279" t="s">
        <v>3</v>
      </c>
      <c r="Z26" s="279" t="s">
        <v>3</v>
      </c>
      <c r="AA26" s="279" t="s">
        <v>3</v>
      </c>
      <c r="AB26" s="279" t="s">
        <v>3</v>
      </c>
      <c r="AC26" s="279" t="s">
        <v>3</v>
      </c>
      <c r="AD26" s="279" t="s">
        <v>3</v>
      </c>
      <c r="AE26" s="279" t="s">
        <v>3</v>
      </c>
      <c r="AF26" s="279" t="s">
        <v>3</v>
      </c>
      <c r="AG26" s="279" t="s">
        <v>3</v>
      </c>
      <c r="AH26" s="279" t="s">
        <v>3</v>
      </c>
      <c r="AI26" s="279" t="s">
        <v>3</v>
      </c>
      <c r="AJ26" s="279" t="s">
        <v>3</v>
      </c>
      <c r="AK26" s="279" t="s">
        <v>3</v>
      </c>
      <c r="AL26" s="279" t="s">
        <v>3</v>
      </c>
      <c r="AM26" s="279">
        <v>-20.9</v>
      </c>
      <c r="AN26" s="95">
        <v>-21.3</v>
      </c>
      <c r="AO26" s="279">
        <v>-22.5</v>
      </c>
      <c r="AP26" s="279">
        <v>-23.2</v>
      </c>
      <c r="AQ26" s="166">
        <v>-23.2</v>
      </c>
      <c r="AR26" s="166">
        <v>-24.7</v>
      </c>
      <c r="AS26" s="166">
        <v>-25.599999999999998</v>
      </c>
      <c r="AT26" s="166">
        <v>-23.8</v>
      </c>
      <c r="AU26" s="166">
        <f>-101.416-SUM(AR26:AT26)</f>
        <v>-27.316000000000003</v>
      </c>
      <c r="AV26" s="166">
        <v>-33.700000000000003</v>
      </c>
      <c r="AW26" s="166">
        <v>-33.756999999999998</v>
      </c>
      <c r="AX26" s="166">
        <v>-27.783000000000001</v>
      </c>
      <c r="AY26" s="166">
        <v>-31.169</v>
      </c>
      <c r="AZ26" s="166">
        <v>-41</v>
      </c>
      <c r="BA26" s="166">
        <v>-23.418000000000006</v>
      </c>
      <c r="BB26" s="166">
        <v>-32.353999999999999</v>
      </c>
      <c r="BC26" s="166">
        <v>-31.951000000000001</v>
      </c>
      <c r="BD26" s="166">
        <v>-41.125999999999998</v>
      </c>
      <c r="BE26" s="166">
        <v>-40.590000000000003</v>
      </c>
      <c r="BF26" s="166">
        <v>-41.858999999999995</v>
      </c>
      <c r="BG26" s="166">
        <v>-42.823999999999998</v>
      </c>
      <c r="BH26" s="166">
        <v>-54.600940699999995</v>
      </c>
      <c r="BI26" s="299"/>
      <c r="BJ26" s="92" t="s">
        <v>3</v>
      </c>
      <c r="BK26" s="92" t="s">
        <v>3</v>
      </c>
      <c r="BL26" s="92" t="s">
        <v>3</v>
      </c>
      <c r="BM26" s="92" t="s">
        <v>3</v>
      </c>
      <c r="BN26" s="92" t="s">
        <v>3</v>
      </c>
      <c r="BO26" s="92" t="s">
        <v>3</v>
      </c>
      <c r="BP26" s="64">
        <f>-'P&amp;L'!BO47</f>
        <v>-76.430000000000007</v>
      </c>
      <c r="BQ26" s="64">
        <f>-'P&amp;L'!BP47</f>
        <v>-76.263000000000005</v>
      </c>
      <c r="BR26" s="64">
        <f>-'P&amp;L'!BQ47</f>
        <v>-85.75500000000001</v>
      </c>
      <c r="BS26" s="64">
        <v>-86.6</v>
      </c>
      <c r="BT26" s="64">
        <v>-90.2</v>
      </c>
      <c r="BU26" s="166">
        <f>-101.416</f>
        <v>-101.416</v>
      </c>
      <c r="BV26" s="166">
        <v>-126.40899999999999</v>
      </c>
      <c r="BW26" s="166">
        <v>-128.71700000000001</v>
      </c>
      <c r="BX26" s="166">
        <v>-166.399</v>
      </c>
    </row>
    <row r="27" spans="1:76" s="127" customFormat="1" x14ac:dyDescent="0.35">
      <c r="B27" s="126" t="str">
        <f>IF(Control!$D$5=1,"Employee Expenses","Despesas com Pessoal")</f>
        <v>Employee Expenses</v>
      </c>
      <c r="C27" s="146">
        <v>0</v>
      </c>
      <c r="D27" s="95" t="s">
        <v>3</v>
      </c>
      <c r="E27" s="279" t="s">
        <v>3</v>
      </c>
      <c r="F27" s="279" t="s">
        <v>3</v>
      </c>
      <c r="G27" s="279" t="s">
        <v>3</v>
      </c>
      <c r="H27" s="95" t="s">
        <v>3</v>
      </c>
      <c r="I27" s="279" t="s">
        <v>3</v>
      </c>
      <c r="J27" s="279" t="s">
        <v>3</v>
      </c>
      <c r="K27" s="279" t="s">
        <v>3</v>
      </c>
      <c r="L27" s="95" t="s">
        <v>3</v>
      </c>
      <c r="M27" s="279" t="s">
        <v>3</v>
      </c>
      <c r="N27" s="279" t="s">
        <v>3</v>
      </c>
      <c r="O27" s="279" t="s">
        <v>3</v>
      </c>
      <c r="P27" s="95" t="s">
        <v>3</v>
      </c>
      <c r="Q27" s="279" t="s">
        <v>3</v>
      </c>
      <c r="R27" s="279" t="s">
        <v>3</v>
      </c>
      <c r="S27" s="279" t="s">
        <v>3</v>
      </c>
      <c r="T27" s="95" t="s">
        <v>3</v>
      </c>
      <c r="U27" s="279" t="s">
        <v>3</v>
      </c>
      <c r="V27" s="279" t="s">
        <v>3</v>
      </c>
      <c r="W27" s="279" t="s">
        <v>3</v>
      </c>
      <c r="X27" s="95" t="s">
        <v>3</v>
      </c>
      <c r="Y27" s="279" t="s">
        <v>3</v>
      </c>
      <c r="Z27" s="279" t="s">
        <v>3</v>
      </c>
      <c r="AA27" s="279" t="s">
        <v>3</v>
      </c>
      <c r="AB27" s="95" t="s">
        <v>3</v>
      </c>
      <c r="AC27" s="279" t="s">
        <v>3</v>
      </c>
      <c r="AD27" s="279" t="s">
        <v>3</v>
      </c>
      <c r="AE27" s="279" t="s">
        <v>3</v>
      </c>
      <c r="AF27" s="95" t="s">
        <v>3</v>
      </c>
      <c r="AG27" s="279" t="s">
        <v>3</v>
      </c>
      <c r="AH27" s="279" t="s">
        <v>3</v>
      </c>
      <c r="AI27" s="279" t="s">
        <v>3</v>
      </c>
      <c r="AJ27" s="95" t="s">
        <v>3</v>
      </c>
      <c r="AK27" s="95" t="s">
        <v>3</v>
      </c>
      <c r="AL27" s="95" t="s">
        <v>3</v>
      </c>
      <c r="AM27" s="95">
        <v>-185.1</v>
      </c>
      <c r="AN27" s="279">
        <v>-120.8</v>
      </c>
      <c r="AO27" s="95">
        <v>-110.8</v>
      </c>
      <c r="AP27" s="95">
        <v>-81.599999999999994</v>
      </c>
      <c r="AQ27" s="166">
        <v>-95.4</v>
      </c>
      <c r="AR27" s="166">
        <v>-116.9</v>
      </c>
      <c r="AS27" s="166">
        <v>-113.9</v>
      </c>
      <c r="AT27" s="166">
        <v>-109.2</v>
      </c>
      <c r="AU27" s="166">
        <v>-112.6</v>
      </c>
      <c r="AV27" s="166">
        <v>-116.7</v>
      </c>
      <c r="AW27" s="166">
        <v>-110.56100000000001</v>
      </c>
      <c r="AX27" s="166">
        <v>-110.667</v>
      </c>
      <c r="AY27" s="166">
        <v>-119.423</v>
      </c>
      <c r="AZ27" s="166">
        <v>-136.834</v>
      </c>
      <c r="BA27" s="166">
        <v>-133.53199999999998</v>
      </c>
      <c r="BB27" s="166">
        <v>-132.262</v>
      </c>
      <c r="BC27" s="166">
        <v>-126.6</v>
      </c>
      <c r="BD27" s="166">
        <v>-154.697</v>
      </c>
      <c r="BE27" s="166">
        <v>-136.99600000000001</v>
      </c>
      <c r="BF27" s="166">
        <v>-148.964</v>
      </c>
      <c r="BG27" s="166">
        <v>-145.82</v>
      </c>
      <c r="BH27" s="166">
        <v>-194.37</v>
      </c>
      <c r="BI27" s="298"/>
      <c r="BJ27" s="92" t="s">
        <v>3</v>
      </c>
      <c r="BK27" s="92" t="s">
        <v>3</v>
      </c>
      <c r="BL27" s="92" t="s">
        <v>3</v>
      </c>
      <c r="BM27" s="92" t="s">
        <v>3</v>
      </c>
      <c r="BN27" s="92" t="s">
        <v>3</v>
      </c>
      <c r="BO27" s="92" t="s">
        <v>3</v>
      </c>
      <c r="BP27" s="64">
        <v>-289.52499999999998</v>
      </c>
      <c r="BQ27" s="64">
        <v>-315.28399999999999</v>
      </c>
      <c r="BR27" s="64">
        <v>-392.44799999999998</v>
      </c>
      <c r="BS27" s="64">
        <v>-427.7</v>
      </c>
      <c r="BT27" s="64">
        <v>-420.9</v>
      </c>
      <c r="BU27" s="166">
        <f>-450.738</f>
        <v>-450.738</v>
      </c>
      <c r="BV27" s="166">
        <v>-457.351</v>
      </c>
      <c r="BW27" s="166">
        <v>-529.17999999999995</v>
      </c>
      <c r="BX27" s="166">
        <v>-586.47699999999998</v>
      </c>
    </row>
    <row r="28" spans="1:76" s="127" customFormat="1" x14ac:dyDescent="0.35">
      <c r="B28" s="126" t="str">
        <f>IF(Control!$D$5=1,"Raw Materials","Matéria Prima e Materiais")</f>
        <v>Raw Materials</v>
      </c>
      <c r="C28" s="146">
        <v>0</v>
      </c>
      <c r="D28" s="95" t="s">
        <v>3</v>
      </c>
      <c r="E28" s="279" t="s">
        <v>3</v>
      </c>
      <c r="F28" s="279" t="s">
        <v>3</v>
      </c>
      <c r="G28" s="279" t="s">
        <v>3</v>
      </c>
      <c r="H28" s="95" t="s">
        <v>3</v>
      </c>
      <c r="I28" s="279" t="s">
        <v>3</v>
      </c>
      <c r="J28" s="279" t="s">
        <v>3</v>
      </c>
      <c r="K28" s="279" t="s">
        <v>3</v>
      </c>
      <c r="L28" s="95" t="s">
        <v>3</v>
      </c>
      <c r="M28" s="279" t="s">
        <v>3</v>
      </c>
      <c r="N28" s="279" t="s">
        <v>3</v>
      </c>
      <c r="O28" s="279" t="s">
        <v>3</v>
      </c>
      <c r="P28" s="95" t="s">
        <v>3</v>
      </c>
      <c r="Q28" s="279" t="s">
        <v>3</v>
      </c>
      <c r="R28" s="279" t="s">
        <v>3</v>
      </c>
      <c r="S28" s="279" t="s">
        <v>3</v>
      </c>
      <c r="T28" s="95" t="s">
        <v>3</v>
      </c>
      <c r="U28" s="279" t="s">
        <v>3</v>
      </c>
      <c r="V28" s="279" t="s">
        <v>3</v>
      </c>
      <c r="W28" s="279" t="s">
        <v>3</v>
      </c>
      <c r="X28" s="95" t="s">
        <v>3</v>
      </c>
      <c r="Y28" s="279" t="s">
        <v>3</v>
      </c>
      <c r="Z28" s="279" t="s">
        <v>3</v>
      </c>
      <c r="AA28" s="279" t="s">
        <v>3</v>
      </c>
      <c r="AB28" s="95" t="s">
        <v>3</v>
      </c>
      <c r="AC28" s="279" t="s">
        <v>3</v>
      </c>
      <c r="AD28" s="279" t="s">
        <v>3</v>
      </c>
      <c r="AE28" s="279" t="s">
        <v>3</v>
      </c>
      <c r="AF28" s="95" t="s">
        <v>3</v>
      </c>
      <c r="AG28" s="279" t="s">
        <v>3</v>
      </c>
      <c r="AH28" s="279" t="s">
        <v>3</v>
      </c>
      <c r="AI28" s="279" t="s">
        <v>3</v>
      </c>
      <c r="AJ28" s="95" t="s">
        <v>3</v>
      </c>
      <c r="AK28" s="95" t="s">
        <v>3</v>
      </c>
      <c r="AL28" s="95" t="s">
        <v>3</v>
      </c>
      <c r="AM28" s="95">
        <v>-698.1</v>
      </c>
      <c r="AN28" s="279">
        <v>-736.7</v>
      </c>
      <c r="AO28" s="301">
        <v>-736.3</v>
      </c>
      <c r="AP28" s="95">
        <v>-763.5</v>
      </c>
      <c r="AQ28" s="166">
        <v>-705</v>
      </c>
      <c r="AR28" s="166">
        <v>-587.9</v>
      </c>
      <c r="AS28" s="166">
        <v>-691.30000000000007</v>
      </c>
      <c r="AT28" s="166">
        <v>-796.7</v>
      </c>
      <c r="AU28" s="166">
        <v>-860.7</v>
      </c>
      <c r="AV28" s="166">
        <v>-785.8</v>
      </c>
      <c r="AW28" s="166">
        <v>-769.68100000000004</v>
      </c>
      <c r="AX28" s="166">
        <v>-898.71800000000007</v>
      </c>
      <c r="AY28" s="166">
        <v>-943.71699999999998</v>
      </c>
      <c r="AZ28" s="166">
        <v>-1122.0119999999999</v>
      </c>
      <c r="BA28" s="166">
        <v>-1290.8509999999999</v>
      </c>
      <c r="BB28" s="166">
        <v>-1307.373</v>
      </c>
      <c r="BC28" s="166">
        <v>-1276.1020000000001</v>
      </c>
      <c r="BD28" s="166">
        <v>-1611.702</v>
      </c>
      <c r="BE28" s="166">
        <v>-1589.364</v>
      </c>
      <c r="BF28" s="166">
        <v>-1549.33</v>
      </c>
      <c r="BG28" s="166">
        <v>-1615.575</v>
      </c>
      <c r="BH28" s="166">
        <v>-1604.9079999999999</v>
      </c>
      <c r="BI28" s="298"/>
      <c r="BJ28" s="92" t="s">
        <v>3</v>
      </c>
      <c r="BK28" s="92" t="s">
        <v>3</v>
      </c>
      <c r="BL28" s="92" t="s">
        <v>3</v>
      </c>
      <c r="BM28" s="92" t="s">
        <v>3</v>
      </c>
      <c r="BN28" s="92" t="s">
        <v>3</v>
      </c>
      <c r="BO28" s="92" t="s">
        <v>3</v>
      </c>
      <c r="BP28" s="64">
        <v>-2247.0230000000001</v>
      </c>
      <c r="BQ28" s="64">
        <v>-2329.8510000000001</v>
      </c>
      <c r="BR28" s="64">
        <v>-2660.694</v>
      </c>
      <c r="BS28" s="64">
        <v>-3175.5</v>
      </c>
      <c r="BT28" s="64">
        <v>-2923</v>
      </c>
      <c r="BU28" s="166">
        <f>-2936.865</f>
        <v>-2936.8649999999998</v>
      </c>
      <c r="BV28" s="166">
        <v>-3397.9160000000002</v>
      </c>
      <c r="BW28" s="166">
        <v>-4996.09</v>
      </c>
      <c r="BX28" s="166">
        <v>-6365.9709999999995</v>
      </c>
    </row>
    <row r="29" spans="1:76" s="127" customFormat="1" x14ac:dyDescent="0.35">
      <c r="B29" s="126" t="str">
        <f>IF(Control!$D$5=1,"Shipping","Fretes")</f>
        <v>Shipping</v>
      </c>
      <c r="C29" s="146">
        <v>0</v>
      </c>
      <c r="D29" s="95" t="s">
        <v>3</v>
      </c>
      <c r="E29" s="279" t="s">
        <v>3</v>
      </c>
      <c r="F29" s="279" t="s">
        <v>3</v>
      </c>
      <c r="G29" s="279" t="s">
        <v>3</v>
      </c>
      <c r="H29" s="95" t="s">
        <v>3</v>
      </c>
      <c r="I29" s="279" t="s">
        <v>3</v>
      </c>
      <c r="J29" s="279" t="s">
        <v>3</v>
      </c>
      <c r="K29" s="279" t="s">
        <v>3</v>
      </c>
      <c r="L29" s="95" t="s">
        <v>3</v>
      </c>
      <c r="M29" s="279" t="s">
        <v>3</v>
      </c>
      <c r="N29" s="279" t="s">
        <v>3</v>
      </c>
      <c r="O29" s="279" t="s">
        <v>3</v>
      </c>
      <c r="P29" s="95" t="s">
        <v>3</v>
      </c>
      <c r="Q29" s="279" t="s">
        <v>3</v>
      </c>
      <c r="R29" s="279" t="s">
        <v>3</v>
      </c>
      <c r="S29" s="279" t="s">
        <v>3</v>
      </c>
      <c r="T29" s="95" t="s">
        <v>3</v>
      </c>
      <c r="U29" s="279" t="s">
        <v>3</v>
      </c>
      <c r="V29" s="279" t="s">
        <v>3</v>
      </c>
      <c r="W29" s="279" t="s">
        <v>3</v>
      </c>
      <c r="X29" s="95" t="s">
        <v>3</v>
      </c>
      <c r="Y29" s="279" t="s">
        <v>3</v>
      </c>
      <c r="Z29" s="279" t="s">
        <v>3</v>
      </c>
      <c r="AA29" s="279" t="s">
        <v>3</v>
      </c>
      <c r="AB29" s="95" t="s">
        <v>3</v>
      </c>
      <c r="AC29" s="279" t="s">
        <v>3</v>
      </c>
      <c r="AD29" s="279" t="s">
        <v>3</v>
      </c>
      <c r="AE29" s="279" t="s">
        <v>3</v>
      </c>
      <c r="AF29" s="95" t="s">
        <v>3</v>
      </c>
      <c r="AG29" s="279" t="s">
        <v>3</v>
      </c>
      <c r="AH29" s="279" t="s">
        <v>3</v>
      </c>
      <c r="AI29" s="279" t="s">
        <v>3</v>
      </c>
      <c r="AJ29" s="95" t="s">
        <v>3</v>
      </c>
      <c r="AK29" s="95" t="s">
        <v>3</v>
      </c>
      <c r="AL29" s="95" t="s">
        <v>3</v>
      </c>
      <c r="AM29" s="95">
        <v>-82.8</v>
      </c>
      <c r="AN29" s="279">
        <v>-100.3</v>
      </c>
      <c r="AO29" s="95">
        <v>-5.0999999999999996</v>
      </c>
      <c r="AP29" s="95">
        <v>-87.3</v>
      </c>
      <c r="AQ29" s="166">
        <v>-77.400000000000006</v>
      </c>
      <c r="AR29" s="166">
        <v>-84.1</v>
      </c>
      <c r="AS29" s="166">
        <v>-105.4</v>
      </c>
      <c r="AT29" s="166">
        <v>-95.6</v>
      </c>
      <c r="AU29" s="166">
        <v>-122.9</v>
      </c>
      <c r="AV29" s="166">
        <v>-120.3</v>
      </c>
      <c r="AW29" s="166">
        <v>-110.324</v>
      </c>
      <c r="AX29" s="166">
        <v>-112.88999999999999</v>
      </c>
      <c r="AY29" s="166">
        <v>-128.07900000000001</v>
      </c>
      <c r="AZ29" s="166">
        <v>-134.60499999999999</v>
      </c>
      <c r="BA29" s="166">
        <v>-133.11100000000002</v>
      </c>
      <c r="BB29" s="166">
        <v>-126.773</v>
      </c>
      <c r="BC29" s="166">
        <v>-107.18300000000001</v>
      </c>
      <c r="BD29" s="166">
        <v>-147.63800000000001</v>
      </c>
      <c r="BE29" s="166">
        <v>-148.69800000000001</v>
      </c>
      <c r="BF29" s="166">
        <v>-154.816</v>
      </c>
      <c r="BG29" s="166">
        <v>-165.47900000000001</v>
      </c>
      <c r="BH29" s="166">
        <v>-183.553</v>
      </c>
      <c r="BI29" s="298"/>
      <c r="BJ29" s="92" t="s">
        <v>3</v>
      </c>
      <c r="BK29" s="92" t="s">
        <v>3</v>
      </c>
      <c r="BL29" s="92" t="s">
        <v>3</v>
      </c>
      <c r="BM29" s="92" t="s">
        <v>3</v>
      </c>
      <c r="BN29" s="92" t="s">
        <v>3</v>
      </c>
      <c r="BO29" s="92" t="s">
        <v>3</v>
      </c>
      <c r="BP29" s="64">
        <v>-326.78199999999998</v>
      </c>
      <c r="BQ29" s="64">
        <v>-314.46899999999999</v>
      </c>
      <c r="BR29" s="64">
        <v>-275.84899999999999</v>
      </c>
      <c r="BS29" s="153">
        <v>-279.2</v>
      </c>
      <c r="BT29" s="153">
        <v>-305.89999999999998</v>
      </c>
      <c r="BU29" s="166">
        <f>-403.643</f>
        <v>-403.64299999999997</v>
      </c>
      <c r="BV29" s="166">
        <v>-471.59300000000002</v>
      </c>
      <c r="BW29" s="166">
        <v>-501.64</v>
      </c>
      <c r="BX29" s="166">
        <v>-616.63100000000009</v>
      </c>
    </row>
    <row r="30" spans="1:76" s="127" customFormat="1" x14ac:dyDescent="0.35">
      <c r="A30" s="80"/>
      <c r="B30" s="126" t="str">
        <f>IF(Control!$D$5=1,"Tax Expenses","Despesas Tributárias")</f>
        <v>Tax Expenses</v>
      </c>
      <c r="C30" s="146">
        <v>0</v>
      </c>
      <c r="D30" s="95" t="s">
        <v>3</v>
      </c>
      <c r="E30" s="279" t="s">
        <v>3</v>
      </c>
      <c r="F30" s="279" t="s">
        <v>3</v>
      </c>
      <c r="G30" s="279" t="s">
        <v>3</v>
      </c>
      <c r="H30" s="95" t="s">
        <v>3</v>
      </c>
      <c r="I30" s="279" t="s">
        <v>3</v>
      </c>
      <c r="J30" s="279" t="s">
        <v>3</v>
      </c>
      <c r="K30" s="279" t="s">
        <v>3</v>
      </c>
      <c r="L30" s="95" t="s">
        <v>3</v>
      </c>
      <c r="M30" s="279" t="s">
        <v>3</v>
      </c>
      <c r="N30" s="279" t="s">
        <v>3</v>
      </c>
      <c r="O30" s="279" t="s">
        <v>3</v>
      </c>
      <c r="P30" s="95" t="s">
        <v>3</v>
      </c>
      <c r="Q30" s="279" t="s">
        <v>3</v>
      </c>
      <c r="R30" s="279" t="s">
        <v>3</v>
      </c>
      <c r="S30" s="279" t="s">
        <v>3</v>
      </c>
      <c r="T30" s="95" t="s">
        <v>3</v>
      </c>
      <c r="U30" s="279" t="s">
        <v>3</v>
      </c>
      <c r="V30" s="279" t="s">
        <v>3</v>
      </c>
      <c r="W30" s="279" t="s">
        <v>3</v>
      </c>
      <c r="X30" s="95" t="s">
        <v>3</v>
      </c>
      <c r="Y30" s="279" t="s">
        <v>3</v>
      </c>
      <c r="Z30" s="279" t="s">
        <v>3</v>
      </c>
      <c r="AA30" s="279" t="s">
        <v>3</v>
      </c>
      <c r="AB30" s="95" t="s">
        <v>3</v>
      </c>
      <c r="AC30" s="279" t="s">
        <v>3</v>
      </c>
      <c r="AD30" s="279" t="s">
        <v>3</v>
      </c>
      <c r="AE30" s="279" t="s">
        <v>3</v>
      </c>
      <c r="AF30" s="95" t="s">
        <v>3</v>
      </c>
      <c r="AG30" s="279" t="s">
        <v>3</v>
      </c>
      <c r="AH30" s="279" t="s">
        <v>3</v>
      </c>
      <c r="AI30" s="279" t="s">
        <v>3</v>
      </c>
      <c r="AJ30" s="95" t="s">
        <v>3</v>
      </c>
      <c r="AK30" s="95" t="s">
        <v>3</v>
      </c>
      <c r="AL30" s="95" t="s">
        <v>3</v>
      </c>
      <c r="AM30" s="95" t="s">
        <v>3</v>
      </c>
      <c r="AN30" s="95">
        <v>-4.4000000000000004</v>
      </c>
      <c r="AO30" s="95">
        <v>-4.5999999999999996</v>
      </c>
      <c r="AP30" s="95">
        <v>-4.9000000000000004</v>
      </c>
      <c r="AQ30" s="166">
        <v>-3.7</v>
      </c>
      <c r="AR30" s="166">
        <v>-6</v>
      </c>
      <c r="AS30" s="166">
        <v>-5.1999999999999993</v>
      </c>
      <c r="AT30" s="95" t="s">
        <v>3</v>
      </c>
      <c r="AU30" s="95" t="s">
        <v>3</v>
      </c>
      <c r="AV30" s="95" t="s">
        <v>3</v>
      </c>
      <c r="AW30" s="95" t="s">
        <v>3</v>
      </c>
      <c r="AX30" s="95">
        <v>-7.599000000000002</v>
      </c>
      <c r="AY30" s="95">
        <v>-8</v>
      </c>
      <c r="AZ30" s="95">
        <v>-8.9179999999999993</v>
      </c>
      <c r="BA30" s="95">
        <v>-8.2980000000000018</v>
      </c>
      <c r="BB30" s="95">
        <v>-12.759000000000015</v>
      </c>
      <c r="BC30" s="95">
        <v>-8.9220000000000006</v>
      </c>
      <c r="BD30" s="95">
        <v>-4.3680000000000003</v>
      </c>
      <c r="BE30" s="166">
        <v>-7.1989999999999998</v>
      </c>
      <c r="BF30" s="166">
        <v>-9.8420000000000005</v>
      </c>
      <c r="BG30" s="166">
        <v>-3.2639999999999998</v>
      </c>
      <c r="BH30" s="166">
        <v>-3.3479999999999999</v>
      </c>
      <c r="BI30" s="299"/>
      <c r="BJ30" s="92" t="s">
        <v>3</v>
      </c>
      <c r="BK30" s="92" t="s">
        <v>3</v>
      </c>
      <c r="BL30" s="92" t="s">
        <v>3</v>
      </c>
      <c r="BM30" s="92" t="s">
        <v>3</v>
      </c>
      <c r="BN30" s="92" t="s">
        <v>3</v>
      </c>
      <c r="BO30" s="92" t="s">
        <v>3</v>
      </c>
      <c r="BP30" s="92" t="s">
        <v>3</v>
      </c>
      <c r="BQ30" s="92" t="s">
        <v>3</v>
      </c>
      <c r="BR30" s="92" t="s">
        <v>3</v>
      </c>
      <c r="BS30" s="92" t="s">
        <v>3</v>
      </c>
      <c r="BT30" s="92" t="s">
        <v>3</v>
      </c>
      <c r="BU30" s="95" t="s">
        <v>3</v>
      </c>
      <c r="BV30" s="166">
        <v>-28.8</v>
      </c>
      <c r="BW30" s="166">
        <v>-38.887999999999998</v>
      </c>
      <c r="BX30" s="166">
        <v>-24.672999999999998</v>
      </c>
    </row>
    <row r="31" spans="1:76" s="127" customFormat="1" x14ac:dyDescent="0.35">
      <c r="A31" s="80"/>
      <c r="B31" s="126" t="str">
        <f>IF(Control!$D$5=1,"Sales Comission","Comissoes sobre Vendas")</f>
        <v>Sales Comission</v>
      </c>
      <c r="C31" s="146">
        <v>0</v>
      </c>
      <c r="D31" s="95" t="s">
        <v>3</v>
      </c>
      <c r="E31" s="279" t="s">
        <v>3</v>
      </c>
      <c r="F31" s="279" t="s">
        <v>3</v>
      </c>
      <c r="G31" s="279" t="s">
        <v>3</v>
      </c>
      <c r="H31" s="95" t="s">
        <v>3</v>
      </c>
      <c r="I31" s="279" t="s">
        <v>3</v>
      </c>
      <c r="J31" s="279" t="s">
        <v>3</v>
      </c>
      <c r="K31" s="279" t="s">
        <v>3</v>
      </c>
      <c r="L31" s="95" t="s">
        <v>3</v>
      </c>
      <c r="M31" s="279" t="s">
        <v>3</v>
      </c>
      <c r="N31" s="279" t="s">
        <v>3</v>
      </c>
      <c r="O31" s="279" t="s">
        <v>3</v>
      </c>
      <c r="P31" s="95" t="s">
        <v>3</v>
      </c>
      <c r="Q31" s="279" t="s">
        <v>3</v>
      </c>
      <c r="R31" s="279" t="s">
        <v>3</v>
      </c>
      <c r="S31" s="279" t="s">
        <v>3</v>
      </c>
      <c r="T31" s="95" t="s">
        <v>3</v>
      </c>
      <c r="U31" s="279" t="s">
        <v>3</v>
      </c>
      <c r="V31" s="279" t="s">
        <v>3</v>
      </c>
      <c r="W31" s="279" t="s">
        <v>3</v>
      </c>
      <c r="X31" s="95" t="s">
        <v>3</v>
      </c>
      <c r="Y31" s="279" t="s">
        <v>3</v>
      </c>
      <c r="Z31" s="279" t="s">
        <v>3</v>
      </c>
      <c r="AA31" s="279" t="s">
        <v>3</v>
      </c>
      <c r="AB31" s="95" t="s">
        <v>3</v>
      </c>
      <c r="AC31" s="279" t="s">
        <v>3</v>
      </c>
      <c r="AD31" s="279" t="s">
        <v>3</v>
      </c>
      <c r="AE31" s="279" t="s">
        <v>3</v>
      </c>
      <c r="AF31" s="95" t="s">
        <v>3</v>
      </c>
      <c r="AG31" s="279" t="s">
        <v>3</v>
      </c>
      <c r="AH31" s="279" t="s">
        <v>3</v>
      </c>
      <c r="AI31" s="279" t="s">
        <v>3</v>
      </c>
      <c r="AJ31" s="95" t="s">
        <v>3</v>
      </c>
      <c r="AK31" s="95" t="s">
        <v>3</v>
      </c>
      <c r="AL31" s="95" t="s">
        <v>3</v>
      </c>
      <c r="AM31" s="95" t="s">
        <v>3</v>
      </c>
      <c r="AN31" s="95">
        <v>-7.3</v>
      </c>
      <c r="AO31" s="95">
        <v>-4.5999999999999996</v>
      </c>
      <c r="AP31" s="95">
        <v>-6.6</v>
      </c>
      <c r="AQ31" s="166">
        <v>-5.2</v>
      </c>
      <c r="AR31" s="166">
        <v>-4.4000000000000004</v>
      </c>
      <c r="AS31" s="166">
        <v>-5.2999999999999989</v>
      </c>
      <c r="AT31" s="166">
        <v>-6.7</v>
      </c>
      <c r="AU31" s="166">
        <v>-7.4</v>
      </c>
      <c r="AV31" s="166">
        <v>-7.3</v>
      </c>
      <c r="AW31" s="166">
        <v>-6.1989999999999998</v>
      </c>
      <c r="AX31" s="166">
        <v>-9.1129999999999978</v>
      </c>
      <c r="AY31" s="166">
        <v>-7.6989999999999998</v>
      </c>
      <c r="AZ31" s="166">
        <v>-9.7390000000000008</v>
      </c>
      <c r="BA31" s="166">
        <v>-10.788999999999998</v>
      </c>
      <c r="BB31" s="166">
        <v>-13.374000000000001</v>
      </c>
      <c r="BC31" s="166">
        <v>-8.9250000000000007</v>
      </c>
      <c r="BD31" s="166">
        <v>-11.986000000000001</v>
      </c>
      <c r="BE31" s="166">
        <v>-11.092000000000001</v>
      </c>
      <c r="BF31" s="166">
        <v>-16.588999999999999</v>
      </c>
      <c r="BG31" s="166">
        <v>-12.218</v>
      </c>
      <c r="BH31" s="166">
        <v>-15.118</v>
      </c>
      <c r="BI31" s="299"/>
      <c r="BJ31" s="92" t="s">
        <v>3</v>
      </c>
      <c r="BK31" s="92" t="s">
        <v>3</v>
      </c>
      <c r="BL31" s="92" t="s">
        <v>3</v>
      </c>
      <c r="BM31" s="92" t="s">
        <v>3</v>
      </c>
      <c r="BN31" s="92" t="s">
        <v>3</v>
      </c>
      <c r="BO31" s="92" t="s">
        <v>3</v>
      </c>
      <c r="BP31" s="92" t="s">
        <v>3</v>
      </c>
      <c r="BQ31" s="92" t="s">
        <v>3</v>
      </c>
      <c r="BR31" s="92" t="s">
        <v>3</v>
      </c>
      <c r="BS31" s="92" t="s">
        <v>3</v>
      </c>
      <c r="BT31" s="92" t="s">
        <v>3</v>
      </c>
      <c r="BU31" s="166">
        <f>-23.762</f>
        <v>-23.762</v>
      </c>
      <c r="BV31" s="166">
        <v>-30.310999999999993</v>
      </c>
      <c r="BW31" s="166">
        <v>-42.823999999999998</v>
      </c>
      <c r="BX31" s="166">
        <v>-51.885000000000005</v>
      </c>
    </row>
    <row r="32" spans="1:76" s="127" customFormat="1" outlineLevel="1" x14ac:dyDescent="0.35">
      <c r="B32" s="126" t="str">
        <f>IF(Control!$D$5=1,"Marketing Expenses","Despesas com Marketing")</f>
        <v>Marketing Expenses</v>
      </c>
      <c r="C32" s="146">
        <v>0</v>
      </c>
      <c r="D32" s="95" t="s">
        <v>3</v>
      </c>
      <c r="E32" s="279" t="s">
        <v>3</v>
      </c>
      <c r="F32" s="279" t="s">
        <v>3</v>
      </c>
      <c r="G32" s="279" t="s">
        <v>3</v>
      </c>
      <c r="H32" s="95" t="s">
        <v>3</v>
      </c>
      <c r="I32" s="279" t="s">
        <v>3</v>
      </c>
      <c r="J32" s="279" t="s">
        <v>3</v>
      </c>
      <c r="K32" s="279" t="s">
        <v>3</v>
      </c>
      <c r="L32" s="95" t="s">
        <v>3</v>
      </c>
      <c r="M32" s="279" t="s">
        <v>3</v>
      </c>
      <c r="N32" s="279" t="s">
        <v>3</v>
      </c>
      <c r="O32" s="279" t="s">
        <v>3</v>
      </c>
      <c r="P32" s="95" t="s">
        <v>3</v>
      </c>
      <c r="Q32" s="279" t="s">
        <v>3</v>
      </c>
      <c r="R32" s="279" t="s">
        <v>3</v>
      </c>
      <c r="S32" s="279" t="s">
        <v>3</v>
      </c>
      <c r="T32" s="95" t="s">
        <v>3</v>
      </c>
      <c r="U32" s="279" t="s">
        <v>3</v>
      </c>
      <c r="V32" s="279" t="s">
        <v>3</v>
      </c>
      <c r="W32" s="279" t="s">
        <v>3</v>
      </c>
      <c r="X32" s="95" t="s">
        <v>3</v>
      </c>
      <c r="Y32" s="279" t="s">
        <v>3</v>
      </c>
      <c r="Z32" s="279" t="s">
        <v>3</v>
      </c>
      <c r="AA32" s="279" t="s">
        <v>3</v>
      </c>
      <c r="AB32" s="95" t="s">
        <v>3</v>
      </c>
      <c r="AC32" s="279" t="s">
        <v>3</v>
      </c>
      <c r="AD32" s="279" t="s">
        <v>3</v>
      </c>
      <c r="AE32" s="279" t="s">
        <v>3</v>
      </c>
      <c r="AF32" s="95" t="s">
        <v>3</v>
      </c>
      <c r="AG32" s="279" t="s">
        <v>3</v>
      </c>
      <c r="AH32" s="279" t="s">
        <v>3</v>
      </c>
      <c r="AI32" s="279" t="s">
        <v>3</v>
      </c>
      <c r="AJ32" s="95" t="s">
        <v>3</v>
      </c>
      <c r="AK32" s="95" t="s">
        <v>3</v>
      </c>
      <c r="AL32" s="95" t="s">
        <v>3</v>
      </c>
      <c r="AM32" s="95" t="s">
        <v>3</v>
      </c>
      <c r="AN32" s="95" t="s">
        <v>3</v>
      </c>
      <c r="AO32" s="95" t="s">
        <v>3</v>
      </c>
      <c r="AP32" s="95" t="s">
        <v>3</v>
      </c>
      <c r="AQ32" s="95" t="s">
        <v>3</v>
      </c>
      <c r="AR32" s="95" t="s">
        <v>3</v>
      </c>
      <c r="AS32" s="95" t="s">
        <v>3</v>
      </c>
      <c r="AT32" s="95" t="s">
        <v>3</v>
      </c>
      <c r="AU32" s="95" t="s">
        <v>3</v>
      </c>
      <c r="AV32" s="95" t="s">
        <v>3</v>
      </c>
      <c r="AW32" s="95" t="s">
        <v>3</v>
      </c>
      <c r="AX32" s="95" t="s">
        <v>3</v>
      </c>
      <c r="AY32" s="95" t="s">
        <v>3</v>
      </c>
      <c r="AZ32" s="95" t="s">
        <v>3</v>
      </c>
      <c r="BA32" s="95" t="s">
        <v>3</v>
      </c>
      <c r="BB32" s="95" t="s">
        <v>3</v>
      </c>
      <c r="BC32" s="95" t="s">
        <v>3</v>
      </c>
      <c r="BD32" s="95" t="s">
        <v>3</v>
      </c>
      <c r="BE32" s="95" t="s">
        <v>3</v>
      </c>
      <c r="BF32" s="95" t="s">
        <v>3</v>
      </c>
      <c r="BG32" s="95" t="s">
        <v>3</v>
      </c>
      <c r="BH32" s="95" t="s">
        <v>3</v>
      </c>
      <c r="BI32" s="95"/>
      <c r="BJ32" s="92" t="s">
        <v>3</v>
      </c>
      <c r="BK32" s="92" t="s">
        <v>3</v>
      </c>
      <c r="BL32" s="92" t="s">
        <v>3</v>
      </c>
      <c r="BM32" s="92" t="s">
        <v>3</v>
      </c>
      <c r="BN32" s="92" t="s">
        <v>3</v>
      </c>
      <c r="BO32" s="92" t="s">
        <v>3</v>
      </c>
      <c r="BP32" s="92" t="s">
        <v>3</v>
      </c>
      <c r="BQ32" s="92" t="s">
        <v>3</v>
      </c>
      <c r="BR32" s="92" t="s">
        <v>3</v>
      </c>
      <c r="BS32" s="92" t="s">
        <v>3</v>
      </c>
      <c r="BT32" s="92" t="s">
        <v>3</v>
      </c>
      <c r="BU32" s="95" t="s">
        <v>3</v>
      </c>
      <c r="BV32" s="95" t="s">
        <v>3</v>
      </c>
      <c r="BW32" s="95" t="s">
        <v>3</v>
      </c>
      <c r="BX32" s="166">
        <v>0</v>
      </c>
    </row>
    <row r="33" spans="1:76" s="127" customFormat="1" x14ac:dyDescent="0.35">
      <c r="B33" s="126" t="str">
        <f>IF(Control!$D$5=1,"Maintenance Expenses","Despesas com Manutenção")</f>
        <v>Maintenance Expenses</v>
      </c>
      <c r="C33" s="146">
        <v>0</v>
      </c>
      <c r="D33" s="95" t="s">
        <v>3</v>
      </c>
      <c r="E33" s="279" t="s">
        <v>3</v>
      </c>
      <c r="F33" s="279" t="s">
        <v>3</v>
      </c>
      <c r="G33" s="279" t="s">
        <v>3</v>
      </c>
      <c r="H33" s="95" t="s">
        <v>3</v>
      </c>
      <c r="I33" s="279" t="s">
        <v>3</v>
      </c>
      <c r="J33" s="279" t="s">
        <v>3</v>
      </c>
      <c r="K33" s="279" t="s">
        <v>3</v>
      </c>
      <c r="L33" s="95" t="s">
        <v>3</v>
      </c>
      <c r="M33" s="279" t="s">
        <v>3</v>
      </c>
      <c r="N33" s="279" t="s">
        <v>3</v>
      </c>
      <c r="O33" s="279" t="s">
        <v>3</v>
      </c>
      <c r="P33" s="95" t="s">
        <v>3</v>
      </c>
      <c r="Q33" s="279" t="s">
        <v>3</v>
      </c>
      <c r="R33" s="279" t="s">
        <v>3</v>
      </c>
      <c r="S33" s="279" t="s">
        <v>3</v>
      </c>
      <c r="T33" s="95" t="s">
        <v>3</v>
      </c>
      <c r="U33" s="279" t="s">
        <v>3</v>
      </c>
      <c r="V33" s="279" t="s">
        <v>3</v>
      </c>
      <c r="W33" s="279" t="s">
        <v>3</v>
      </c>
      <c r="X33" s="95" t="s">
        <v>3</v>
      </c>
      <c r="Y33" s="279" t="s">
        <v>3</v>
      </c>
      <c r="Z33" s="279" t="s">
        <v>3</v>
      </c>
      <c r="AA33" s="279" t="s">
        <v>3</v>
      </c>
      <c r="AB33" s="95" t="s">
        <v>3</v>
      </c>
      <c r="AC33" s="279" t="s">
        <v>3</v>
      </c>
      <c r="AD33" s="279" t="s">
        <v>3</v>
      </c>
      <c r="AE33" s="279" t="s">
        <v>3</v>
      </c>
      <c r="AF33" s="95" t="s">
        <v>3</v>
      </c>
      <c r="AG33" s="279" t="s">
        <v>3</v>
      </c>
      <c r="AH33" s="279" t="s">
        <v>3</v>
      </c>
      <c r="AI33" s="279" t="s">
        <v>3</v>
      </c>
      <c r="AJ33" s="95" t="s">
        <v>3</v>
      </c>
      <c r="AK33" s="95" t="s">
        <v>3</v>
      </c>
      <c r="AL33" s="95" t="s">
        <v>3</v>
      </c>
      <c r="AM33" s="95">
        <v>-38.4</v>
      </c>
      <c r="AN33" s="95">
        <v>-24.1</v>
      </c>
      <c r="AO33" s="95">
        <v>-23</v>
      </c>
      <c r="AP33" s="95">
        <v>-20</v>
      </c>
      <c r="AQ33" s="95">
        <v>-14.9</v>
      </c>
      <c r="AR33" s="95">
        <v>-21.7</v>
      </c>
      <c r="AS33" s="95">
        <v>-22.2</v>
      </c>
      <c r="AT33" s="95">
        <v>-20.2</v>
      </c>
      <c r="AU33" s="166">
        <v>-20</v>
      </c>
      <c r="AV33" s="166">
        <v>-27.1</v>
      </c>
      <c r="AW33" s="166">
        <v>-25.074000000000002</v>
      </c>
      <c r="AX33" s="166">
        <v>-26.333999999999996</v>
      </c>
      <c r="AY33" s="166">
        <v>-31.277000000000001</v>
      </c>
      <c r="AZ33" s="166">
        <v>-31.292000000000002</v>
      </c>
      <c r="BA33" s="166">
        <v>-28.42</v>
      </c>
      <c r="BB33" s="166">
        <v>-28.599</v>
      </c>
      <c r="BC33" s="166">
        <v>-31.748999999999999</v>
      </c>
      <c r="BD33" s="166">
        <v>-35.991</v>
      </c>
      <c r="BE33" s="166">
        <v>-32.042000000000002</v>
      </c>
      <c r="BF33" s="166">
        <v>-34.401000000000003</v>
      </c>
      <c r="BG33" s="166">
        <v>-41.923000000000002</v>
      </c>
      <c r="BH33" s="166">
        <v>-42.508000000000003</v>
      </c>
      <c r="BI33" s="95"/>
      <c r="BJ33" s="92" t="s">
        <v>3</v>
      </c>
      <c r="BK33" s="92" t="s">
        <v>3</v>
      </c>
      <c r="BL33" s="92" t="s">
        <v>3</v>
      </c>
      <c r="BM33" s="92" t="s">
        <v>3</v>
      </c>
      <c r="BN33" s="92" t="s">
        <v>3</v>
      </c>
      <c r="BO33" s="92" t="s">
        <v>3</v>
      </c>
      <c r="BP33" s="64">
        <v>-51.253999999999998</v>
      </c>
      <c r="BQ33" s="64">
        <v>-65.808000000000007</v>
      </c>
      <c r="BR33" s="64">
        <v>-63.417999999999999</v>
      </c>
      <c r="BS33" s="64">
        <v>-76.7</v>
      </c>
      <c r="BT33" s="64">
        <v>-65.3</v>
      </c>
      <c r="BU33" s="95">
        <f>-83.918</f>
        <v>-83.918000000000006</v>
      </c>
      <c r="BV33" s="166">
        <v>-109.78500000000001</v>
      </c>
      <c r="BW33" s="166">
        <v>-120.05500000000001</v>
      </c>
      <c r="BX33" s="166">
        <v>-144.357</v>
      </c>
    </row>
    <row r="34" spans="1:76" s="127" customFormat="1" x14ac:dyDescent="0.35">
      <c r="A34" s="130"/>
      <c r="B34" s="126" t="str">
        <f>IF(Control!$D$5=1,"Energy Expenses","Despesas com Energia Elétrica")</f>
        <v>Energy Expenses</v>
      </c>
      <c r="C34" s="146">
        <v>0</v>
      </c>
      <c r="D34" s="95" t="s">
        <v>3</v>
      </c>
      <c r="E34" s="279" t="s">
        <v>3</v>
      </c>
      <c r="F34" s="279" t="s">
        <v>3</v>
      </c>
      <c r="G34" s="279" t="s">
        <v>3</v>
      </c>
      <c r="H34" s="95" t="s">
        <v>3</v>
      </c>
      <c r="I34" s="279" t="s">
        <v>3</v>
      </c>
      <c r="J34" s="279" t="s">
        <v>3</v>
      </c>
      <c r="K34" s="279" t="s">
        <v>3</v>
      </c>
      <c r="L34" s="95" t="s">
        <v>3</v>
      </c>
      <c r="M34" s="279" t="s">
        <v>3</v>
      </c>
      <c r="N34" s="279" t="s">
        <v>3</v>
      </c>
      <c r="O34" s="279" t="s">
        <v>3</v>
      </c>
      <c r="P34" s="95" t="s">
        <v>3</v>
      </c>
      <c r="Q34" s="279" t="s">
        <v>3</v>
      </c>
      <c r="R34" s="279" t="s">
        <v>3</v>
      </c>
      <c r="S34" s="279" t="s">
        <v>3</v>
      </c>
      <c r="T34" s="95" t="s">
        <v>3</v>
      </c>
      <c r="U34" s="279" t="s">
        <v>3</v>
      </c>
      <c r="V34" s="279" t="s">
        <v>3</v>
      </c>
      <c r="W34" s="279" t="s">
        <v>3</v>
      </c>
      <c r="X34" s="95" t="s">
        <v>3</v>
      </c>
      <c r="Y34" s="279" t="s">
        <v>3</v>
      </c>
      <c r="Z34" s="279" t="s">
        <v>3</v>
      </c>
      <c r="AA34" s="279" t="s">
        <v>3</v>
      </c>
      <c r="AB34" s="95" t="s">
        <v>3</v>
      </c>
      <c r="AC34" s="279" t="s">
        <v>3</v>
      </c>
      <c r="AD34" s="279" t="s">
        <v>3</v>
      </c>
      <c r="AE34" s="279" t="s">
        <v>3</v>
      </c>
      <c r="AF34" s="95" t="s">
        <v>3</v>
      </c>
      <c r="AG34" s="279" t="s">
        <v>3</v>
      </c>
      <c r="AH34" s="279" t="s">
        <v>3</v>
      </c>
      <c r="AI34" s="279" t="s">
        <v>3</v>
      </c>
      <c r="AJ34" s="95" t="s">
        <v>3</v>
      </c>
      <c r="AK34" s="95" t="s">
        <v>3</v>
      </c>
      <c r="AL34" s="95" t="s">
        <v>3</v>
      </c>
      <c r="AM34" s="95" t="s">
        <v>3</v>
      </c>
      <c r="AN34" s="95">
        <v>-15.2</v>
      </c>
      <c r="AO34" s="95">
        <v>-13.3</v>
      </c>
      <c r="AP34" s="95">
        <v>-9.3000000000000007</v>
      </c>
      <c r="AQ34" s="95">
        <v>-6</v>
      </c>
      <c r="AR34" s="95">
        <v>-12.6</v>
      </c>
      <c r="AS34" s="95">
        <v>-11.9</v>
      </c>
      <c r="AT34" s="95">
        <v>-11.2</v>
      </c>
      <c r="AU34" s="166">
        <v>-11.433999999999997</v>
      </c>
      <c r="AV34" s="166">
        <v>-11.5</v>
      </c>
      <c r="AW34" s="166">
        <v>-12.119</v>
      </c>
      <c r="AX34" s="166">
        <v>-16.385000000000002</v>
      </c>
      <c r="AY34" s="166">
        <v>-16.143999999999998</v>
      </c>
      <c r="AZ34" s="166">
        <v>-18.324999999999999</v>
      </c>
      <c r="BA34" s="166">
        <v>-14.885999999999999</v>
      </c>
      <c r="BB34" s="166">
        <v>-14.089</v>
      </c>
      <c r="BC34" s="166">
        <v>-24.393999999999998</v>
      </c>
      <c r="BD34" s="166">
        <v>-18.585999999999999</v>
      </c>
      <c r="BE34" s="166">
        <v>-16.417999999999999</v>
      </c>
      <c r="BF34" s="166">
        <v>-17.306999999999999</v>
      </c>
      <c r="BG34" s="166">
        <v>-25.341999999999999</v>
      </c>
      <c r="BH34" s="166">
        <v>-24.719000000000001</v>
      </c>
      <c r="BI34" s="95"/>
      <c r="BJ34" s="92" t="s">
        <v>3</v>
      </c>
      <c r="BK34" s="92" t="s">
        <v>3</v>
      </c>
      <c r="BL34" s="92" t="s">
        <v>3</v>
      </c>
      <c r="BM34" s="92" t="s">
        <v>3</v>
      </c>
      <c r="BN34" s="92" t="s">
        <v>3</v>
      </c>
      <c r="BO34" s="92" t="s">
        <v>3</v>
      </c>
      <c r="BP34" s="64">
        <v>-36.296999999999997</v>
      </c>
      <c r="BQ34" s="64">
        <v>-30.702999999999999</v>
      </c>
      <c r="BR34" s="64">
        <v>0</v>
      </c>
      <c r="BS34" s="153">
        <v>0</v>
      </c>
      <c r="BT34" s="153">
        <v>0</v>
      </c>
      <c r="BU34" s="95">
        <f>-47.134</f>
        <v>-47.134</v>
      </c>
      <c r="BV34" s="166">
        <v>-56.148000000000003</v>
      </c>
      <c r="BW34" s="166">
        <v>-71.688999999999993</v>
      </c>
      <c r="BX34" s="166">
        <v>-77.652999999999992</v>
      </c>
    </row>
    <row r="35" spans="1:76" s="127" customFormat="1" x14ac:dyDescent="0.35">
      <c r="A35" s="7"/>
      <c r="B35" s="126" t="str">
        <f>IF(Control!$D$5=1,"Third Party Services Expenses","Despesas com Serviços de Terceiros")</f>
        <v>Third Party Services Expenses</v>
      </c>
      <c r="C35" s="146">
        <v>0</v>
      </c>
      <c r="D35" s="95" t="s">
        <v>3</v>
      </c>
      <c r="E35" s="279" t="s">
        <v>3</v>
      </c>
      <c r="F35" s="279" t="s">
        <v>3</v>
      </c>
      <c r="G35" s="279" t="s">
        <v>3</v>
      </c>
      <c r="H35" s="95" t="s">
        <v>3</v>
      </c>
      <c r="I35" s="279" t="s">
        <v>3</v>
      </c>
      <c r="J35" s="279" t="s">
        <v>3</v>
      </c>
      <c r="K35" s="279" t="s">
        <v>3</v>
      </c>
      <c r="L35" s="95" t="s">
        <v>3</v>
      </c>
      <c r="M35" s="279" t="s">
        <v>3</v>
      </c>
      <c r="N35" s="279" t="s">
        <v>3</v>
      </c>
      <c r="O35" s="279" t="s">
        <v>3</v>
      </c>
      <c r="P35" s="95" t="s">
        <v>3</v>
      </c>
      <c r="Q35" s="279" t="s">
        <v>3</v>
      </c>
      <c r="R35" s="279" t="s">
        <v>3</v>
      </c>
      <c r="S35" s="279" t="s">
        <v>3</v>
      </c>
      <c r="T35" s="95" t="s">
        <v>3</v>
      </c>
      <c r="U35" s="279" t="s">
        <v>3</v>
      </c>
      <c r="V35" s="279" t="s">
        <v>3</v>
      </c>
      <c r="W35" s="279" t="s">
        <v>3</v>
      </c>
      <c r="X35" s="95" t="s">
        <v>3</v>
      </c>
      <c r="Y35" s="279" t="s">
        <v>3</v>
      </c>
      <c r="Z35" s="279" t="s">
        <v>3</v>
      </c>
      <c r="AA35" s="279" t="s">
        <v>3</v>
      </c>
      <c r="AB35" s="95" t="s">
        <v>3</v>
      </c>
      <c r="AC35" s="279" t="s">
        <v>3</v>
      </c>
      <c r="AD35" s="279" t="s">
        <v>3</v>
      </c>
      <c r="AE35" s="279" t="s">
        <v>3</v>
      </c>
      <c r="AF35" s="95" t="s">
        <v>3</v>
      </c>
      <c r="AG35" s="279" t="s">
        <v>3</v>
      </c>
      <c r="AH35" s="279" t="s">
        <v>3</v>
      </c>
      <c r="AI35" s="279" t="s">
        <v>3</v>
      </c>
      <c r="AJ35" s="95" t="s">
        <v>3</v>
      </c>
      <c r="AK35" s="95" t="s">
        <v>3</v>
      </c>
      <c r="AL35" s="95" t="s">
        <v>3</v>
      </c>
      <c r="AM35" s="95">
        <v>15</v>
      </c>
      <c r="AN35" s="95">
        <v>-34.799999999999997</v>
      </c>
      <c r="AO35" s="95">
        <v>-10.199999999999999</v>
      </c>
      <c r="AP35" s="95">
        <v>-31</v>
      </c>
      <c r="AQ35" s="95">
        <v>-35.200000000000003</v>
      </c>
      <c r="AR35" s="95">
        <v>-34.4</v>
      </c>
      <c r="AS35" s="95">
        <v>-32.6</v>
      </c>
      <c r="AT35" s="95">
        <v>-32</v>
      </c>
      <c r="AU35" s="166">
        <v>-39</v>
      </c>
      <c r="AV35" s="166">
        <v>-36.799999999999997</v>
      </c>
      <c r="AW35" s="166">
        <v>-35.363</v>
      </c>
      <c r="AX35" s="166">
        <v>-26.552999999999997</v>
      </c>
      <c r="AY35" s="166">
        <v>-32.4</v>
      </c>
      <c r="AZ35" s="166">
        <v>-30.196000000000002</v>
      </c>
      <c r="BA35" s="166">
        <v>-31.294</v>
      </c>
      <c r="BB35" s="166">
        <v>-29.789000000000001</v>
      </c>
      <c r="BC35" s="166">
        <v>-31.295999999999999</v>
      </c>
      <c r="BD35" s="166">
        <v>-36</v>
      </c>
      <c r="BE35" s="166">
        <v>-32.6</v>
      </c>
      <c r="BF35" s="166">
        <v>-37.087000000000003</v>
      </c>
      <c r="BG35" s="166">
        <v>-52.728999999999999</v>
      </c>
      <c r="BH35" s="166">
        <v>-29.882999999999999</v>
      </c>
      <c r="BI35" s="95"/>
      <c r="BJ35" s="92" t="s">
        <v>3</v>
      </c>
      <c r="BK35" s="92" t="s">
        <v>3</v>
      </c>
      <c r="BL35" s="92" t="s">
        <v>3</v>
      </c>
      <c r="BM35" s="92" t="s">
        <v>3</v>
      </c>
      <c r="BN35" s="92" t="s">
        <v>3</v>
      </c>
      <c r="BO35" s="92" t="s">
        <v>3</v>
      </c>
      <c r="BP35" s="64">
        <v>-61.451000000000001</v>
      </c>
      <c r="BQ35" s="64">
        <v>-50.024999999999999</v>
      </c>
      <c r="BR35" s="64">
        <v>-62.226999999999997</v>
      </c>
      <c r="BS35" s="64">
        <v>-61.7</v>
      </c>
      <c r="BT35" s="64">
        <v>-78.099999999999994</v>
      </c>
      <c r="BU35" s="95">
        <f>-143.277</f>
        <v>-143.27699999999999</v>
      </c>
      <c r="BV35" s="166">
        <v>-131.11599999999999</v>
      </c>
      <c r="BW35" s="166">
        <v>-122.566</v>
      </c>
      <c r="BX35" s="166">
        <v>-158.416</v>
      </c>
    </row>
    <row r="36" spans="1:76" s="127" customFormat="1" x14ac:dyDescent="0.35">
      <c r="A36" s="7"/>
      <c r="B36" s="126" t="str">
        <f>IF(Control!$D$5=1,"Other Expenses","Outras Despesas")</f>
        <v>Other Expenses</v>
      </c>
      <c r="C36" s="146">
        <v>0</v>
      </c>
      <c r="D36" s="95" t="s">
        <v>3</v>
      </c>
      <c r="E36" s="279" t="s">
        <v>3</v>
      </c>
      <c r="F36" s="279" t="s">
        <v>3</v>
      </c>
      <c r="G36" s="279" t="s">
        <v>3</v>
      </c>
      <c r="H36" s="95" t="s">
        <v>3</v>
      </c>
      <c r="I36" s="279" t="s">
        <v>3</v>
      </c>
      <c r="J36" s="279" t="s">
        <v>3</v>
      </c>
      <c r="K36" s="279" t="s">
        <v>3</v>
      </c>
      <c r="L36" s="95" t="s">
        <v>3</v>
      </c>
      <c r="M36" s="279" t="s">
        <v>3</v>
      </c>
      <c r="N36" s="279" t="s">
        <v>3</v>
      </c>
      <c r="O36" s="279" t="s">
        <v>3</v>
      </c>
      <c r="P36" s="95" t="s">
        <v>3</v>
      </c>
      <c r="Q36" s="279" t="s">
        <v>3</v>
      </c>
      <c r="R36" s="279" t="s">
        <v>3</v>
      </c>
      <c r="S36" s="279" t="s">
        <v>3</v>
      </c>
      <c r="T36" s="95" t="s">
        <v>3</v>
      </c>
      <c r="U36" s="279" t="s">
        <v>3</v>
      </c>
      <c r="V36" s="279" t="s">
        <v>3</v>
      </c>
      <c r="W36" s="279" t="s">
        <v>3</v>
      </c>
      <c r="X36" s="95" t="s">
        <v>3</v>
      </c>
      <c r="Y36" s="279" t="s">
        <v>3</v>
      </c>
      <c r="Z36" s="279" t="s">
        <v>3</v>
      </c>
      <c r="AA36" s="279" t="s">
        <v>3</v>
      </c>
      <c r="AB36" s="95" t="s">
        <v>3</v>
      </c>
      <c r="AC36" s="279" t="s">
        <v>3</v>
      </c>
      <c r="AD36" s="279" t="s">
        <v>3</v>
      </c>
      <c r="AE36" s="279" t="s">
        <v>3</v>
      </c>
      <c r="AF36" s="95" t="s">
        <v>3</v>
      </c>
      <c r="AG36" s="279" t="s">
        <v>3</v>
      </c>
      <c r="AH36" s="279" t="s">
        <v>3</v>
      </c>
      <c r="AI36" s="279" t="s">
        <v>3</v>
      </c>
      <c r="AJ36" s="95" t="s">
        <v>3</v>
      </c>
      <c r="AK36" s="95" t="s">
        <v>3</v>
      </c>
      <c r="AL36" s="95" t="s">
        <v>3</v>
      </c>
      <c r="AM36" s="95">
        <v>-184.9</v>
      </c>
      <c r="AN36" s="279">
        <f t="shared" ref="AN36:AU36" si="22">AN25-SUM(AN26:AN35)</f>
        <v>-58.400000000000091</v>
      </c>
      <c r="AO36" s="279">
        <f t="shared" si="22"/>
        <v>-150.35000000000002</v>
      </c>
      <c r="AP36" s="279">
        <f t="shared" si="22"/>
        <v>-33.900000000000091</v>
      </c>
      <c r="AQ36" s="279">
        <f t="shared" si="22"/>
        <v>-63.499999999999886</v>
      </c>
      <c r="AR36" s="279">
        <f t="shared" si="22"/>
        <v>-51.399999999999977</v>
      </c>
      <c r="AS36" s="279">
        <f t="shared" si="22"/>
        <v>-43</v>
      </c>
      <c r="AT36" s="279">
        <f t="shared" si="22"/>
        <v>-82.599999999999909</v>
      </c>
      <c r="AU36" s="279">
        <f t="shared" si="22"/>
        <v>-71.249999999999773</v>
      </c>
      <c r="AV36" s="279">
        <v>-49.600000000000136</v>
      </c>
      <c r="AW36" s="279">
        <v>-64.468999999999824</v>
      </c>
      <c r="AX36" s="279">
        <v>-109.04400000000032</v>
      </c>
      <c r="AY36" s="279">
        <v>-85.235999999999876</v>
      </c>
      <c r="AZ36" s="279">
        <v>-18.7510000000002</v>
      </c>
      <c r="BA36" s="279">
        <v>-81.77599999999984</v>
      </c>
      <c r="BB36" s="279">
        <v>-101.79300000000035</v>
      </c>
      <c r="BC36" s="279">
        <v>-88.6</v>
      </c>
      <c r="BD36" s="279">
        <f>-14.4-18.1-11.2</f>
        <v>-43.7</v>
      </c>
      <c r="BE36" s="166">
        <v>-57.7</v>
      </c>
      <c r="BF36" s="166">
        <v>-110.91500000000001</v>
      </c>
      <c r="BG36" s="166">
        <v>-83.648000000000138</v>
      </c>
      <c r="BH36" s="166">
        <v>-55.1</v>
      </c>
      <c r="BI36" s="92"/>
      <c r="BJ36" s="92" t="s">
        <v>3</v>
      </c>
      <c r="BK36" s="92" t="s">
        <v>3</v>
      </c>
      <c r="BL36" s="92" t="s">
        <v>3</v>
      </c>
      <c r="BM36" s="92" t="s">
        <v>3</v>
      </c>
      <c r="BN36" s="92" t="s">
        <v>3</v>
      </c>
      <c r="BO36" s="92" t="s">
        <v>3</v>
      </c>
      <c r="BP36" s="64">
        <v>-189.21099999999998</v>
      </c>
      <c r="BQ36" s="64">
        <v>-217.96800000000002</v>
      </c>
      <c r="BR36" s="64">
        <v>-325.92</v>
      </c>
      <c r="BS36" s="64">
        <v>-383.8</v>
      </c>
      <c r="BT36" s="64">
        <v>-411.3</v>
      </c>
      <c r="BU36" s="279">
        <v>-260.34699999999975</v>
      </c>
      <c r="BV36" s="166">
        <f>18.1-308.349</f>
        <v>-290.24899999999997</v>
      </c>
      <c r="BW36" s="166">
        <v>-315.39999999999998</v>
      </c>
      <c r="BX36" s="166">
        <v>-295.96300000000014</v>
      </c>
    </row>
    <row r="37" spans="1:76" s="127" customFormat="1" x14ac:dyDescent="0.35">
      <c r="A37" s="130"/>
      <c r="B37" s="154" t="str">
        <f>IF(Control!$D$5=1,"check","controle")</f>
        <v>check</v>
      </c>
      <c r="C37" s="156"/>
      <c r="D37" s="156"/>
      <c r="E37" s="155"/>
      <c r="F37" s="155"/>
      <c r="G37" s="155"/>
      <c r="H37" s="156"/>
      <c r="I37" s="155"/>
      <c r="J37" s="155"/>
      <c r="K37" s="155"/>
      <c r="L37" s="156"/>
      <c r="M37" s="155"/>
      <c r="N37" s="155"/>
      <c r="O37" s="155"/>
      <c r="P37" s="156"/>
      <c r="Q37" s="155"/>
      <c r="R37" s="155"/>
      <c r="S37" s="155"/>
      <c r="T37" s="156"/>
      <c r="U37" s="155"/>
      <c r="V37" s="155"/>
      <c r="W37" s="155"/>
      <c r="X37" s="157"/>
      <c r="Y37" s="155"/>
      <c r="Z37" s="155"/>
      <c r="AA37" s="155"/>
      <c r="AB37" s="157"/>
      <c r="AC37" s="155"/>
      <c r="AD37" s="155"/>
      <c r="AE37" s="155"/>
      <c r="AF37" s="157"/>
      <c r="AG37" s="155"/>
      <c r="AH37" s="155"/>
      <c r="AI37" s="155"/>
      <c r="AJ37" s="157"/>
      <c r="AK37" s="155"/>
      <c r="AL37" s="155"/>
      <c r="AM37" s="155"/>
      <c r="AN37" s="157"/>
      <c r="AO37" s="157"/>
      <c r="AP37" s="155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5"/>
      <c r="BK37" s="155"/>
      <c r="BL37" s="155"/>
      <c r="BM37" s="155"/>
      <c r="BN37" s="155"/>
      <c r="BO37" s="155"/>
      <c r="BP37" s="155" t="str">
        <f>IF(Control!$D$5=1,IF(ROUNDDOWN(BP25,0)=ROUNDDOWN(BP20,0),"","ERROR!"),IF(ROUNDDOWN(BP25,0)=ROUNDDOWN(BP20,0),"","ERRO!"))</f>
        <v/>
      </c>
      <c r="BQ37" s="155" t="str">
        <f>IF(Control!$D$5=1,IF(ROUNDDOWN(BQ25,0)=ROUNDDOWN(BQ20,0),"","ERROR!"),IF(ROUNDDOWN(BQ25,0)=ROUNDDOWN(BQ20,0),"","ERRO!"))</f>
        <v/>
      </c>
      <c r="BR37" s="155" t="str">
        <f>IF(Control!$D$5=1,IF(ROUNDDOWN(BR25,0)=ROUNDDOWN(BR20,0),"","ERROR!"),IF(ROUNDDOWN(BR25,0)=ROUNDDOWN(BR20,0),"","ERRO!"))</f>
        <v/>
      </c>
      <c r="BS37" s="155" t="str">
        <f>IF(Control!$D$5=1,IF(ROUNDDOWN(BS25,0)=ROUNDDOWN(BS20,0),"","ERROR!"),IF(ROUNDDOWN(BS25,0)=ROUNDDOWN(BS20,0),"","ERRO!"))</f>
        <v/>
      </c>
      <c r="BT37" s="157"/>
      <c r="BU37" s="157"/>
      <c r="BV37" s="157"/>
      <c r="BW37" s="157"/>
      <c r="BX37" s="157"/>
    </row>
    <row r="38" spans="1:76" s="80" customFormat="1" hidden="1" outlineLevel="1" x14ac:dyDescent="0.35">
      <c r="A38" s="7"/>
      <c r="B38" s="144" t="str">
        <f>IF(Control!$D$5=1,"Expenses by Nature","Impostos a Recuperar")</f>
        <v>Expenses by Nature</v>
      </c>
      <c r="C38" s="146">
        <v>0</v>
      </c>
      <c r="D38" s="145">
        <f t="shared" ref="D38:AN38" si="23">SUM(D39:D43)</f>
        <v>0</v>
      </c>
      <c r="E38" s="145">
        <f t="shared" si="23"/>
        <v>0</v>
      </c>
      <c r="F38" s="145">
        <f t="shared" si="23"/>
        <v>0</v>
      </c>
      <c r="G38" s="145">
        <f t="shared" si="23"/>
        <v>0</v>
      </c>
      <c r="H38" s="145">
        <f t="shared" si="23"/>
        <v>0</v>
      </c>
      <c r="I38" s="145">
        <f t="shared" si="23"/>
        <v>0</v>
      </c>
      <c r="J38" s="145">
        <f t="shared" si="23"/>
        <v>0</v>
      </c>
      <c r="K38" s="145">
        <f t="shared" si="23"/>
        <v>0</v>
      </c>
      <c r="L38" s="145">
        <f t="shared" si="23"/>
        <v>0</v>
      </c>
      <c r="M38" s="145">
        <f t="shared" si="23"/>
        <v>0</v>
      </c>
      <c r="N38" s="145">
        <f t="shared" si="23"/>
        <v>0</v>
      </c>
      <c r="O38" s="145">
        <f t="shared" si="23"/>
        <v>0</v>
      </c>
      <c r="P38" s="145">
        <f t="shared" si="23"/>
        <v>0</v>
      </c>
      <c r="Q38" s="145">
        <f t="shared" si="23"/>
        <v>0</v>
      </c>
      <c r="R38" s="145">
        <f t="shared" si="23"/>
        <v>0</v>
      </c>
      <c r="S38" s="145">
        <f t="shared" si="23"/>
        <v>0</v>
      </c>
      <c r="T38" s="145">
        <f t="shared" si="23"/>
        <v>0</v>
      </c>
      <c r="U38" s="145">
        <f t="shared" si="23"/>
        <v>0</v>
      </c>
      <c r="V38" s="145">
        <f t="shared" si="23"/>
        <v>0</v>
      </c>
      <c r="W38" s="145">
        <f t="shared" si="23"/>
        <v>0</v>
      </c>
      <c r="X38" s="145">
        <f t="shared" si="23"/>
        <v>0</v>
      </c>
      <c r="Y38" s="145">
        <f t="shared" si="23"/>
        <v>0</v>
      </c>
      <c r="Z38" s="145">
        <f t="shared" si="23"/>
        <v>0</v>
      </c>
      <c r="AA38" s="145">
        <f t="shared" si="23"/>
        <v>0</v>
      </c>
      <c r="AB38" s="145">
        <f t="shared" si="23"/>
        <v>0</v>
      </c>
      <c r="AC38" s="145">
        <f t="shared" si="23"/>
        <v>0</v>
      </c>
      <c r="AD38" s="145">
        <f t="shared" si="23"/>
        <v>0</v>
      </c>
      <c r="AE38" s="145">
        <f t="shared" si="23"/>
        <v>0</v>
      </c>
      <c r="AF38" s="145">
        <f t="shared" si="23"/>
        <v>0</v>
      </c>
      <c r="AG38" s="145">
        <f t="shared" si="23"/>
        <v>0</v>
      </c>
      <c r="AH38" s="145">
        <f t="shared" si="23"/>
        <v>0</v>
      </c>
      <c r="AI38" s="145">
        <f t="shared" si="23"/>
        <v>0</v>
      </c>
      <c r="AJ38" s="145">
        <f t="shared" si="23"/>
        <v>0</v>
      </c>
      <c r="AK38" s="145">
        <f t="shared" si="23"/>
        <v>0</v>
      </c>
      <c r="AL38" s="145">
        <f t="shared" si="23"/>
        <v>0</v>
      </c>
      <c r="AM38" s="145">
        <f t="shared" si="23"/>
        <v>0</v>
      </c>
      <c r="AN38" s="145">
        <f t="shared" si="23"/>
        <v>0</v>
      </c>
      <c r="AO38" s="145">
        <f t="shared" ref="AO38:AZ38" si="24">SUM(AO39:AO43)</f>
        <v>0</v>
      </c>
      <c r="AP38" s="145">
        <f t="shared" si="24"/>
        <v>0</v>
      </c>
      <c r="AQ38" s="145">
        <f t="shared" si="24"/>
        <v>0</v>
      </c>
      <c r="AR38" s="145">
        <f t="shared" si="24"/>
        <v>0</v>
      </c>
      <c r="AS38" s="145">
        <f t="shared" si="24"/>
        <v>0</v>
      </c>
      <c r="AT38" s="145">
        <f t="shared" si="24"/>
        <v>0</v>
      </c>
      <c r="AU38" s="145">
        <f t="shared" si="24"/>
        <v>0</v>
      </c>
      <c r="AV38" s="145">
        <f t="shared" si="24"/>
        <v>0</v>
      </c>
      <c r="AW38" s="145">
        <f t="shared" si="24"/>
        <v>0</v>
      </c>
      <c r="AX38" s="145">
        <f t="shared" si="24"/>
        <v>0</v>
      </c>
      <c r="AY38" s="145">
        <f t="shared" si="24"/>
        <v>0</v>
      </c>
      <c r="AZ38" s="145">
        <f t="shared" si="24"/>
        <v>0</v>
      </c>
      <c r="BA38" s="145">
        <f t="shared" ref="BA38:BH38" si="25">SUM(BA39:BA43)</f>
        <v>0</v>
      </c>
      <c r="BB38" s="145">
        <f t="shared" si="25"/>
        <v>0</v>
      </c>
      <c r="BC38" s="145">
        <f t="shared" si="25"/>
        <v>0</v>
      </c>
      <c r="BD38" s="145">
        <f t="shared" si="25"/>
        <v>0</v>
      </c>
      <c r="BE38" s="145">
        <f t="shared" si="25"/>
        <v>0</v>
      </c>
      <c r="BF38" s="145">
        <f t="shared" si="25"/>
        <v>0</v>
      </c>
      <c r="BG38" s="145">
        <f t="shared" si="25"/>
        <v>0</v>
      </c>
      <c r="BH38" s="145">
        <f t="shared" si="25"/>
        <v>0</v>
      </c>
      <c r="BI38" s="145"/>
      <c r="BJ38" s="145">
        <f t="shared" ref="BJ38:BS38" si="26">SUM(BJ39:BJ43)</f>
        <v>0</v>
      </c>
      <c r="BK38" s="145">
        <f t="shared" si="26"/>
        <v>0</v>
      </c>
      <c r="BL38" s="145">
        <f t="shared" si="26"/>
        <v>0</v>
      </c>
      <c r="BM38" s="145">
        <f t="shared" si="26"/>
        <v>0</v>
      </c>
      <c r="BN38" s="145">
        <f t="shared" si="26"/>
        <v>0</v>
      </c>
      <c r="BO38" s="145">
        <f t="shared" si="26"/>
        <v>0</v>
      </c>
      <c r="BP38" s="145">
        <f t="shared" si="26"/>
        <v>95.801000000000002</v>
      </c>
      <c r="BQ38" s="145">
        <f t="shared" si="26"/>
        <v>125.59100000000001</v>
      </c>
      <c r="BR38" s="145">
        <f t="shared" si="26"/>
        <v>121.223</v>
      </c>
      <c r="BS38" s="145">
        <f t="shared" si="26"/>
        <v>77.614999999999995</v>
      </c>
      <c r="BT38" s="145">
        <f>SUM(BT39:BT43)</f>
        <v>0</v>
      </c>
      <c r="BU38" s="145"/>
      <c r="BV38" s="145"/>
      <c r="BW38" s="145"/>
      <c r="BX38" s="145"/>
    </row>
    <row r="39" spans="1:76" s="80" customFormat="1" hidden="1" outlineLevel="1" x14ac:dyDescent="0.35">
      <c r="A39" s="7"/>
      <c r="B39" s="56" t="str">
        <f>IF(Control!$D$5=1,"ICMS","ICMS")</f>
        <v>ICMS</v>
      </c>
      <c r="C39" s="146">
        <v>0</v>
      </c>
      <c r="D39" s="95" t="s">
        <v>3</v>
      </c>
      <c r="E39" s="279" t="s">
        <v>3</v>
      </c>
      <c r="F39" s="279" t="s">
        <v>3</v>
      </c>
      <c r="G39" s="279" t="s">
        <v>3</v>
      </c>
      <c r="H39" s="95" t="s">
        <v>3</v>
      </c>
      <c r="I39" s="279" t="s">
        <v>3</v>
      </c>
      <c r="J39" s="279" t="s">
        <v>3</v>
      </c>
      <c r="K39" s="279" t="s">
        <v>3</v>
      </c>
      <c r="L39" s="95" t="s">
        <v>3</v>
      </c>
      <c r="M39" s="279" t="s">
        <v>3</v>
      </c>
      <c r="N39" s="279" t="s">
        <v>3</v>
      </c>
      <c r="O39" s="279" t="s">
        <v>3</v>
      </c>
      <c r="P39" s="95" t="s">
        <v>3</v>
      </c>
      <c r="Q39" s="279" t="s">
        <v>3</v>
      </c>
      <c r="R39" s="279" t="s">
        <v>3</v>
      </c>
      <c r="S39" s="279" t="s">
        <v>3</v>
      </c>
      <c r="T39" s="95" t="s">
        <v>3</v>
      </c>
      <c r="U39" s="279" t="s">
        <v>3</v>
      </c>
      <c r="V39" s="279" t="s">
        <v>3</v>
      </c>
      <c r="W39" s="279" t="s">
        <v>3</v>
      </c>
      <c r="X39" s="95" t="s">
        <v>3</v>
      </c>
      <c r="Y39" s="279" t="s">
        <v>3</v>
      </c>
      <c r="Z39" s="279" t="s">
        <v>3</v>
      </c>
      <c r="AA39" s="279" t="s">
        <v>3</v>
      </c>
      <c r="AB39" s="95" t="s">
        <v>3</v>
      </c>
      <c r="AC39" s="279" t="s">
        <v>3</v>
      </c>
      <c r="AD39" s="279" t="s">
        <v>3</v>
      </c>
      <c r="AE39" s="279" t="s">
        <v>3</v>
      </c>
      <c r="AF39" s="95" t="s">
        <v>3</v>
      </c>
      <c r="AG39" s="279" t="s">
        <v>3</v>
      </c>
      <c r="AH39" s="279" t="s">
        <v>3</v>
      </c>
      <c r="AI39" s="279" t="s">
        <v>3</v>
      </c>
      <c r="AJ39" s="95" t="s">
        <v>3</v>
      </c>
      <c r="AK39" s="279" t="s">
        <v>3</v>
      </c>
      <c r="AL39" s="279" t="s">
        <v>3</v>
      </c>
      <c r="AM39" s="279" t="s">
        <v>3</v>
      </c>
      <c r="AN39" s="95" t="s">
        <v>3</v>
      </c>
      <c r="AO39" s="279" t="s">
        <v>3</v>
      </c>
      <c r="AP39" s="279" t="s">
        <v>3</v>
      </c>
      <c r="AQ39" s="279" t="s">
        <v>3</v>
      </c>
      <c r="AR39" s="279" t="s">
        <v>3</v>
      </c>
      <c r="AS39" s="279" t="s">
        <v>3</v>
      </c>
      <c r="AT39" s="279" t="s">
        <v>3</v>
      </c>
      <c r="AU39" s="279" t="s">
        <v>3</v>
      </c>
      <c r="AV39" s="279" t="s">
        <v>3</v>
      </c>
      <c r="AW39" s="279" t="s">
        <v>3</v>
      </c>
      <c r="AX39" s="279" t="s">
        <v>3</v>
      </c>
      <c r="AY39" s="279" t="s">
        <v>3</v>
      </c>
      <c r="AZ39" s="279" t="s">
        <v>3</v>
      </c>
      <c r="BA39" s="279" t="s">
        <v>3</v>
      </c>
      <c r="BB39" s="279" t="s">
        <v>3</v>
      </c>
      <c r="BC39" s="279" t="s">
        <v>3</v>
      </c>
      <c r="BD39" s="279" t="s">
        <v>3</v>
      </c>
      <c r="BE39" s="279" t="s">
        <v>3</v>
      </c>
      <c r="BF39" s="279" t="s">
        <v>3</v>
      </c>
      <c r="BG39" s="279" t="s">
        <v>3</v>
      </c>
      <c r="BH39" s="279" t="s">
        <v>3</v>
      </c>
      <c r="BI39" s="92"/>
      <c r="BJ39" s="92" t="s">
        <v>3</v>
      </c>
      <c r="BK39" s="92" t="s">
        <v>3</v>
      </c>
      <c r="BL39" s="92" t="s">
        <v>3</v>
      </c>
      <c r="BM39" s="92" t="s">
        <v>3</v>
      </c>
      <c r="BN39" s="92" t="s">
        <v>3</v>
      </c>
      <c r="BO39" s="92" t="s">
        <v>3</v>
      </c>
      <c r="BP39" s="64">
        <v>11.791</v>
      </c>
      <c r="BQ39" s="64">
        <v>13.744999999999999</v>
      </c>
      <c r="BR39" s="64">
        <v>14.824</v>
      </c>
      <c r="BS39" s="64">
        <v>10.087999999999999</v>
      </c>
      <c r="BT39" s="92" t="s">
        <v>3</v>
      </c>
      <c r="BU39" s="92"/>
      <c r="BV39" s="92"/>
      <c r="BW39" s="92"/>
      <c r="BX39" s="92"/>
    </row>
    <row r="40" spans="1:76" s="80" customFormat="1" hidden="1" outlineLevel="1" x14ac:dyDescent="0.35">
      <c r="A40" s="7"/>
      <c r="B40" s="56" t="str">
        <f>IF(Control!$D$5=1,"PIS/COFINS","PIS e COFINS")</f>
        <v>PIS/COFINS</v>
      </c>
      <c r="C40" s="146">
        <v>0</v>
      </c>
      <c r="D40" s="95" t="s">
        <v>3</v>
      </c>
      <c r="E40" s="279" t="s">
        <v>3</v>
      </c>
      <c r="F40" s="279" t="s">
        <v>3</v>
      </c>
      <c r="G40" s="279" t="s">
        <v>3</v>
      </c>
      <c r="H40" s="95" t="s">
        <v>3</v>
      </c>
      <c r="I40" s="279" t="s">
        <v>3</v>
      </c>
      <c r="J40" s="279" t="s">
        <v>3</v>
      </c>
      <c r="K40" s="279" t="s">
        <v>3</v>
      </c>
      <c r="L40" s="95" t="s">
        <v>3</v>
      </c>
      <c r="M40" s="279" t="s">
        <v>3</v>
      </c>
      <c r="N40" s="279" t="s">
        <v>3</v>
      </c>
      <c r="O40" s="279" t="s">
        <v>3</v>
      </c>
      <c r="P40" s="95" t="s">
        <v>3</v>
      </c>
      <c r="Q40" s="279" t="s">
        <v>3</v>
      </c>
      <c r="R40" s="279" t="s">
        <v>3</v>
      </c>
      <c r="S40" s="279" t="s">
        <v>3</v>
      </c>
      <c r="T40" s="95" t="s">
        <v>3</v>
      </c>
      <c r="U40" s="279" t="s">
        <v>3</v>
      </c>
      <c r="V40" s="279" t="s">
        <v>3</v>
      </c>
      <c r="W40" s="279" t="s">
        <v>3</v>
      </c>
      <c r="X40" s="95" t="s">
        <v>3</v>
      </c>
      <c r="Y40" s="279" t="s">
        <v>3</v>
      </c>
      <c r="Z40" s="279" t="s">
        <v>3</v>
      </c>
      <c r="AA40" s="279" t="s">
        <v>3</v>
      </c>
      <c r="AB40" s="95" t="s">
        <v>3</v>
      </c>
      <c r="AC40" s="279" t="s">
        <v>3</v>
      </c>
      <c r="AD40" s="279" t="s">
        <v>3</v>
      </c>
      <c r="AE40" s="279" t="s">
        <v>3</v>
      </c>
      <c r="AF40" s="95" t="s">
        <v>3</v>
      </c>
      <c r="AG40" s="279" t="s">
        <v>3</v>
      </c>
      <c r="AH40" s="279" t="s">
        <v>3</v>
      </c>
      <c r="AI40" s="279" t="s">
        <v>3</v>
      </c>
      <c r="AJ40" s="95" t="s">
        <v>3</v>
      </c>
      <c r="AK40" s="279" t="s">
        <v>3</v>
      </c>
      <c r="AL40" s="279" t="s">
        <v>3</v>
      </c>
      <c r="AM40" s="279" t="s">
        <v>3</v>
      </c>
      <c r="AN40" s="95" t="s">
        <v>3</v>
      </c>
      <c r="AO40" s="279" t="s">
        <v>3</v>
      </c>
      <c r="AP40" s="279" t="s">
        <v>3</v>
      </c>
      <c r="AQ40" s="279" t="s">
        <v>3</v>
      </c>
      <c r="AR40" s="279" t="s">
        <v>3</v>
      </c>
      <c r="AS40" s="279" t="s">
        <v>3</v>
      </c>
      <c r="AT40" s="279" t="s">
        <v>3</v>
      </c>
      <c r="AU40" s="279" t="s">
        <v>3</v>
      </c>
      <c r="AV40" s="279" t="s">
        <v>3</v>
      </c>
      <c r="AW40" s="279" t="s">
        <v>3</v>
      </c>
      <c r="AX40" s="279" t="s">
        <v>3</v>
      </c>
      <c r="AY40" s="279" t="s">
        <v>3</v>
      </c>
      <c r="AZ40" s="279" t="s">
        <v>3</v>
      </c>
      <c r="BA40" s="279" t="s">
        <v>3</v>
      </c>
      <c r="BB40" s="279" t="s">
        <v>3</v>
      </c>
      <c r="BC40" s="279" t="s">
        <v>3</v>
      </c>
      <c r="BD40" s="279" t="s">
        <v>3</v>
      </c>
      <c r="BE40" s="279" t="s">
        <v>3</v>
      </c>
      <c r="BF40" s="279" t="s">
        <v>3</v>
      </c>
      <c r="BG40" s="279" t="s">
        <v>3</v>
      </c>
      <c r="BH40" s="279" t="s">
        <v>3</v>
      </c>
      <c r="BI40" s="92"/>
      <c r="BJ40" s="92" t="s">
        <v>3</v>
      </c>
      <c r="BK40" s="92" t="s">
        <v>3</v>
      </c>
      <c r="BL40" s="92" t="s">
        <v>3</v>
      </c>
      <c r="BM40" s="92" t="s">
        <v>3</v>
      </c>
      <c r="BN40" s="92" t="s">
        <v>3</v>
      </c>
      <c r="BO40" s="92" t="s">
        <v>3</v>
      </c>
      <c r="BP40" s="64">
        <v>39.856000000000002</v>
      </c>
      <c r="BQ40" s="64">
        <v>74.37</v>
      </c>
      <c r="BR40" s="64">
        <v>74.882000000000005</v>
      </c>
      <c r="BS40" s="64">
        <v>44.109000000000002</v>
      </c>
      <c r="BT40" s="92" t="s">
        <v>3</v>
      </c>
      <c r="BU40" s="92"/>
      <c r="BV40" s="92"/>
      <c r="BW40" s="92"/>
      <c r="BX40" s="92"/>
    </row>
    <row r="41" spans="1:76" s="80" customFormat="1" hidden="1" outlineLevel="1" x14ac:dyDescent="0.35">
      <c r="A41" s="7"/>
      <c r="B41" s="56" t="str">
        <f>IF(Control!$D$5=1,"Income Taxes","Imposto de Renda retido na fonte")</f>
        <v>Income Taxes</v>
      </c>
      <c r="C41" s="146">
        <v>0</v>
      </c>
      <c r="D41" s="95" t="s">
        <v>3</v>
      </c>
      <c r="E41" s="279" t="s">
        <v>3</v>
      </c>
      <c r="F41" s="279" t="s">
        <v>3</v>
      </c>
      <c r="G41" s="279" t="s">
        <v>3</v>
      </c>
      <c r="H41" s="95" t="s">
        <v>3</v>
      </c>
      <c r="I41" s="279" t="s">
        <v>3</v>
      </c>
      <c r="J41" s="279" t="s">
        <v>3</v>
      </c>
      <c r="K41" s="279" t="s">
        <v>3</v>
      </c>
      <c r="L41" s="95" t="s">
        <v>3</v>
      </c>
      <c r="M41" s="279" t="s">
        <v>3</v>
      </c>
      <c r="N41" s="279" t="s">
        <v>3</v>
      </c>
      <c r="O41" s="279" t="s">
        <v>3</v>
      </c>
      <c r="P41" s="95" t="s">
        <v>3</v>
      </c>
      <c r="Q41" s="279" t="s">
        <v>3</v>
      </c>
      <c r="R41" s="279" t="s">
        <v>3</v>
      </c>
      <c r="S41" s="279" t="s">
        <v>3</v>
      </c>
      <c r="T41" s="95" t="s">
        <v>3</v>
      </c>
      <c r="U41" s="279" t="s">
        <v>3</v>
      </c>
      <c r="V41" s="279" t="s">
        <v>3</v>
      </c>
      <c r="W41" s="279" t="s">
        <v>3</v>
      </c>
      <c r="X41" s="95" t="s">
        <v>3</v>
      </c>
      <c r="Y41" s="279" t="s">
        <v>3</v>
      </c>
      <c r="Z41" s="279" t="s">
        <v>3</v>
      </c>
      <c r="AA41" s="279" t="s">
        <v>3</v>
      </c>
      <c r="AB41" s="95" t="s">
        <v>3</v>
      </c>
      <c r="AC41" s="279" t="s">
        <v>3</v>
      </c>
      <c r="AD41" s="279" t="s">
        <v>3</v>
      </c>
      <c r="AE41" s="279" t="s">
        <v>3</v>
      </c>
      <c r="AF41" s="95" t="s">
        <v>3</v>
      </c>
      <c r="AG41" s="279" t="s">
        <v>3</v>
      </c>
      <c r="AH41" s="279" t="s">
        <v>3</v>
      </c>
      <c r="AI41" s="279" t="s">
        <v>3</v>
      </c>
      <c r="AJ41" s="95" t="s">
        <v>3</v>
      </c>
      <c r="AK41" s="279" t="s">
        <v>3</v>
      </c>
      <c r="AL41" s="279" t="s">
        <v>3</v>
      </c>
      <c r="AM41" s="279" t="s">
        <v>3</v>
      </c>
      <c r="AN41" s="95" t="s">
        <v>3</v>
      </c>
      <c r="AO41" s="279" t="s">
        <v>3</v>
      </c>
      <c r="AP41" s="279" t="s">
        <v>3</v>
      </c>
      <c r="AQ41" s="279" t="s">
        <v>3</v>
      </c>
      <c r="AR41" s="279" t="s">
        <v>3</v>
      </c>
      <c r="AS41" s="279" t="s">
        <v>3</v>
      </c>
      <c r="AT41" s="279" t="s">
        <v>3</v>
      </c>
      <c r="AU41" s="279" t="s">
        <v>3</v>
      </c>
      <c r="AV41" s="279" t="s">
        <v>3</v>
      </c>
      <c r="AW41" s="279" t="s">
        <v>3</v>
      </c>
      <c r="AX41" s="279" t="s">
        <v>3</v>
      </c>
      <c r="AY41" s="279" t="s">
        <v>3</v>
      </c>
      <c r="AZ41" s="279" t="s">
        <v>3</v>
      </c>
      <c r="BA41" s="279" t="s">
        <v>3</v>
      </c>
      <c r="BB41" s="279" t="s">
        <v>3</v>
      </c>
      <c r="BC41" s="279" t="s">
        <v>3</v>
      </c>
      <c r="BD41" s="279" t="s">
        <v>3</v>
      </c>
      <c r="BE41" s="279" t="s">
        <v>3</v>
      </c>
      <c r="BF41" s="279" t="s">
        <v>3</v>
      </c>
      <c r="BG41" s="279" t="s">
        <v>3</v>
      </c>
      <c r="BH41" s="279" t="s">
        <v>3</v>
      </c>
      <c r="BI41" s="92"/>
      <c r="BJ41" s="92" t="s">
        <v>3</v>
      </c>
      <c r="BK41" s="92" t="s">
        <v>3</v>
      </c>
      <c r="BL41" s="92" t="s">
        <v>3</v>
      </c>
      <c r="BM41" s="92" t="s">
        <v>3</v>
      </c>
      <c r="BN41" s="92" t="s">
        <v>3</v>
      </c>
      <c r="BO41" s="92" t="s">
        <v>3</v>
      </c>
      <c r="BP41" s="64">
        <v>19.852</v>
      </c>
      <c r="BQ41" s="64">
        <v>12.398999999999999</v>
      </c>
      <c r="BR41" s="64">
        <v>22.265000000000001</v>
      </c>
      <c r="BS41" s="64">
        <v>13.741</v>
      </c>
      <c r="BT41" s="92" t="s">
        <v>3</v>
      </c>
      <c r="BU41" s="92"/>
      <c r="BV41" s="92"/>
      <c r="BW41" s="92"/>
      <c r="BX41" s="92"/>
    </row>
    <row r="42" spans="1:76" s="80" customFormat="1" hidden="1" outlineLevel="1" x14ac:dyDescent="0.35">
      <c r="B42" s="56" t="str">
        <f>IF(Control!$D$5=1,"IPI","IPI a recuperar")</f>
        <v>IPI</v>
      </c>
      <c r="C42" s="146">
        <v>0</v>
      </c>
      <c r="D42" s="95" t="s">
        <v>3</v>
      </c>
      <c r="E42" s="279" t="s">
        <v>3</v>
      </c>
      <c r="F42" s="279" t="s">
        <v>3</v>
      </c>
      <c r="G42" s="279" t="s">
        <v>3</v>
      </c>
      <c r="H42" s="95" t="s">
        <v>3</v>
      </c>
      <c r="I42" s="279" t="s">
        <v>3</v>
      </c>
      <c r="J42" s="279" t="s">
        <v>3</v>
      </c>
      <c r="K42" s="279" t="s">
        <v>3</v>
      </c>
      <c r="L42" s="95" t="s">
        <v>3</v>
      </c>
      <c r="M42" s="279" t="s">
        <v>3</v>
      </c>
      <c r="N42" s="279" t="s">
        <v>3</v>
      </c>
      <c r="O42" s="279" t="s">
        <v>3</v>
      </c>
      <c r="P42" s="95" t="s">
        <v>3</v>
      </c>
      <c r="Q42" s="279" t="s">
        <v>3</v>
      </c>
      <c r="R42" s="279" t="s">
        <v>3</v>
      </c>
      <c r="S42" s="279" t="s">
        <v>3</v>
      </c>
      <c r="T42" s="95" t="s">
        <v>3</v>
      </c>
      <c r="U42" s="279" t="s">
        <v>3</v>
      </c>
      <c r="V42" s="279" t="s">
        <v>3</v>
      </c>
      <c r="W42" s="279" t="s">
        <v>3</v>
      </c>
      <c r="X42" s="95" t="s">
        <v>3</v>
      </c>
      <c r="Y42" s="279" t="s">
        <v>3</v>
      </c>
      <c r="Z42" s="279" t="s">
        <v>3</v>
      </c>
      <c r="AA42" s="279" t="s">
        <v>3</v>
      </c>
      <c r="AB42" s="95" t="s">
        <v>3</v>
      </c>
      <c r="AC42" s="279" t="s">
        <v>3</v>
      </c>
      <c r="AD42" s="279" t="s">
        <v>3</v>
      </c>
      <c r="AE42" s="279" t="s">
        <v>3</v>
      </c>
      <c r="AF42" s="95" t="s">
        <v>3</v>
      </c>
      <c r="AG42" s="279" t="s">
        <v>3</v>
      </c>
      <c r="AH42" s="279" t="s">
        <v>3</v>
      </c>
      <c r="AI42" s="279" t="s">
        <v>3</v>
      </c>
      <c r="AJ42" s="95" t="s">
        <v>3</v>
      </c>
      <c r="AK42" s="279" t="s">
        <v>3</v>
      </c>
      <c r="AL42" s="279" t="s">
        <v>3</v>
      </c>
      <c r="AM42" s="279" t="s">
        <v>3</v>
      </c>
      <c r="AN42" s="95" t="s">
        <v>3</v>
      </c>
      <c r="AO42" s="279" t="s">
        <v>3</v>
      </c>
      <c r="AP42" s="279" t="s">
        <v>3</v>
      </c>
      <c r="AQ42" s="279" t="s">
        <v>3</v>
      </c>
      <c r="AR42" s="279" t="s">
        <v>3</v>
      </c>
      <c r="AS42" s="279" t="s">
        <v>3</v>
      </c>
      <c r="AT42" s="279" t="s">
        <v>3</v>
      </c>
      <c r="AU42" s="279" t="s">
        <v>3</v>
      </c>
      <c r="AV42" s="279" t="s">
        <v>3</v>
      </c>
      <c r="AW42" s="279" t="s">
        <v>3</v>
      </c>
      <c r="AX42" s="279" t="s">
        <v>3</v>
      </c>
      <c r="AY42" s="279" t="s">
        <v>3</v>
      </c>
      <c r="AZ42" s="279" t="s">
        <v>3</v>
      </c>
      <c r="BA42" s="279" t="s">
        <v>3</v>
      </c>
      <c r="BB42" s="279" t="s">
        <v>3</v>
      </c>
      <c r="BC42" s="279" t="s">
        <v>3</v>
      </c>
      <c r="BD42" s="279" t="s">
        <v>3</v>
      </c>
      <c r="BE42" s="279" t="s">
        <v>3</v>
      </c>
      <c r="BF42" s="279" t="s">
        <v>3</v>
      </c>
      <c r="BG42" s="279" t="s">
        <v>3</v>
      </c>
      <c r="BH42" s="279" t="s">
        <v>3</v>
      </c>
      <c r="BI42" s="92"/>
      <c r="BJ42" s="92" t="s">
        <v>3</v>
      </c>
      <c r="BK42" s="92" t="s">
        <v>3</v>
      </c>
      <c r="BL42" s="92" t="s">
        <v>3</v>
      </c>
      <c r="BM42" s="92" t="s">
        <v>3</v>
      </c>
      <c r="BN42" s="92" t="s">
        <v>3</v>
      </c>
      <c r="BO42" s="92" t="s">
        <v>3</v>
      </c>
      <c r="BP42" s="64">
        <v>9.2989999999999995</v>
      </c>
      <c r="BQ42" s="64">
        <v>13.651</v>
      </c>
      <c r="BR42" s="64">
        <v>6.82</v>
      </c>
      <c r="BS42" s="64">
        <v>3.359</v>
      </c>
      <c r="BT42" s="92" t="s">
        <v>3</v>
      </c>
      <c r="BU42" s="92"/>
      <c r="BV42" s="92"/>
      <c r="BW42" s="92"/>
      <c r="BX42" s="92"/>
    </row>
    <row r="43" spans="1:76" s="80" customFormat="1" hidden="1" outlineLevel="1" x14ac:dyDescent="0.35">
      <c r="A43" s="7"/>
      <c r="B43" s="56" t="str">
        <f>IF(Control!$D$5=1,"Others","Outros")</f>
        <v>Others</v>
      </c>
      <c r="C43" s="146">
        <v>0</v>
      </c>
      <c r="D43" s="95" t="s">
        <v>3</v>
      </c>
      <c r="E43" s="279" t="s">
        <v>3</v>
      </c>
      <c r="F43" s="279" t="s">
        <v>3</v>
      </c>
      <c r="G43" s="279" t="s">
        <v>3</v>
      </c>
      <c r="H43" s="95" t="s">
        <v>3</v>
      </c>
      <c r="I43" s="279" t="s">
        <v>3</v>
      </c>
      <c r="J43" s="279" t="s">
        <v>3</v>
      </c>
      <c r="K43" s="279" t="s">
        <v>3</v>
      </c>
      <c r="L43" s="95" t="s">
        <v>3</v>
      </c>
      <c r="M43" s="279" t="s">
        <v>3</v>
      </c>
      <c r="N43" s="279" t="s">
        <v>3</v>
      </c>
      <c r="O43" s="279" t="s">
        <v>3</v>
      </c>
      <c r="P43" s="95" t="s">
        <v>3</v>
      </c>
      <c r="Q43" s="279" t="s">
        <v>3</v>
      </c>
      <c r="R43" s="279" t="s">
        <v>3</v>
      </c>
      <c r="S43" s="279" t="s">
        <v>3</v>
      </c>
      <c r="T43" s="95" t="s">
        <v>3</v>
      </c>
      <c r="U43" s="279" t="s">
        <v>3</v>
      </c>
      <c r="V43" s="279" t="s">
        <v>3</v>
      </c>
      <c r="W43" s="279" t="s">
        <v>3</v>
      </c>
      <c r="X43" s="95" t="s">
        <v>3</v>
      </c>
      <c r="Y43" s="279" t="s">
        <v>3</v>
      </c>
      <c r="Z43" s="279" t="s">
        <v>3</v>
      </c>
      <c r="AA43" s="279" t="s">
        <v>3</v>
      </c>
      <c r="AB43" s="95" t="s">
        <v>3</v>
      </c>
      <c r="AC43" s="279" t="s">
        <v>3</v>
      </c>
      <c r="AD43" s="279" t="s">
        <v>3</v>
      </c>
      <c r="AE43" s="279" t="s">
        <v>3</v>
      </c>
      <c r="AF43" s="95" t="s">
        <v>3</v>
      </c>
      <c r="AG43" s="279" t="s">
        <v>3</v>
      </c>
      <c r="AH43" s="279" t="s">
        <v>3</v>
      </c>
      <c r="AI43" s="279" t="s">
        <v>3</v>
      </c>
      <c r="AJ43" s="95" t="s">
        <v>3</v>
      </c>
      <c r="AK43" s="279" t="s">
        <v>3</v>
      </c>
      <c r="AL43" s="279" t="s">
        <v>3</v>
      </c>
      <c r="AM43" s="279" t="s">
        <v>3</v>
      </c>
      <c r="AN43" s="95" t="s">
        <v>3</v>
      </c>
      <c r="AO43" s="279" t="s">
        <v>3</v>
      </c>
      <c r="AP43" s="279" t="s">
        <v>3</v>
      </c>
      <c r="AQ43" s="279" t="s">
        <v>3</v>
      </c>
      <c r="AR43" s="279" t="s">
        <v>3</v>
      </c>
      <c r="AS43" s="279" t="s">
        <v>3</v>
      </c>
      <c r="AT43" s="279" t="s">
        <v>3</v>
      </c>
      <c r="AU43" s="279" t="s">
        <v>3</v>
      </c>
      <c r="AV43" s="279" t="s">
        <v>3</v>
      </c>
      <c r="AW43" s="279" t="s">
        <v>3</v>
      </c>
      <c r="AX43" s="279" t="s">
        <v>3</v>
      </c>
      <c r="AY43" s="279" t="s">
        <v>3</v>
      </c>
      <c r="AZ43" s="279" t="s">
        <v>3</v>
      </c>
      <c r="BA43" s="279" t="s">
        <v>3</v>
      </c>
      <c r="BB43" s="279" t="s">
        <v>3</v>
      </c>
      <c r="BC43" s="279" t="s">
        <v>3</v>
      </c>
      <c r="BD43" s="279" t="s">
        <v>3</v>
      </c>
      <c r="BE43" s="279" t="s">
        <v>3</v>
      </c>
      <c r="BF43" s="279" t="s">
        <v>3</v>
      </c>
      <c r="BG43" s="279" t="s">
        <v>3</v>
      </c>
      <c r="BH43" s="279" t="s">
        <v>3</v>
      </c>
      <c r="BI43" s="92"/>
      <c r="BJ43" s="92" t="s">
        <v>3</v>
      </c>
      <c r="BK43" s="92" t="s">
        <v>3</v>
      </c>
      <c r="BL43" s="92" t="s">
        <v>3</v>
      </c>
      <c r="BM43" s="92" t="s">
        <v>3</v>
      </c>
      <c r="BN43" s="92" t="s">
        <v>3</v>
      </c>
      <c r="BO43" s="92" t="s">
        <v>3</v>
      </c>
      <c r="BP43" s="64">
        <v>15.003</v>
      </c>
      <c r="BQ43" s="64">
        <v>11.426</v>
      </c>
      <c r="BR43" s="64">
        <v>2.4319999999999999</v>
      </c>
      <c r="BS43" s="64">
        <v>6.3179999999999996</v>
      </c>
      <c r="BT43" s="92" t="s">
        <v>3</v>
      </c>
      <c r="BU43" s="92"/>
      <c r="BV43" s="92"/>
      <c r="BW43" s="92"/>
      <c r="BX43" s="92"/>
    </row>
    <row r="44" spans="1:76" ht="6.75" hidden="1" customHeight="1" outlineLevel="1" x14ac:dyDescent="0.35">
      <c r="A44" s="80"/>
      <c r="B44" s="56"/>
      <c r="C44" s="146">
        <v>0</v>
      </c>
      <c r="D44" s="95"/>
      <c r="E44" s="279"/>
      <c r="F44" s="279"/>
      <c r="G44" s="279"/>
      <c r="H44" s="95"/>
      <c r="I44" s="279"/>
      <c r="J44" s="279"/>
      <c r="K44" s="279"/>
      <c r="L44" s="95"/>
      <c r="M44" s="279"/>
      <c r="N44" s="279"/>
      <c r="O44" s="279"/>
      <c r="P44" s="95"/>
      <c r="Q44" s="279"/>
      <c r="R44" s="279"/>
      <c r="S44" s="279"/>
      <c r="T44" s="95"/>
      <c r="U44" s="279"/>
      <c r="V44" s="279"/>
      <c r="W44" s="279"/>
      <c r="X44" s="95"/>
      <c r="Y44" s="279"/>
      <c r="Z44" s="279"/>
      <c r="AA44" s="279"/>
      <c r="AB44" s="95"/>
      <c r="AC44" s="279"/>
      <c r="AD44" s="279"/>
      <c r="AE44" s="279"/>
      <c r="AF44" s="95"/>
      <c r="AG44" s="279"/>
      <c r="AH44" s="279"/>
      <c r="AI44" s="279"/>
      <c r="AJ44" s="95"/>
      <c r="AK44" s="279"/>
      <c r="AL44" s="279"/>
      <c r="AM44" s="279"/>
      <c r="AN44" s="95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92"/>
      <c r="BJ44" s="92"/>
      <c r="BK44" s="92"/>
      <c r="BL44" s="92"/>
      <c r="BM44" s="92"/>
      <c r="BN44" s="92"/>
      <c r="BO44" s="92"/>
      <c r="BP44" s="92"/>
      <c r="BQ44" s="92"/>
      <c r="BR44" s="149"/>
      <c r="BS44" s="149"/>
      <c r="BT44" s="92"/>
      <c r="BU44" s="92"/>
      <c r="BV44" s="92"/>
      <c r="BW44" s="92"/>
      <c r="BX44" s="92"/>
    </row>
    <row r="45" spans="1:76" s="147" customFormat="1" hidden="1" outlineLevel="1" x14ac:dyDescent="0.35">
      <c r="A45" s="80"/>
      <c r="B45" s="148" t="str">
        <f>IF(Control!$D$5=1,"Current Portion","Parcela Circulante")</f>
        <v>Current Portion</v>
      </c>
      <c r="C45" s="146">
        <v>0</v>
      </c>
      <c r="D45" s="95" t="s">
        <v>3</v>
      </c>
      <c r="E45" s="279" t="s">
        <v>3</v>
      </c>
      <c r="F45" s="279" t="s">
        <v>3</v>
      </c>
      <c r="G45" s="279" t="s">
        <v>3</v>
      </c>
      <c r="H45" s="95" t="s">
        <v>3</v>
      </c>
      <c r="I45" s="279" t="s">
        <v>3</v>
      </c>
      <c r="J45" s="279" t="s">
        <v>3</v>
      </c>
      <c r="K45" s="279" t="s">
        <v>3</v>
      </c>
      <c r="L45" s="95" t="s">
        <v>3</v>
      </c>
      <c r="M45" s="279" t="s">
        <v>3</v>
      </c>
      <c r="N45" s="279" t="s">
        <v>3</v>
      </c>
      <c r="O45" s="279" t="s">
        <v>3</v>
      </c>
      <c r="P45" s="95" t="s">
        <v>3</v>
      </c>
      <c r="Q45" s="279" t="s">
        <v>3</v>
      </c>
      <c r="R45" s="279" t="s">
        <v>3</v>
      </c>
      <c r="S45" s="279" t="s">
        <v>3</v>
      </c>
      <c r="T45" s="95" t="s">
        <v>3</v>
      </c>
      <c r="U45" s="279" t="s">
        <v>3</v>
      </c>
      <c r="V45" s="279" t="s">
        <v>3</v>
      </c>
      <c r="W45" s="279" t="s">
        <v>3</v>
      </c>
      <c r="X45" s="95" t="s">
        <v>3</v>
      </c>
      <c r="Y45" s="279" t="s">
        <v>3</v>
      </c>
      <c r="Z45" s="279" t="s">
        <v>3</v>
      </c>
      <c r="AA45" s="279" t="s">
        <v>3</v>
      </c>
      <c r="AB45" s="95" t="s">
        <v>3</v>
      </c>
      <c r="AC45" s="279" t="s">
        <v>3</v>
      </c>
      <c r="AD45" s="279" t="s">
        <v>3</v>
      </c>
      <c r="AE45" s="279" t="s">
        <v>3</v>
      </c>
      <c r="AF45" s="95" t="s">
        <v>3</v>
      </c>
      <c r="AG45" s="279" t="s">
        <v>3</v>
      </c>
      <c r="AH45" s="279" t="s">
        <v>3</v>
      </c>
      <c r="AI45" s="279" t="s">
        <v>3</v>
      </c>
      <c r="AJ45" s="95" t="s">
        <v>3</v>
      </c>
      <c r="AK45" s="279" t="s">
        <v>3</v>
      </c>
      <c r="AL45" s="279" t="s">
        <v>3</v>
      </c>
      <c r="AM45" s="279" t="s">
        <v>3</v>
      </c>
      <c r="AN45" s="95" t="s">
        <v>3</v>
      </c>
      <c r="AO45" s="279" t="s">
        <v>3</v>
      </c>
      <c r="AP45" s="279" t="s">
        <v>3</v>
      </c>
      <c r="AQ45" s="279" t="s">
        <v>3</v>
      </c>
      <c r="AR45" s="279" t="s">
        <v>3</v>
      </c>
      <c r="AS45" s="279" t="s">
        <v>3</v>
      </c>
      <c r="AT45" s="279" t="s">
        <v>3</v>
      </c>
      <c r="AU45" s="279" t="s">
        <v>3</v>
      </c>
      <c r="AV45" s="279" t="s">
        <v>3</v>
      </c>
      <c r="AW45" s="279" t="s">
        <v>3</v>
      </c>
      <c r="AX45" s="279" t="s">
        <v>3</v>
      </c>
      <c r="AY45" s="279" t="s">
        <v>3</v>
      </c>
      <c r="AZ45" s="279" t="s">
        <v>3</v>
      </c>
      <c r="BA45" s="279" t="s">
        <v>3</v>
      </c>
      <c r="BB45" s="279" t="s">
        <v>3</v>
      </c>
      <c r="BC45" s="279" t="s">
        <v>3</v>
      </c>
      <c r="BD45" s="279" t="s">
        <v>3</v>
      </c>
      <c r="BE45" s="279" t="s">
        <v>3</v>
      </c>
      <c r="BF45" s="279" t="s">
        <v>3</v>
      </c>
      <c r="BG45" s="279" t="s">
        <v>3</v>
      </c>
      <c r="BH45" s="279" t="s">
        <v>3</v>
      </c>
      <c r="BI45" s="92"/>
      <c r="BJ45" s="92" t="s">
        <v>3</v>
      </c>
      <c r="BK45" s="92" t="s">
        <v>3</v>
      </c>
      <c r="BL45" s="92" t="s">
        <v>3</v>
      </c>
      <c r="BM45" s="92" t="s">
        <v>3</v>
      </c>
      <c r="BN45" s="92" t="s">
        <v>3</v>
      </c>
      <c r="BO45" s="92" t="s">
        <v>3</v>
      </c>
      <c r="BP45" s="64">
        <v>91.75</v>
      </c>
      <c r="BQ45" s="64">
        <v>122.79300000000001</v>
      </c>
      <c r="BR45" s="64">
        <v>117.705</v>
      </c>
      <c r="BS45" s="64">
        <v>75.744</v>
      </c>
      <c r="BT45" s="92" t="s">
        <v>3</v>
      </c>
      <c r="BU45" s="92"/>
      <c r="BV45" s="92"/>
      <c r="BW45" s="92"/>
      <c r="BX45" s="92"/>
    </row>
    <row r="46" spans="1:76" s="147" customFormat="1" hidden="1" outlineLevel="1" x14ac:dyDescent="0.35">
      <c r="A46" s="80"/>
      <c r="B46" s="148" t="str">
        <f>IF(Control!$D$5=1,"Noncurrent Portion","Parcela não circulante")</f>
        <v>Noncurrent Portion</v>
      </c>
      <c r="C46" s="146">
        <v>0</v>
      </c>
      <c r="D46" s="95" t="s">
        <v>3</v>
      </c>
      <c r="E46" s="279" t="s">
        <v>3</v>
      </c>
      <c r="F46" s="279" t="s">
        <v>3</v>
      </c>
      <c r="G46" s="279" t="s">
        <v>3</v>
      </c>
      <c r="H46" s="95" t="s">
        <v>3</v>
      </c>
      <c r="I46" s="279" t="s">
        <v>3</v>
      </c>
      <c r="J46" s="279" t="s">
        <v>3</v>
      </c>
      <c r="K46" s="279" t="s">
        <v>3</v>
      </c>
      <c r="L46" s="95" t="s">
        <v>3</v>
      </c>
      <c r="M46" s="279" t="s">
        <v>3</v>
      </c>
      <c r="N46" s="279" t="s">
        <v>3</v>
      </c>
      <c r="O46" s="279" t="s">
        <v>3</v>
      </c>
      <c r="P46" s="95" t="s">
        <v>3</v>
      </c>
      <c r="Q46" s="279" t="s">
        <v>3</v>
      </c>
      <c r="R46" s="279" t="s">
        <v>3</v>
      </c>
      <c r="S46" s="279" t="s">
        <v>3</v>
      </c>
      <c r="T46" s="95" t="s">
        <v>3</v>
      </c>
      <c r="U46" s="279" t="s">
        <v>3</v>
      </c>
      <c r="V46" s="279" t="s">
        <v>3</v>
      </c>
      <c r="W46" s="279" t="s">
        <v>3</v>
      </c>
      <c r="X46" s="95" t="s">
        <v>3</v>
      </c>
      <c r="Y46" s="279" t="s">
        <v>3</v>
      </c>
      <c r="Z46" s="279" t="s">
        <v>3</v>
      </c>
      <c r="AA46" s="279" t="s">
        <v>3</v>
      </c>
      <c r="AB46" s="95" t="s">
        <v>3</v>
      </c>
      <c r="AC46" s="279" t="s">
        <v>3</v>
      </c>
      <c r="AD46" s="279" t="s">
        <v>3</v>
      </c>
      <c r="AE46" s="279" t="s">
        <v>3</v>
      </c>
      <c r="AF46" s="95" t="s">
        <v>3</v>
      </c>
      <c r="AG46" s="279" t="s">
        <v>3</v>
      </c>
      <c r="AH46" s="279" t="s">
        <v>3</v>
      </c>
      <c r="AI46" s="279" t="s">
        <v>3</v>
      </c>
      <c r="AJ46" s="95" t="s">
        <v>3</v>
      </c>
      <c r="AK46" s="279" t="s">
        <v>3</v>
      </c>
      <c r="AL46" s="279" t="s">
        <v>3</v>
      </c>
      <c r="AM46" s="279" t="s">
        <v>3</v>
      </c>
      <c r="AN46" s="95" t="s">
        <v>3</v>
      </c>
      <c r="AO46" s="279" t="s">
        <v>3</v>
      </c>
      <c r="AP46" s="279" t="s">
        <v>3</v>
      </c>
      <c r="AQ46" s="279" t="s">
        <v>3</v>
      </c>
      <c r="AR46" s="279" t="s">
        <v>3</v>
      </c>
      <c r="AS46" s="279" t="s">
        <v>3</v>
      </c>
      <c r="AT46" s="279" t="s">
        <v>3</v>
      </c>
      <c r="AU46" s="279" t="s">
        <v>3</v>
      </c>
      <c r="AV46" s="279" t="s">
        <v>3</v>
      </c>
      <c r="AW46" s="279" t="s">
        <v>3</v>
      </c>
      <c r="AX46" s="279" t="s">
        <v>3</v>
      </c>
      <c r="AY46" s="279" t="s">
        <v>3</v>
      </c>
      <c r="AZ46" s="279" t="s">
        <v>3</v>
      </c>
      <c r="BA46" s="279" t="s">
        <v>3</v>
      </c>
      <c r="BB46" s="279" t="s">
        <v>3</v>
      </c>
      <c r="BC46" s="279" t="s">
        <v>3</v>
      </c>
      <c r="BD46" s="279" t="s">
        <v>3</v>
      </c>
      <c r="BE46" s="279" t="s">
        <v>3</v>
      </c>
      <c r="BF46" s="279" t="s">
        <v>3</v>
      </c>
      <c r="BG46" s="279" t="s">
        <v>3</v>
      </c>
      <c r="BH46" s="279" t="s">
        <v>3</v>
      </c>
      <c r="BI46" s="92"/>
      <c r="BJ46" s="92" t="s">
        <v>3</v>
      </c>
      <c r="BK46" s="92" t="s">
        <v>3</v>
      </c>
      <c r="BL46" s="92" t="s">
        <v>3</v>
      </c>
      <c r="BM46" s="92" t="s">
        <v>3</v>
      </c>
      <c r="BN46" s="92" t="s">
        <v>3</v>
      </c>
      <c r="BO46" s="92" t="s">
        <v>3</v>
      </c>
      <c r="BP46" s="64">
        <v>4.0510000000000002</v>
      </c>
      <c r="BQ46" s="64">
        <v>2.798</v>
      </c>
      <c r="BR46" s="64">
        <v>3.5179999999999998</v>
      </c>
      <c r="BS46" s="64">
        <v>1.867</v>
      </c>
      <c r="BT46" s="92" t="s">
        <v>3</v>
      </c>
      <c r="BU46" s="92"/>
      <c r="BV46" s="92"/>
      <c r="BW46" s="92"/>
      <c r="BX46" s="92"/>
    </row>
    <row r="47" spans="1:76" s="127" customFormat="1" collapsed="1" x14ac:dyDescent="0.35">
      <c r="A47" s="80"/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145"/>
      <c r="BK47" s="145"/>
      <c r="BL47" s="145"/>
      <c r="BM47" s="145"/>
      <c r="BN47" s="145"/>
      <c r="BO47" s="145"/>
      <c r="BP47" s="145"/>
      <c r="BQ47" s="204"/>
      <c r="BR47" s="204"/>
      <c r="BS47" s="204"/>
      <c r="BT47" s="204"/>
      <c r="BU47" s="204"/>
      <c r="BV47" s="204"/>
      <c r="BW47" s="204"/>
      <c r="BX47" s="204"/>
    </row>
    <row r="48" spans="1:76" s="127" customFormat="1" x14ac:dyDescent="0.35">
      <c r="A48" s="7"/>
      <c r="B48" s="144" t="str">
        <f>IF(Control!$D$5=1,"Financial Income and Expenses","Despesas e Receitas Financeiras")</f>
        <v>Financial Income and Expenses</v>
      </c>
      <c r="C48" s="146">
        <v>0</v>
      </c>
      <c r="D48" s="93">
        <f>+D50+D59</f>
        <v>-3.8090000000000011</v>
      </c>
      <c r="E48" s="146">
        <v>-7.4</v>
      </c>
      <c r="F48" s="145">
        <f>+F50+F59</f>
        <v>0</v>
      </c>
      <c r="G48" s="145">
        <f t="shared" ref="G48:AN48" si="27">+G50+G59</f>
        <v>0</v>
      </c>
      <c r="H48" s="145">
        <f t="shared" si="27"/>
        <v>1.4419999999999984</v>
      </c>
      <c r="I48" s="145">
        <f t="shared" si="27"/>
        <v>0</v>
      </c>
      <c r="J48" s="145">
        <f t="shared" si="27"/>
        <v>0</v>
      </c>
      <c r="K48" s="145">
        <f t="shared" si="27"/>
        <v>0</v>
      </c>
      <c r="L48" s="145">
        <f t="shared" si="27"/>
        <v>-6.4509999999999987</v>
      </c>
      <c r="M48" s="145">
        <f t="shared" si="27"/>
        <v>0</v>
      </c>
      <c r="N48" s="145">
        <f t="shared" si="27"/>
        <v>0</v>
      </c>
      <c r="O48" s="145"/>
      <c r="P48" s="145">
        <f t="shared" si="27"/>
        <v>-8.5830000000000037</v>
      </c>
      <c r="Q48" s="145">
        <f t="shared" si="27"/>
        <v>-33.030999999999999</v>
      </c>
      <c r="R48" s="145">
        <f t="shared" si="27"/>
        <v>-53.401999999999987</v>
      </c>
      <c r="S48" s="145">
        <f t="shared" si="27"/>
        <v>0</v>
      </c>
      <c r="T48" s="145">
        <f t="shared" si="27"/>
        <v>-19.710000000000008</v>
      </c>
      <c r="U48" s="145">
        <f t="shared" si="27"/>
        <v>0</v>
      </c>
      <c r="V48" s="145">
        <f t="shared" si="27"/>
        <v>0</v>
      </c>
      <c r="W48" s="145">
        <f t="shared" si="27"/>
        <v>0</v>
      </c>
      <c r="X48" s="145">
        <f t="shared" si="27"/>
        <v>-21.225000000000005</v>
      </c>
      <c r="Y48" s="145">
        <f t="shared" si="27"/>
        <v>-33.998999999999995</v>
      </c>
      <c r="Z48" s="145">
        <f>+Z50+Z59</f>
        <v>-32.290000000000013</v>
      </c>
      <c r="AA48" s="145">
        <f t="shared" si="27"/>
        <v>-32.077999999999996</v>
      </c>
      <c r="AB48" s="145">
        <f t="shared" si="27"/>
        <v>-29.665000000000013</v>
      </c>
      <c r="AC48" s="145">
        <f t="shared" si="27"/>
        <v>-32.956999999999994</v>
      </c>
      <c r="AD48" s="145">
        <f t="shared" si="27"/>
        <v>-34.654000000000011</v>
      </c>
      <c r="AE48" s="145">
        <f>+AE50+AE59</f>
        <v>-30.936999999999983</v>
      </c>
      <c r="AF48" s="145">
        <f t="shared" si="27"/>
        <v>-27.275000000000009</v>
      </c>
      <c r="AG48" s="145">
        <f t="shared" si="27"/>
        <v>-42.407999999999987</v>
      </c>
      <c r="AH48" s="145">
        <f t="shared" si="27"/>
        <v>-44.309999999999995</v>
      </c>
      <c r="AI48" s="145">
        <f t="shared" si="27"/>
        <v>-41.951999999999998</v>
      </c>
      <c r="AJ48" s="145">
        <f t="shared" si="27"/>
        <v>-32.712999999999994</v>
      </c>
      <c r="AK48" s="145">
        <f t="shared" si="27"/>
        <v>-52.656000000000006</v>
      </c>
      <c r="AL48" s="145">
        <f t="shared" si="27"/>
        <v>-33.315999999999988</v>
      </c>
      <c r="AM48" s="145">
        <f t="shared" si="27"/>
        <v>-36.400000000000006</v>
      </c>
      <c r="AN48" s="145">
        <f t="shared" si="27"/>
        <v>-22.797000000000001</v>
      </c>
      <c r="AO48" s="145">
        <f>+AO50+AO59</f>
        <v>-26.027999999999992</v>
      </c>
      <c r="AP48" s="145">
        <f>+AP50+AP59</f>
        <v>-12.557000000000013</v>
      </c>
      <c r="AQ48" s="145">
        <f>+AQ50+AQ59</f>
        <v>-13.017999999999997</v>
      </c>
      <c r="AR48" s="145">
        <f t="shared" ref="AR48:AW48" si="28">+AR50+AR59</f>
        <v>-12.099999999999994</v>
      </c>
      <c r="AS48" s="145">
        <f t="shared" si="28"/>
        <v>-6.1999999999999886</v>
      </c>
      <c r="AT48" s="145">
        <f t="shared" si="28"/>
        <v>18.799999999999997</v>
      </c>
      <c r="AU48" s="145">
        <f t="shared" si="28"/>
        <v>-16.469000000000001</v>
      </c>
      <c r="AV48" s="145">
        <f t="shared" si="28"/>
        <v>-10.790000000000006</v>
      </c>
      <c r="AW48" s="145">
        <f t="shared" si="28"/>
        <v>-18.206</v>
      </c>
      <c r="AX48" s="145">
        <f t="shared" ref="AX48:BH48" si="29">+AX50+AX59</f>
        <v>-19.404999999999994</v>
      </c>
      <c r="AY48" s="145">
        <f t="shared" si="29"/>
        <v>-12.334000000000003</v>
      </c>
      <c r="AZ48" s="145">
        <f t="shared" si="29"/>
        <v>-16.959000000000017</v>
      </c>
      <c r="BA48" s="145">
        <f t="shared" si="29"/>
        <v>-14.315000000000012</v>
      </c>
      <c r="BB48" s="145">
        <f t="shared" si="29"/>
        <v>-29.381000000000014</v>
      </c>
      <c r="BC48" s="145">
        <f t="shared" si="29"/>
        <v>-24.428999999999988</v>
      </c>
      <c r="BD48" s="145">
        <f t="shared" si="29"/>
        <v>-25.023000000000003</v>
      </c>
      <c r="BE48" s="145">
        <f t="shared" si="29"/>
        <v>-29.551999999999992</v>
      </c>
      <c r="BF48" s="145">
        <f t="shared" si="29"/>
        <v>-25.398000000000025</v>
      </c>
      <c r="BG48" s="145">
        <f t="shared" si="29"/>
        <v>-41.601000000000013</v>
      </c>
      <c r="BH48" s="145">
        <f t="shared" si="29"/>
        <v>-84.921000000000021</v>
      </c>
      <c r="BI48" s="145"/>
      <c r="BJ48" s="145">
        <f>+BJ50+BJ59</f>
        <v>-26.641999999999996</v>
      </c>
      <c r="BK48" s="145">
        <f>+BK50+BK59</f>
        <v>-57.014999999999993</v>
      </c>
      <c r="BL48" s="145">
        <f>+BL50+BL59</f>
        <v>-15.509999999999991</v>
      </c>
      <c r="BM48" s="145">
        <v>-35.700000000000003</v>
      </c>
      <c r="BN48" s="145">
        <v>-66</v>
      </c>
      <c r="BO48" s="145">
        <v>-67.7</v>
      </c>
      <c r="BP48" s="145">
        <f t="shared" ref="BP48:BU48" si="30">+BP50+BP59</f>
        <v>-119.59200000000001</v>
      </c>
      <c r="BQ48" s="145">
        <f t="shared" si="30"/>
        <v>-128.26900000000001</v>
      </c>
      <c r="BR48" s="145">
        <f t="shared" si="30"/>
        <v>-155.94499999999999</v>
      </c>
      <c r="BS48" s="145">
        <f t="shared" si="30"/>
        <v>-158.08599999999996</v>
      </c>
      <c r="BT48" s="145">
        <f t="shared" si="30"/>
        <v>-74.400000000000034</v>
      </c>
      <c r="BU48" s="145">
        <f t="shared" si="30"/>
        <v>-15.969000000000023</v>
      </c>
      <c r="BV48" s="145">
        <f>+BV50+BV59</f>
        <v>-60.735000000000014</v>
      </c>
      <c r="BW48" s="145">
        <f>+BW50+BW59</f>
        <v>-84.928000000000054</v>
      </c>
      <c r="BX48" s="145">
        <f>+BX50+BX59</f>
        <v>-127.59000000000006</v>
      </c>
    </row>
    <row r="49" spans="1:77" x14ac:dyDescent="0.35">
      <c r="A49" s="80"/>
      <c r="B49" s="144"/>
      <c r="C49" s="144"/>
      <c r="D49" s="144"/>
      <c r="H49" s="144"/>
      <c r="L49" s="144"/>
      <c r="P49" s="144"/>
      <c r="R49" s="56"/>
      <c r="S49" s="56"/>
      <c r="T49" s="144"/>
      <c r="V49" s="56"/>
      <c r="W49" s="56"/>
      <c r="Y49" s="308"/>
      <c r="AC49" s="308"/>
      <c r="AD49" s="308"/>
      <c r="AE49" s="308"/>
      <c r="AO49" s="56"/>
      <c r="BJ49" s="7"/>
      <c r="BK49" s="7"/>
      <c r="BL49" s="7"/>
      <c r="BT49" s="138"/>
      <c r="BU49" s="138"/>
      <c r="BV49" s="138"/>
      <c r="BW49" s="138"/>
      <c r="BX49" s="138"/>
    </row>
    <row r="50" spans="1:77" x14ac:dyDescent="0.35">
      <c r="A50" s="250"/>
      <c r="B50" s="96" t="str">
        <f>IF(Control!$D$5=1,"Finacial Expenses","Despesas Financeiras")</f>
        <v>Finacial Expenses</v>
      </c>
      <c r="C50" s="146">
        <v>0</v>
      </c>
      <c r="D50" s="93">
        <f t="shared" ref="D50:AQ50" si="31">SUM(D51:D57)</f>
        <v>-7.0590000000000011</v>
      </c>
      <c r="E50" s="146">
        <f t="shared" si="31"/>
        <v>0</v>
      </c>
      <c r="F50" s="145">
        <f t="shared" si="31"/>
        <v>0</v>
      </c>
      <c r="G50" s="145">
        <f t="shared" si="31"/>
        <v>0</v>
      </c>
      <c r="H50" s="93">
        <f t="shared" si="31"/>
        <v>-10.111000000000001</v>
      </c>
      <c r="I50" s="145">
        <f t="shared" si="31"/>
        <v>0</v>
      </c>
      <c r="J50" s="145">
        <f t="shared" si="31"/>
        <v>0</v>
      </c>
      <c r="K50" s="145">
        <f t="shared" si="31"/>
        <v>0</v>
      </c>
      <c r="L50" s="93">
        <f t="shared" si="31"/>
        <v>-14.254999999999999</v>
      </c>
      <c r="M50" s="145">
        <f t="shared" si="31"/>
        <v>0</v>
      </c>
      <c r="N50" s="145">
        <f t="shared" si="31"/>
        <v>0</v>
      </c>
      <c r="O50" s="145">
        <f t="shared" si="31"/>
        <v>0</v>
      </c>
      <c r="P50" s="93">
        <f t="shared" si="31"/>
        <v>-18.163000000000004</v>
      </c>
      <c r="Q50" s="146">
        <f t="shared" si="31"/>
        <v>-93.637</v>
      </c>
      <c r="R50" s="145">
        <f t="shared" si="31"/>
        <v>-81.98599999999999</v>
      </c>
      <c r="S50" s="145">
        <f t="shared" si="31"/>
        <v>0</v>
      </c>
      <c r="T50" s="93">
        <f t="shared" si="31"/>
        <v>-65.225000000000009</v>
      </c>
      <c r="U50" s="145">
        <f t="shared" si="31"/>
        <v>0</v>
      </c>
      <c r="V50" s="145">
        <f t="shared" si="31"/>
        <v>0</v>
      </c>
      <c r="W50" s="145">
        <f t="shared" si="31"/>
        <v>0</v>
      </c>
      <c r="X50" s="93">
        <f t="shared" si="31"/>
        <v>-43.486000000000004</v>
      </c>
      <c r="Y50" s="146">
        <f t="shared" si="31"/>
        <v>-52.998999999999995</v>
      </c>
      <c r="Z50" s="145">
        <f t="shared" si="31"/>
        <v>-44.410000000000011</v>
      </c>
      <c r="AA50" s="145">
        <f t="shared" si="31"/>
        <v>-44.558999999999997</v>
      </c>
      <c r="AB50" s="93">
        <f t="shared" si="31"/>
        <v>-43.765000000000015</v>
      </c>
      <c r="AC50" s="146">
        <f t="shared" si="31"/>
        <v>-95.662999999999997</v>
      </c>
      <c r="AD50" s="145">
        <f t="shared" si="31"/>
        <v>-60.688000000000009</v>
      </c>
      <c r="AE50" s="145">
        <f t="shared" si="31"/>
        <v>-61.650999999999989</v>
      </c>
      <c r="AF50" s="93">
        <f t="shared" si="31"/>
        <v>-54.411000000000008</v>
      </c>
      <c r="AG50" s="146">
        <f t="shared" si="31"/>
        <v>-58.217999999999989</v>
      </c>
      <c r="AH50" s="145">
        <f t="shared" si="31"/>
        <v>-57.445999999999998</v>
      </c>
      <c r="AI50" s="145">
        <f t="shared" si="31"/>
        <v>-57.83</v>
      </c>
      <c r="AJ50" s="93">
        <f t="shared" si="31"/>
        <v>-49.48599999999999</v>
      </c>
      <c r="AK50" s="146">
        <f t="shared" si="31"/>
        <v>-67.465000000000003</v>
      </c>
      <c r="AL50" s="145">
        <f t="shared" si="31"/>
        <v>-44.964999999999989</v>
      </c>
      <c r="AM50" s="145">
        <f t="shared" si="31"/>
        <v>-60.000000000000007</v>
      </c>
      <c r="AN50" s="93">
        <f t="shared" si="31"/>
        <v>-54.692</v>
      </c>
      <c r="AO50" s="146">
        <f t="shared" si="31"/>
        <v>-52.356999999999992</v>
      </c>
      <c r="AP50" s="145">
        <f t="shared" si="31"/>
        <v>-40.432000000000009</v>
      </c>
      <c r="AQ50" s="146">
        <f t="shared" si="31"/>
        <v>-33.618999999999993</v>
      </c>
      <c r="AR50" s="146">
        <f t="shared" ref="AR50:AW50" si="32">SUM(AR51:AR57)</f>
        <v>-42.699999999999996</v>
      </c>
      <c r="AS50" s="146">
        <f t="shared" si="32"/>
        <v>-64.599999999999994</v>
      </c>
      <c r="AT50" s="146">
        <f t="shared" si="32"/>
        <v>-63.5</v>
      </c>
      <c r="AU50" s="146">
        <f t="shared" si="32"/>
        <v>-47.078000000000003</v>
      </c>
      <c r="AV50" s="146">
        <f t="shared" si="32"/>
        <v>-50.6</v>
      </c>
      <c r="AW50" s="146">
        <f t="shared" si="32"/>
        <v>-49.181999999999995</v>
      </c>
      <c r="AX50" s="146">
        <f t="shared" ref="AX50:BD50" si="33">SUM(AX51:AX57)</f>
        <v>-43.346999999999994</v>
      </c>
      <c r="AY50" s="146">
        <f t="shared" si="33"/>
        <v>-44.864000000000004</v>
      </c>
      <c r="AZ50" s="146">
        <f t="shared" si="33"/>
        <v>-89.162000000000006</v>
      </c>
      <c r="BA50" s="146">
        <f t="shared" si="33"/>
        <v>-79.068000000000012</v>
      </c>
      <c r="BB50" s="146">
        <f t="shared" si="33"/>
        <v>-110.70500000000001</v>
      </c>
      <c r="BC50" s="146">
        <f t="shared" si="33"/>
        <v>-84.260999999999996</v>
      </c>
      <c r="BD50" s="146">
        <f t="shared" si="33"/>
        <v>-64.376000000000005</v>
      </c>
      <c r="BE50" s="146">
        <f>SUM(BE51:BE57)</f>
        <v>-76.709999999999994</v>
      </c>
      <c r="BF50" s="146">
        <f>SUM(BF51:BF57)</f>
        <v>-88.095000000000027</v>
      </c>
      <c r="BG50" s="146">
        <f>SUM(BG51:BG57)</f>
        <v>-116.72800000000002</v>
      </c>
      <c r="BH50" s="146">
        <f>SUM(BH51:BH57)</f>
        <v>-153.50800000000001</v>
      </c>
      <c r="BI50" s="146"/>
      <c r="BJ50" s="145">
        <f>SUM(BJ51:BJ57)</f>
        <v>-45.174999999999997</v>
      </c>
      <c r="BK50" s="145">
        <f>SUM(BK51:BK57)</f>
        <v>-79.61399999999999</v>
      </c>
      <c r="BL50" s="145">
        <f>SUM(BL51:BL57)</f>
        <v>-44.783999999999992</v>
      </c>
      <c r="BM50" s="145">
        <f t="shared" ref="BM50:BR50" si="34">SUM(BM51:BM57)</f>
        <v>0</v>
      </c>
      <c r="BN50" s="145">
        <f t="shared" si="34"/>
        <v>0</v>
      </c>
      <c r="BO50" s="145">
        <f t="shared" si="34"/>
        <v>0</v>
      </c>
      <c r="BP50" s="145">
        <f t="shared" si="34"/>
        <v>-185.45400000000001</v>
      </c>
      <c r="BQ50" s="145">
        <f t="shared" si="34"/>
        <v>-204.06700000000001</v>
      </c>
      <c r="BR50" s="145">
        <f t="shared" si="34"/>
        <v>-227.90499999999997</v>
      </c>
      <c r="BS50" s="145">
        <f t="shared" ref="BS50:BX50" si="35">SUM(BS51:BS57)</f>
        <v>-224.88599999999997</v>
      </c>
      <c r="BT50" s="145">
        <f t="shared" si="35"/>
        <v>-181.10000000000002</v>
      </c>
      <c r="BU50" s="145">
        <f t="shared" si="35"/>
        <v>-217.87800000000001</v>
      </c>
      <c r="BV50" s="145">
        <f t="shared" si="35"/>
        <v>-187.99300000000002</v>
      </c>
      <c r="BW50" s="145">
        <f t="shared" si="35"/>
        <v>-363.13400000000001</v>
      </c>
      <c r="BX50" s="145">
        <f t="shared" si="35"/>
        <v>-345.90900000000005</v>
      </c>
    </row>
    <row r="51" spans="1:77" x14ac:dyDescent="0.35">
      <c r="B51" s="126" t="str">
        <f>IF(Control!$D$5=1,"Interest Expenses","Juros sobre Empréstimos")</f>
        <v>Interest Expenses</v>
      </c>
      <c r="C51" s="146">
        <v>0</v>
      </c>
      <c r="D51" s="94">
        <v>-7.44</v>
      </c>
      <c r="E51" s="279" t="s">
        <v>3</v>
      </c>
      <c r="F51" s="279" t="s">
        <v>3</v>
      </c>
      <c r="G51" s="279" t="s">
        <v>3</v>
      </c>
      <c r="H51" s="94">
        <v>-8.4380000000000006</v>
      </c>
      <c r="I51" s="279" t="s">
        <v>3</v>
      </c>
      <c r="J51" s="279" t="s">
        <v>3</v>
      </c>
      <c r="K51" s="279" t="s">
        <v>3</v>
      </c>
      <c r="L51" s="94">
        <v>-12.811999999999999</v>
      </c>
      <c r="M51" s="279" t="s">
        <v>3</v>
      </c>
      <c r="N51" s="279" t="s">
        <v>3</v>
      </c>
      <c r="O51" s="279" t="s">
        <v>3</v>
      </c>
      <c r="P51" s="94">
        <v>-16.138000000000002</v>
      </c>
      <c r="Q51" s="159">
        <v>-40.768999999999998</v>
      </c>
      <c r="R51" s="64">
        <v>-71.638999999999996</v>
      </c>
      <c r="S51" s="279" t="s">
        <v>3</v>
      </c>
      <c r="T51" s="94">
        <v>-20.574000000000002</v>
      </c>
      <c r="U51" s="279" t="s">
        <v>3</v>
      </c>
      <c r="V51" s="279" t="s">
        <v>3</v>
      </c>
      <c r="W51" s="279" t="s">
        <v>3</v>
      </c>
      <c r="X51" s="94">
        <v>-26.818000000000001</v>
      </c>
      <c r="Y51" s="55">
        <v>-26.959999999999997</v>
      </c>
      <c r="Z51" s="64">
        <v>-31.550000000000008</v>
      </c>
      <c r="AA51" s="64">
        <f t="shared" ref="AA51:AA57" si="36">BP51-Z51-Y51-X51</f>
        <v>-35.463999999999999</v>
      </c>
      <c r="AB51" s="94">
        <v>-36.548999999999999</v>
      </c>
      <c r="AC51" s="55">
        <v>-75.960999999999999</v>
      </c>
      <c r="AD51" s="64">
        <v>-9.6660000000000039</v>
      </c>
      <c r="AE51" s="64">
        <v>-41.054999999999993</v>
      </c>
      <c r="AF51" s="94">
        <v>-39.755000000000003</v>
      </c>
      <c r="AG51" s="55">
        <v>-48.648999999999994</v>
      </c>
      <c r="AH51" s="64">
        <v>-47.903999999999996</v>
      </c>
      <c r="AI51" s="64">
        <v>-44.820999999999998</v>
      </c>
      <c r="AJ51" s="94">
        <v>-40.735999999999997</v>
      </c>
      <c r="AK51" s="55">
        <v>-44.455000000000005</v>
      </c>
      <c r="AL51" s="64">
        <v>-40.159999999999997</v>
      </c>
      <c r="AM51" s="64">
        <v>-46</v>
      </c>
      <c r="AN51" s="94">
        <v>-37.411999999999999</v>
      </c>
      <c r="AO51" s="55">
        <v>-32.678999999999995</v>
      </c>
      <c r="AP51" s="64">
        <v>-24.811000000000007</v>
      </c>
      <c r="AQ51" s="94">
        <v>-19.397999999999996</v>
      </c>
      <c r="AR51" s="94">
        <v>-19.399999999999999</v>
      </c>
      <c r="AS51" s="94">
        <v>-21.200000000000003</v>
      </c>
      <c r="AT51" s="94">
        <v>-19.399999999999999</v>
      </c>
      <c r="AU51" s="94">
        <v>-22.070999999999998</v>
      </c>
      <c r="AV51" s="94">
        <v>-27.099999999999998</v>
      </c>
      <c r="AW51" s="94">
        <v>-30.402999999999999</v>
      </c>
      <c r="AX51" s="94">
        <v>-27.235999999999997</v>
      </c>
      <c r="AY51" s="94">
        <v>-18.170999999999999</v>
      </c>
      <c r="AZ51" s="94">
        <v>-23.927</v>
      </c>
      <c r="BA51" s="94">
        <v>-23.457999999999998</v>
      </c>
      <c r="BB51" s="94">
        <v>-23.065999999999999</v>
      </c>
      <c r="BC51" s="94">
        <v>-19.34</v>
      </c>
      <c r="BD51" s="94">
        <v>-22.295999999999999</v>
      </c>
      <c r="BE51" s="94">
        <v>-33.603000000000002</v>
      </c>
      <c r="BF51" s="94">
        <v>-44.140999999999998</v>
      </c>
      <c r="BG51" s="94">
        <v>-79.13900000000001</v>
      </c>
      <c r="BH51" s="94">
        <v>-86.251000000000005</v>
      </c>
      <c r="BI51" s="94"/>
      <c r="BJ51" s="64">
        <v>-31.17</v>
      </c>
      <c r="BK51" s="64">
        <v>-45.716999999999999</v>
      </c>
      <c r="BL51" s="64">
        <v>-35.796999999999997</v>
      </c>
      <c r="BM51" s="92" t="s">
        <v>3</v>
      </c>
      <c r="BN51" s="92" t="s">
        <v>3</v>
      </c>
      <c r="BO51" s="92" t="s">
        <v>3</v>
      </c>
      <c r="BP51" s="64">
        <v>-120.792</v>
      </c>
      <c r="BQ51" s="64">
        <v>-163.23099999999999</v>
      </c>
      <c r="BR51" s="64">
        <v>-181.12899999999999</v>
      </c>
      <c r="BS51" s="64">
        <v>-171.38499999999999</v>
      </c>
      <c r="BT51" s="94">
        <v>-114.3</v>
      </c>
      <c r="BU51" s="94">
        <v>-82.070999999999998</v>
      </c>
      <c r="BV51" s="94">
        <v>-102.91</v>
      </c>
      <c r="BW51" s="94">
        <v>-89.789000000000001</v>
      </c>
      <c r="BX51" s="94">
        <f>-172.625-6.554</f>
        <v>-179.179</v>
      </c>
    </row>
    <row r="52" spans="1:77" x14ac:dyDescent="0.35">
      <c r="B52" s="126" t="str">
        <f>IF(Control!$D$5=1,"Derivatives","Derivativos")</f>
        <v>Derivatives</v>
      </c>
      <c r="C52" s="146">
        <v>0</v>
      </c>
      <c r="D52" s="94">
        <v>0</v>
      </c>
      <c r="E52" s="279" t="s">
        <v>3</v>
      </c>
      <c r="F52" s="279" t="s">
        <v>3</v>
      </c>
      <c r="G52" s="279" t="s">
        <v>3</v>
      </c>
      <c r="H52" s="94">
        <v>0</v>
      </c>
      <c r="I52" s="279" t="s">
        <v>3</v>
      </c>
      <c r="J52" s="279" t="s">
        <v>3</v>
      </c>
      <c r="K52" s="279" t="s">
        <v>3</v>
      </c>
      <c r="L52" s="94">
        <v>0</v>
      </c>
      <c r="M52" s="279" t="s">
        <v>3</v>
      </c>
      <c r="N52" s="279" t="s">
        <v>3</v>
      </c>
      <c r="O52" s="279" t="s">
        <v>3</v>
      </c>
      <c r="P52" s="94">
        <v>0</v>
      </c>
      <c r="Q52" s="159">
        <v>0</v>
      </c>
      <c r="R52" s="64">
        <v>0</v>
      </c>
      <c r="S52" s="279" t="s">
        <v>3</v>
      </c>
      <c r="T52" s="94">
        <v>0</v>
      </c>
      <c r="U52" s="279" t="s">
        <v>3</v>
      </c>
      <c r="V52" s="279" t="s">
        <v>3</v>
      </c>
      <c r="W52" s="279" t="s">
        <v>3</v>
      </c>
      <c r="X52" s="94">
        <v>0</v>
      </c>
      <c r="Y52" s="55">
        <v>0</v>
      </c>
      <c r="Z52" s="64">
        <v>0</v>
      </c>
      <c r="AA52" s="64">
        <f t="shared" si="36"/>
        <v>0</v>
      </c>
      <c r="AB52" s="94">
        <v>0</v>
      </c>
      <c r="AC52" s="55">
        <v>0</v>
      </c>
      <c r="AD52" s="64">
        <v>0</v>
      </c>
      <c r="AE52" s="64">
        <v>0</v>
      </c>
      <c r="AF52" s="94">
        <v>0</v>
      </c>
      <c r="AG52" s="55">
        <v>0</v>
      </c>
      <c r="AH52" s="64">
        <v>0</v>
      </c>
      <c r="AI52" s="64">
        <v>0</v>
      </c>
      <c r="AJ52" s="94">
        <v>0</v>
      </c>
      <c r="AK52" s="55">
        <v>0</v>
      </c>
      <c r="AL52" s="64">
        <v>-9.5679999999999996</v>
      </c>
      <c r="AM52" s="64">
        <v>-9.6999999999999993</v>
      </c>
      <c r="AN52" s="94">
        <v>-11.920999999999999</v>
      </c>
      <c r="AO52" s="55">
        <v>-13.125</v>
      </c>
      <c r="AP52" s="64">
        <v>-9.2830000000000013</v>
      </c>
      <c r="AQ52" s="94">
        <v>-6.9709999999999965</v>
      </c>
      <c r="AR52" s="94">
        <v>-6.7</v>
      </c>
      <c r="AS52" s="94">
        <v>-27.500000000000004</v>
      </c>
      <c r="AT52" s="94">
        <v>-35.700000000000003</v>
      </c>
      <c r="AU52" s="94">
        <v>-18.350999999999999</v>
      </c>
      <c r="AV52" s="94">
        <v>-15.3</v>
      </c>
      <c r="AW52" s="94">
        <v>-7.8840000000000003</v>
      </c>
      <c r="AX52" s="94">
        <v>-6.1649999999999991</v>
      </c>
      <c r="AY52" s="94">
        <v>-7.9720000000000004</v>
      </c>
      <c r="AZ52" s="94">
        <v>-32.74</v>
      </c>
      <c r="BA52" s="94">
        <v>-38.116999999999997</v>
      </c>
      <c r="BB52" s="94">
        <v>-71.313000000000002</v>
      </c>
      <c r="BC52" s="94">
        <v>-43.046999999999997</v>
      </c>
      <c r="BD52" s="94">
        <v>-30.03</v>
      </c>
      <c r="BE52" s="94">
        <v>-29.143000000000001</v>
      </c>
      <c r="BF52" s="94">
        <v>-23.753</v>
      </c>
      <c r="BG52" s="94">
        <v>-28.67</v>
      </c>
      <c r="BH52" s="94">
        <v>-29.927</v>
      </c>
      <c r="BI52" s="94"/>
      <c r="BJ52" s="64">
        <v>0</v>
      </c>
      <c r="BK52" s="64">
        <v>0</v>
      </c>
      <c r="BL52" s="64">
        <v>0</v>
      </c>
      <c r="BM52" s="92" t="s">
        <v>3</v>
      </c>
      <c r="BN52" s="92" t="s">
        <v>3</v>
      </c>
      <c r="BO52" s="92" t="s">
        <v>3</v>
      </c>
      <c r="BP52" s="64">
        <v>0</v>
      </c>
      <c r="BQ52" s="64">
        <v>0</v>
      </c>
      <c r="BR52" s="64">
        <v>0</v>
      </c>
      <c r="BS52" s="64">
        <v>-19.306999999999999</v>
      </c>
      <c r="BT52" s="94">
        <v>-41.3</v>
      </c>
      <c r="BU52" s="94">
        <v>-88.251000000000005</v>
      </c>
      <c r="BV52" s="94">
        <v>-37.320999999999998</v>
      </c>
      <c r="BW52" s="94">
        <v>-185.21700000000001</v>
      </c>
      <c r="BX52" s="94">
        <v>-111.596</v>
      </c>
    </row>
    <row r="53" spans="1:77" x14ac:dyDescent="0.35">
      <c r="B53" s="126" t="str">
        <f>IF(Control!$D$5=1,"Tax on Financial Transactions (IOF)","IOF")</f>
        <v>Tax on Financial Transactions (IOF)</v>
      </c>
      <c r="C53" s="146">
        <v>0</v>
      </c>
      <c r="D53" s="94">
        <v>-0.15</v>
      </c>
      <c r="E53" s="279" t="s">
        <v>3</v>
      </c>
      <c r="F53" s="279" t="s">
        <v>3</v>
      </c>
      <c r="G53" s="279" t="s">
        <v>3</v>
      </c>
      <c r="H53" s="94">
        <v>-0.16200000000000001</v>
      </c>
      <c r="I53" s="279" t="s">
        <v>3</v>
      </c>
      <c r="J53" s="279" t="s">
        <v>3</v>
      </c>
      <c r="K53" s="279" t="s">
        <v>3</v>
      </c>
      <c r="L53" s="94">
        <v>-9.6000000000000002E-2</v>
      </c>
      <c r="M53" s="279" t="s">
        <v>3</v>
      </c>
      <c r="N53" s="279" t="s">
        <v>3</v>
      </c>
      <c r="O53" s="279" t="s">
        <v>3</v>
      </c>
      <c r="P53" s="94">
        <v>-0.254</v>
      </c>
      <c r="Q53" s="159">
        <v>-0.17299999999999999</v>
      </c>
      <c r="R53" s="64">
        <v>0</v>
      </c>
      <c r="S53" s="279" t="s">
        <v>3</v>
      </c>
      <c r="T53" s="94">
        <v>-0.13400000000000001</v>
      </c>
      <c r="U53" s="279" t="s">
        <v>3</v>
      </c>
      <c r="V53" s="279" t="s">
        <v>3</v>
      </c>
      <c r="W53" s="279" t="s">
        <v>3</v>
      </c>
      <c r="X53" s="94">
        <v>-0.16500000000000001</v>
      </c>
      <c r="Y53" s="55">
        <v>-2.16</v>
      </c>
      <c r="Z53" s="64">
        <v>-2.9999999999996974E-3</v>
      </c>
      <c r="AA53" s="64">
        <f t="shared" si="36"/>
        <v>-9.6000000000000113E-2</v>
      </c>
      <c r="AB53" s="94">
        <v>-8.1000000000000003E-2</v>
      </c>
      <c r="AC53" s="55">
        <v>-0.23499999999999999</v>
      </c>
      <c r="AD53" s="64">
        <v>-0.2</v>
      </c>
      <c r="AE53" s="64">
        <v>-6.1999999999999944E-2</v>
      </c>
      <c r="AF53" s="94">
        <v>-0.02</v>
      </c>
      <c r="AG53" s="55">
        <v>0.02</v>
      </c>
      <c r="AH53" s="64">
        <v>0</v>
      </c>
      <c r="AI53" s="64">
        <v>0</v>
      </c>
      <c r="AJ53" s="94">
        <v>0</v>
      </c>
      <c r="AK53" s="55">
        <v>0</v>
      </c>
      <c r="AL53" s="64">
        <v>0</v>
      </c>
      <c r="AM53" s="64">
        <v>0</v>
      </c>
      <c r="AN53" s="94">
        <v>0</v>
      </c>
      <c r="AO53" s="55">
        <v>0</v>
      </c>
      <c r="AP53" s="6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0</v>
      </c>
      <c r="AW53" s="94">
        <v>0</v>
      </c>
      <c r="AX53" s="94">
        <v>0</v>
      </c>
      <c r="AY53" s="94">
        <v>0</v>
      </c>
      <c r="AZ53" s="94">
        <v>0</v>
      </c>
      <c r="BA53" s="94">
        <v>0</v>
      </c>
      <c r="BB53" s="94">
        <v>0</v>
      </c>
      <c r="BC53" s="94">
        <v>0</v>
      </c>
      <c r="BD53" s="94">
        <v>0</v>
      </c>
      <c r="BE53" s="94">
        <v>0</v>
      </c>
      <c r="BF53" s="94">
        <v>0</v>
      </c>
      <c r="BG53" s="94">
        <v>0</v>
      </c>
      <c r="BH53" s="94">
        <v>0</v>
      </c>
      <c r="BI53" s="94"/>
      <c r="BJ53" s="64">
        <v>-0.12</v>
      </c>
      <c r="BK53" s="64">
        <v>-0.41299999999999998</v>
      </c>
      <c r="BL53" s="64">
        <v>-1.1739999999999999</v>
      </c>
      <c r="BM53" s="92" t="s">
        <v>3</v>
      </c>
      <c r="BN53" s="92" t="s">
        <v>3</v>
      </c>
      <c r="BO53" s="92" t="s">
        <v>3</v>
      </c>
      <c r="BP53" s="64">
        <v>-2.4239999999999999</v>
      </c>
      <c r="BQ53" s="64">
        <v>-0.57799999999999996</v>
      </c>
      <c r="BR53" s="64">
        <v>0</v>
      </c>
      <c r="BS53" s="64">
        <v>0</v>
      </c>
      <c r="BT53" s="94">
        <v>0</v>
      </c>
      <c r="BU53" s="94">
        <v>0</v>
      </c>
      <c r="BV53" s="94">
        <v>0</v>
      </c>
      <c r="BW53" s="94">
        <v>0</v>
      </c>
      <c r="BX53" s="94">
        <v>0</v>
      </c>
    </row>
    <row r="54" spans="1:77" x14ac:dyDescent="0.35">
      <c r="B54" s="126" t="str">
        <f>IF(Control!$D$5=1,"Foreign Exchange Variation","Variação Cambial")</f>
        <v>Foreign Exchange Variation</v>
      </c>
      <c r="C54" s="146">
        <v>0</v>
      </c>
      <c r="D54" s="94">
        <v>1.23</v>
      </c>
      <c r="E54" s="279" t="s">
        <v>3</v>
      </c>
      <c r="F54" s="279" t="s">
        <v>3</v>
      </c>
      <c r="G54" s="279" t="s">
        <v>3</v>
      </c>
      <c r="H54" s="94">
        <v>0</v>
      </c>
      <c r="I54" s="279" t="s">
        <v>3</v>
      </c>
      <c r="J54" s="279" t="s">
        <v>3</v>
      </c>
      <c r="K54" s="279" t="s">
        <v>3</v>
      </c>
      <c r="L54" s="94">
        <v>-0.15</v>
      </c>
      <c r="M54" s="279" t="s">
        <v>3</v>
      </c>
      <c r="N54" s="279" t="s">
        <v>3</v>
      </c>
      <c r="O54" s="279" t="s">
        <v>3</v>
      </c>
      <c r="P54" s="94">
        <v>-0.33900000000000002</v>
      </c>
      <c r="Q54" s="159">
        <v>-36.956000000000003</v>
      </c>
      <c r="R54" s="64">
        <v>-1.3180000000000001</v>
      </c>
      <c r="S54" s="279" t="s">
        <v>3</v>
      </c>
      <c r="T54" s="94">
        <v>-30.939</v>
      </c>
      <c r="U54" s="279" t="s">
        <v>3</v>
      </c>
      <c r="V54" s="279" t="s">
        <v>3</v>
      </c>
      <c r="W54" s="279" t="s">
        <v>3</v>
      </c>
      <c r="X54" s="94">
        <v>-12.09</v>
      </c>
      <c r="Y54" s="55">
        <v>-14.876999999999999</v>
      </c>
      <c r="Z54" s="64">
        <v>1.0189999999999984</v>
      </c>
      <c r="AA54" s="64">
        <f t="shared" si="36"/>
        <v>-2.472999999999999</v>
      </c>
      <c r="AB54" s="94">
        <v>-1.401</v>
      </c>
      <c r="AC54" s="55">
        <v>-3.9089999999999998</v>
      </c>
      <c r="AD54" s="64">
        <v>-33.076000000000001</v>
      </c>
      <c r="AE54" s="64">
        <v>-3.2869999999999995</v>
      </c>
      <c r="AF54" s="94">
        <v>-4.8540000000000001</v>
      </c>
      <c r="AG54" s="55">
        <v>-4.6789999999999994</v>
      </c>
      <c r="AH54" s="64">
        <v>-4.2370000000000001</v>
      </c>
      <c r="AI54" s="64">
        <v>-7.4439999999999991</v>
      </c>
      <c r="AJ54" s="94">
        <v>-3.8029999999999999</v>
      </c>
      <c r="AK54" s="55">
        <v>-4.0759999999999996</v>
      </c>
      <c r="AL54" s="64">
        <v>-1.3030000000000008</v>
      </c>
      <c r="AM54" s="64">
        <v>-1.9</v>
      </c>
      <c r="AN54" s="94">
        <v>-0.93500000000000005</v>
      </c>
      <c r="AO54" s="55">
        <v>-0.97399999999999998</v>
      </c>
      <c r="AP54" s="64">
        <v>-0.82000000000000006</v>
      </c>
      <c r="AQ54" s="94">
        <v>-2.6710000000000003</v>
      </c>
      <c r="AR54" s="94">
        <v>-6.1</v>
      </c>
      <c r="AS54" s="94">
        <v>-11.500000000000002</v>
      </c>
      <c r="AT54" s="94">
        <v>-2.6</v>
      </c>
      <c r="AU54" s="94">
        <v>-1.1289999999999978</v>
      </c>
      <c r="AV54" s="94">
        <v>-1.6</v>
      </c>
      <c r="AW54" s="94">
        <v>-1.496</v>
      </c>
      <c r="AX54" s="94">
        <v>-0.81099999999999994</v>
      </c>
      <c r="AY54" s="94">
        <v>-9.09</v>
      </c>
      <c r="AZ54" s="94">
        <v>-22.824999999999999</v>
      </c>
      <c r="BA54" s="94">
        <v>-9.6449999999999996</v>
      </c>
      <c r="BB54" s="94">
        <v>-6.1040000000000001</v>
      </c>
      <c r="BC54" s="94">
        <v>-9.0500000000000007</v>
      </c>
      <c r="BD54" s="94">
        <v>-4.7709999999999999</v>
      </c>
      <c r="BE54" s="94">
        <v>-6.1429999999999998</v>
      </c>
      <c r="BF54" s="94">
        <v>-12.68</v>
      </c>
      <c r="BG54" s="94">
        <v>-4.9940000000000007</v>
      </c>
      <c r="BH54" s="94">
        <v>-25.645</v>
      </c>
      <c r="BI54" s="94"/>
      <c r="BJ54" s="64">
        <v>-1.633</v>
      </c>
      <c r="BK54" s="64">
        <v>-25.170999999999999</v>
      </c>
      <c r="BL54" s="64">
        <v>0</v>
      </c>
      <c r="BM54" s="92" t="s">
        <v>3</v>
      </c>
      <c r="BN54" s="92" t="s">
        <v>3</v>
      </c>
      <c r="BO54" s="92" t="s">
        <v>3</v>
      </c>
      <c r="BP54" s="64">
        <v>-28.420999999999999</v>
      </c>
      <c r="BQ54" s="64">
        <v>-7.0069999999999997</v>
      </c>
      <c r="BR54" s="64">
        <v>-21.213999999999999</v>
      </c>
      <c r="BS54" s="64">
        <v>-11.099</v>
      </c>
      <c r="BT54" s="94">
        <v>-5.4</v>
      </c>
      <c r="BU54" s="94">
        <v>-21.329000000000001</v>
      </c>
      <c r="BV54" s="94">
        <v>-12.997</v>
      </c>
      <c r="BW54" s="94">
        <v>-47.622999999999998</v>
      </c>
      <c r="BX54" s="94">
        <v>-28.588000000000001</v>
      </c>
    </row>
    <row r="55" spans="1:77" x14ac:dyDescent="0.35">
      <c r="B55" s="126" t="str">
        <f>IF(Control!$D$5=1,"Monetary Variation","Variação Monetária")</f>
        <v>Monetary Variation</v>
      </c>
      <c r="C55" s="146">
        <v>0</v>
      </c>
      <c r="D55" s="94">
        <v>0</v>
      </c>
      <c r="E55" s="279" t="s">
        <v>3</v>
      </c>
      <c r="F55" s="279" t="s">
        <v>3</v>
      </c>
      <c r="G55" s="279" t="s">
        <v>3</v>
      </c>
      <c r="H55" s="94">
        <v>0</v>
      </c>
      <c r="I55" s="279" t="s">
        <v>3</v>
      </c>
      <c r="J55" s="279" t="s">
        <v>3</v>
      </c>
      <c r="K55" s="279" t="s">
        <v>3</v>
      </c>
      <c r="L55" s="94">
        <v>0</v>
      </c>
      <c r="M55" s="279" t="s">
        <v>3</v>
      </c>
      <c r="N55" s="279" t="s">
        <v>3</v>
      </c>
      <c r="O55" s="279" t="s">
        <v>3</v>
      </c>
      <c r="P55" s="94">
        <v>0</v>
      </c>
      <c r="Q55" s="159">
        <v>-8.81</v>
      </c>
      <c r="R55" s="64">
        <v>-0.51700000000000002</v>
      </c>
      <c r="S55" s="279" t="s">
        <v>3</v>
      </c>
      <c r="T55" s="94">
        <v>0</v>
      </c>
      <c r="U55" s="279" t="s">
        <v>3</v>
      </c>
      <c r="V55" s="279" t="s">
        <v>3</v>
      </c>
      <c r="W55" s="279" t="s">
        <v>3</v>
      </c>
      <c r="X55" s="94">
        <v>-1.661</v>
      </c>
      <c r="Y55" s="55">
        <v>-4.3569999999999993</v>
      </c>
      <c r="Z55" s="64">
        <v>-9.6870000000000012</v>
      </c>
      <c r="AA55" s="64">
        <f t="shared" si="36"/>
        <v>-0.83599999999999985</v>
      </c>
      <c r="AB55" s="94">
        <v>-2.0659999999999998</v>
      </c>
      <c r="AC55" s="55">
        <v>-4.2610000000000001</v>
      </c>
      <c r="AD55" s="64">
        <v>-10.336000000000002</v>
      </c>
      <c r="AE55" s="64">
        <v>-2.1890000000000001</v>
      </c>
      <c r="AF55" s="94">
        <v>-5.0789999999999997</v>
      </c>
      <c r="AG55" s="55">
        <v>-1.351</v>
      </c>
      <c r="AH55" s="64">
        <v>-3.7560000000000002</v>
      </c>
      <c r="AI55" s="64">
        <v>-1.5380000000000003</v>
      </c>
      <c r="AJ55" s="94">
        <v>-1.1990000000000001</v>
      </c>
      <c r="AK55" s="55">
        <v>-1.2350000000000001</v>
      </c>
      <c r="AL55" s="64">
        <v>-1.6559999999999997</v>
      </c>
      <c r="AM55" s="64">
        <v>-1.2</v>
      </c>
      <c r="AN55" s="94">
        <v>-0.76</v>
      </c>
      <c r="AO55" s="55">
        <v>-0.76600000000000001</v>
      </c>
      <c r="AP55" s="64">
        <v>-0.7739999999999998</v>
      </c>
      <c r="AQ55" s="94">
        <v>0</v>
      </c>
      <c r="AR55" s="94">
        <v>-7</v>
      </c>
      <c r="AS55" s="94">
        <v>0.20000000000000018</v>
      </c>
      <c r="AT55" s="94">
        <v>0</v>
      </c>
      <c r="AU55" s="94">
        <v>-1.2060000000000004</v>
      </c>
      <c r="AV55" s="94">
        <v>-2.7</v>
      </c>
      <c r="AW55" s="94">
        <v>-2.6440000000000001</v>
      </c>
      <c r="AX55" s="94">
        <v>-2.8359999999999994</v>
      </c>
      <c r="AY55" s="94">
        <v>-4.8280000000000003</v>
      </c>
      <c r="AZ55" s="94">
        <v>-1.7350000000000001</v>
      </c>
      <c r="BA55" s="94">
        <v>1.5760000000000001</v>
      </c>
      <c r="BB55" s="94">
        <v>-0.92300000000000004</v>
      </c>
      <c r="BC55" s="94">
        <v>-1.2310000000000001</v>
      </c>
      <c r="BD55" s="94">
        <v>-0.53800000000000003</v>
      </c>
      <c r="BE55" s="94">
        <v>-0.26500000000000001</v>
      </c>
      <c r="BF55" s="94">
        <v>-1.3879999999999999</v>
      </c>
      <c r="BG55" s="94">
        <v>-2.5460000000000003</v>
      </c>
      <c r="BH55" s="94">
        <v>-2.7850000000000001</v>
      </c>
      <c r="BI55" s="94"/>
      <c r="BJ55" s="64">
        <v>0</v>
      </c>
      <c r="BK55" s="64">
        <v>0</v>
      </c>
      <c r="BL55" s="64">
        <v>0</v>
      </c>
      <c r="BM55" s="92" t="s">
        <v>3</v>
      </c>
      <c r="BN55" s="92" t="s">
        <v>3</v>
      </c>
      <c r="BO55" s="92" t="s">
        <v>3</v>
      </c>
      <c r="BP55" s="64">
        <v>-16.541</v>
      </c>
      <c r="BQ55" s="64">
        <v>-18.852</v>
      </c>
      <c r="BR55" s="64">
        <v>-11.724</v>
      </c>
      <c r="BS55" s="64">
        <v>-5.3380000000000001</v>
      </c>
      <c r="BT55" s="94">
        <v>-2.2999999999999998</v>
      </c>
      <c r="BU55" s="94">
        <v>-8.0060000000000002</v>
      </c>
      <c r="BV55" s="94">
        <v>-13.007999999999999</v>
      </c>
      <c r="BW55" s="94">
        <v>-2.3140000000000001</v>
      </c>
      <c r="BX55" s="94">
        <v>-4.7370000000000001</v>
      </c>
    </row>
    <row r="56" spans="1:77" x14ac:dyDescent="0.35">
      <c r="B56" s="126" t="str">
        <f>IF(Control!$D$5=1,"Rentals Interest","Juros sob Arrendamentos")</f>
        <v>Rentals Interest</v>
      </c>
      <c r="C56" s="146">
        <v>0</v>
      </c>
      <c r="D56" s="94">
        <v>-0.34200000000000003</v>
      </c>
      <c r="E56" s="279" t="s">
        <v>3</v>
      </c>
      <c r="F56" s="279" t="s">
        <v>3</v>
      </c>
      <c r="G56" s="279" t="s">
        <v>3</v>
      </c>
      <c r="H56" s="94">
        <v>-1.216</v>
      </c>
      <c r="I56" s="279" t="s">
        <v>3</v>
      </c>
      <c r="J56" s="279" t="s">
        <v>3</v>
      </c>
      <c r="K56" s="279" t="s">
        <v>3</v>
      </c>
      <c r="L56" s="94">
        <v>-0.747</v>
      </c>
      <c r="M56" s="279" t="s">
        <v>3</v>
      </c>
      <c r="N56" s="279" t="s">
        <v>3</v>
      </c>
      <c r="O56" s="279" t="s">
        <v>3</v>
      </c>
      <c r="P56" s="94">
        <v>-0.69899999999999995</v>
      </c>
      <c r="Q56" s="159">
        <v>-2.8149999999999999</v>
      </c>
      <c r="R56" s="64">
        <v>-2.915</v>
      </c>
      <c r="S56" s="279" t="s">
        <v>3</v>
      </c>
      <c r="T56" s="94">
        <v>-4.1619999999999999</v>
      </c>
      <c r="U56" s="279" t="s">
        <v>3</v>
      </c>
      <c r="V56" s="279" t="s">
        <v>3</v>
      </c>
      <c r="W56" s="279" t="s">
        <v>3</v>
      </c>
      <c r="X56" s="94">
        <v>-1.494</v>
      </c>
      <c r="Y56" s="55">
        <v>-2.3949999999999996</v>
      </c>
      <c r="Z56" s="64">
        <v>-2.2500000000000009</v>
      </c>
      <c r="AA56" s="64">
        <f t="shared" si="36"/>
        <v>-1.8579999999999994</v>
      </c>
      <c r="AB56" s="94">
        <v>-2.3980000000000001</v>
      </c>
      <c r="AC56" s="55">
        <v>-4.8860000000000001</v>
      </c>
      <c r="AD56" s="64">
        <v>-0.31000000000000005</v>
      </c>
      <c r="AE56" s="64">
        <v>-2.3229999999999995</v>
      </c>
      <c r="AF56" s="94">
        <v>-2.073</v>
      </c>
      <c r="AG56" s="55">
        <v>0</v>
      </c>
      <c r="AH56" s="64">
        <v>2.073</v>
      </c>
      <c r="AI56" s="64">
        <v>0</v>
      </c>
      <c r="AJ56" s="94">
        <v>0</v>
      </c>
      <c r="AK56" s="55">
        <v>0</v>
      </c>
      <c r="AL56" s="64">
        <v>0</v>
      </c>
      <c r="AM56" s="64">
        <v>0</v>
      </c>
      <c r="AN56" s="94">
        <v>0</v>
      </c>
      <c r="AO56" s="55">
        <v>0</v>
      </c>
      <c r="AP56" s="6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-1.3180000000000001</v>
      </c>
      <c r="AX56" s="94">
        <v>-1.641</v>
      </c>
      <c r="AY56" s="94">
        <v>-1.3879999999999999</v>
      </c>
      <c r="AZ56" s="94">
        <v>-1.274</v>
      </c>
      <c r="BA56" s="94">
        <v>-1.2869999999999999</v>
      </c>
      <c r="BB56" s="94">
        <v>-1.7989999999999999</v>
      </c>
      <c r="BC56" s="94">
        <v>-1.631</v>
      </c>
      <c r="BD56" s="94">
        <v>-1.5580000000000001</v>
      </c>
      <c r="BE56" s="94">
        <v>-1.5780000000000001</v>
      </c>
      <c r="BF56" s="94">
        <v>-1.575</v>
      </c>
      <c r="BG56" s="94">
        <v>4.7110000000000003</v>
      </c>
      <c r="BH56" s="94">
        <v>-2.3719999999999999</v>
      </c>
      <c r="BI56" s="94"/>
      <c r="BJ56" s="64">
        <v>-5.2839999999999998</v>
      </c>
      <c r="BK56" s="64">
        <v>-5.5220000000000002</v>
      </c>
      <c r="BL56" s="64">
        <v>-5.5279999999999996</v>
      </c>
      <c r="BM56" s="92" t="s">
        <v>3</v>
      </c>
      <c r="BN56" s="92" t="s">
        <v>3</v>
      </c>
      <c r="BO56" s="92" t="s">
        <v>3</v>
      </c>
      <c r="BP56" s="64">
        <v>-7.9969999999999999</v>
      </c>
      <c r="BQ56" s="64">
        <v>-9.9169999999999998</v>
      </c>
      <c r="BR56" s="64">
        <v>0</v>
      </c>
      <c r="BS56" s="64">
        <v>0</v>
      </c>
      <c r="BT56" s="94">
        <v>0</v>
      </c>
      <c r="BU56" s="94">
        <v>0</v>
      </c>
      <c r="BV56" s="94">
        <v>-4.3469999999999995</v>
      </c>
      <c r="BW56" s="94">
        <v>-5.9909999999999997</v>
      </c>
      <c r="BX56" s="94">
        <v>0</v>
      </c>
    </row>
    <row r="57" spans="1:77" x14ac:dyDescent="0.35">
      <c r="A57" s="216"/>
      <c r="B57" s="126" t="str">
        <f>IF(Control!$D$5=1,"Others","Outras")</f>
        <v>Others</v>
      </c>
      <c r="C57" s="146">
        <v>0</v>
      </c>
      <c r="D57" s="94">
        <v>-0.35699999999999998</v>
      </c>
      <c r="E57" s="279" t="s">
        <v>3</v>
      </c>
      <c r="F57" s="279" t="s">
        <v>3</v>
      </c>
      <c r="G57" s="279" t="s">
        <v>3</v>
      </c>
      <c r="H57" s="94">
        <v>-0.29499999999999998</v>
      </c>
      <c r="I57" s="279" t="s">
        <v>3</v>
      </c>
      <c r="J57" s="279" t="s">
        <v>3</v>
      </c>
      <c r="K57" s="279" t="s">
        <v>3</v>
      </c>
      <c r="L57" s="94">
        <v>-0.45</v>
      </c>
      <c r="M57" s="279" t="s">
        <v>3</v>
      </c>
      <c r="N57" s="279" t="s">
        <v>3</v>
      </c>
      <c r="O57" s="279" t="s">
        <v>3</v>
      </c>
      <c r="P57" s="94">
        <v>-0.73299999999999998</v>
      </c>
      <c r="Q57" s="159">
        <v>-4.1139999999999999</v>
      </c>
      <c r="R57" s="64">
        <v>-5.5970000000000004</v>
      </c>
      <c r="S57" s="279" t="s">
        <v>3</v>
      </c>
      <c r="T57" s="94">
        <v>-9.4160000000000004</v>
      </c>
      <c r="U57" s="279" t="s">
        <v>3</v>
      </c>
      <c r="V57" s="279" t="s">
        <v>3</v>
      </c>
      <c r="W57" s="279" t="s">
        <v>3</v>
      </c>
      <c r="X57" s="94">
        <v>-1.258</v>
      </c>
      <c r="Y57" s="55">
        <v>-2.25</v>
      </c>
      <c r="Z57" s="64">
        <v>-1.9390000000000001</v>
      </c>
      <c r="AA57" s="64">
        <f t="shared" si="36"/>
        <v>-3.8319999999999999</v>
      </c>
      <c r="AB57" s="94">
        <v>-1.27</v>
      </c>
      <c r="AC57" s="55">
        <v>-6.4109999999999996</v>
      </c>
      <c r="AD57" s="64">
        <v>-7.1000000000000005</v>
      </c>
      <c r="AE57" s="64">
        <v>-12.734999999999999</v>
      </c>
      <c r="AF57" s="94">
        <v>-2.63</v>
      </c>
      <c r="AG57" s="55">
        <v>-3.5590000000000002</v>
      </c>
      <c r="AH57" s="64">
        <v>-3.6219999999999999</v>
      </c>
      <c r="AI57" s="64">
        <v>-4.0269999999999992</v>
      </c>
      <c r="AJ57" s="94">
        <v>-3.7480000000000002</v>
      </c>
      <c r="AK57" s="55">
        <v>-17.698999999999998</v>
      </c>
      <c r="AL57" s="64">
        <v>7.7219999999999995</v>
      </c>
      <c r="AM57" s="64">
        <v>-1.2</v>
      </c>
      <c r="AN57" s="94">
        <v>-3.6640000000000001</v>
      </c>
      <c r="AO57" s="55">
        <v>-4.8130000000000006</v>
      </c>
      <c r="AP57" s="64">
        <v>-4.7439999999999998</v>
      </c>
      <c r="AQ57" s="94">
        <v>-4.5790000000000006</v>
      </c>
      <c r="AR57" s="94">
        <v>-3.5</v>
      </c>
      <c r="AS57" s="94">
        <v>-4.5999999999999996</v>
      </c>
      <c r="AT57" s="94">
        <v>-5.8</v>
      </c>
      <c r="AU57" s="94">
        <v>-4.3210000000000015</v>
      </c>
      <c r="AV57" s="94">
        <v>-3.9</v>
      </c>
      <c r="AW57" s="94">
        <v>-5.4370000000000003</v>
      </c>
      <c r="AX57" s="94">
        <v>-4.6580000000000013</v>
      </c>
      <c r="AY57" s="94">
        <v>-3.415</v>
      </c>
      <c r="AZ57" s="94">
        <v>-6.6609999999999996</v>
      </c>
      <c r="BA57" s="94">
        <v>-8.1369999999999987</v>
      </c>
      <c r="BB57" s="94">
        <v>-7.5</v>
      </c>
      <c r="BC57" s="94">
        <v>-9.9619999999999997</v>
      </c>
      <c r="BD57" s="94">
        <v>-5.1829999999999998</v>
      </c>
      <c r="BE57" s="94">
        <v>-5.9779999999999998</v>
      </c>
      <c r="BF57" s="94">
        <v>-4.5579999999999998</v>
      </c>
      <c r="BG57" s="94">
        <v>-6.0900000000000016</v>
      </c>
      <c r="BH57" s="94">
        <v>-6.5279999999999996</v>
      </c>
      <c r="BI57" s="94"/>
      <c r="BJ57" s="64">
        <v>-6.968</v>
      </c>
      <c r="BK57" s="64">
        <v>-2.7909999999999999</v>
      </c>
      <c r="BL57" s="64">
        <v>-2.2850000000000001</v>
      </c>
      <c r="BM57" s="92" t="s">
        <v>3</v>
      </c>
      <c r="BN57" s="92" t="s">
        <v>3</v>
      </c>
      <c r="BO57" s="92" t="s">
        <v>3</v>
      </c>
      <c r="BP57" s="64">
        <v>-9.2789999999999999</v>
      </c>
      <c r="BQ57" s="64">
        <v>-4.4820000000000002</v>
      </c>
      <c r="BR57" s="64">
        <v>-13.837999999999999</v>
      </c>
      <c r="BS57" s="64">
        <v>-17.757000000000001</v>
      </c>
      <c r="BT57" s="94">
        <v>-17.8</v>
      </c>
      <c r="BU57" s="94">
        <v>-18.221</v>
      </c>
      <c r="BV57" s="94">
        <v>-17.41</v>
      </c>
      <c r="BW57" s="94">
        <v>-32.200000000000003</v>
      </c>
      <c r="BX57" s="94">
        <v>-21.809000000000001</v>
      </c>
    </row>
    <row r="58" spans="1:77" x14ac:dyDescent="0.35">
      <c r="C58" s="158"/>
      <c r="D58" s="158"/>
      <c r="F58" s="56"/>
      <c r="G58" s="56"/>
      <c r="H58" s="158"/>
      <c r="I58" s="56"/>
      <c r="J58" s="56"/>
      <c r="K58" s="56"/>
      <c r="L58" s="158"/>
      <c r="M58" s="56"/>
      <c r="N58" s="56"/>
      <c r="O58" s="56"/>
      <c r="P58" s="158"/>
      <c r="R58" s="56"/>
      <c r="S58" s="56"/>
      <c r="T58" s="158"/>
      <c r="U58" s="56"/>
      <c r="V58" s="56"/>
      <c r="W58" s="56"/>
      <c r="AO58" s="56"/>
      <c r="BJ58" s="7"/>
      <c r="BK58" s="7"/>
      <c r="BL58" s="7"/>
      <c r="BT58" s="138"/>
      <c r="BU58" s="138"/>
      <c r="BV58" s="138"/>
      <c r="BW58" s="138"/>
      <c r="BX58" s="138"/>
    </row>
    <row r="59" spans="1:77" x14ac:dyDescent="0.35">
      <c r="B59" s="96" t="str">
        <f>IF(Control!$D$5=1,"Finacial Income","Receitas Financeiras")</f>
        <v>Finacial Income</v>
      </c>
      <c r="C59" s="146">
        <v>0</v>
      </c>
      <c r="D59" s="93">
        <f t="shared" ref="D59:AL59" si="37">SUM(D60:D67)</f>
        <v>3.25</v>
      </c>
      <c r="E59" s="146">
        <f t="shared" si="37"/>
        <v>0</v>
      </c>
      <c r="F59" s="145">
        <f t="shared" si="37"/>
        <v>0</v>
      </c>
      <c r="G59" s="145">
        <f t="shared" si="37"/>
        <v>0</v>
      </c>
      <c r="H59" s="93">
        <f t="shared" si="37"/>
        <v>11.552999999999999</v>
      </c>
      <c r="I59" s="145">
        <f t="shared" si="37"/>
        <v>0</v>
      </c>
      <c r="J59" s="145">
        <f t="shared" si="37"/>
        <v>0</v>
      </c>
      <c r="K59" s="145">
        <f t="shared" si="37"/>
        <v>0</v>
      </c>
      <c r="L59" s="93">
        <f t="shared" si="37"/>
        <v>7.8040000000000003</v>
      </c>
      <c r="M59" s="145">
        <f t="shared" si="37"/>
        <v>0</v>
      </c>
      <c r="N59" s="145">
        <f t="shared" si="37"/>
        <v>0</v>
      </c>
      <c r="O59" s="145">
        <f t="shared" si="37"/>
        <v>0</v>
      </c>
      <c r="P59" s="93">
        <f t="shared" si="37"/>
        <v>9.58</v>
      </c>
      <c r="Q59" s="146">
        <f t="shared" si="37"/>
        <v>60.606000000000002</v>
      </c>
      <c r="R59" s="145">
        <f t="shared" si="37"/>
        <v>28.584</v>
      </c>
      <c r="S59" s="145">
        <f t="shared" si="37"/>
        <v>0</v>
      </c>
      <c r="T59" s="93">
        <f t="shared" si="37"/>
        <v>45.515000000000001</v>
      </c>
      <c r="U59" s="145">
        <f t="shared" si="37"/>
        <v>0</v>
      </c>
      <c r="V59" s="145">
        <f t="shared" si="37"/>
        <v>0</v>
      </c>
      <c r="W59" s="145">
        <f t="shared" si="37"/>
        <v>0</v>
      </c>
      <c r="X59" s="93">
        <f t="shared" si="37"/>
        <v>22.260999999999999</v>
      </c>
      <c r="Y59" s="146">
        <f t="shared" si="37"/>
        <v>18.999999999999996</v>
      </c>
      <c r="Z59" s="145">
        <f t="shared" si="37"/>
        <v>12.12</v>
      </c>
      <c r="AA59" s="145">
        <f t="shared" si="37"/>
        <v>12.481000000000002</v>
      </c>
      <c r="AB59" s="93">
        <f t="shared" si="37"/>
        <v>14.100000000000001</v>
      </c>
      <c r="AC59" s="146">
        <f t="shared" si="37"/>
        <v>62.706000000000003</v>
      </c>
      <c r="AD59" s="145">
        <f t="shared" si="37"/>
        <v>26.033999999999999</v>
      </c>
      <c r="AE59" s="145">
        <f t="shared" si="37"/>
        <v>30.714000000000006</v>
      </c>
      <c r="AF59" s="93">
        <f t="shared" si="37"/>
        <v>27.135999999999999</v>
      </c>
      <c r="AG59" s="146">
        <f t="shared" si="37"/>
        <v>15.81</v>
      </c>
      <c r="AH59" s="145">
        <f t="shared" si="37"/>
        <v>13.136000000000001</v>
      </c>
      <c r="AI59" s="145">
        <f t="shared" si="37"/>
        <v>15.878</v>
      </c>
      <c r="AJ59" s="93">
        <f t="shared" si="37"/>
        <v>16.773</v>
      </c>
      <c r="AK59" s="146">
        <f t="shared" si="37"/>
        <v>14.808999999999999</v>
      </c>
      <c r="AL59" s="145">
        <f t="shared" si="37"/>
        <v>11.648999999999999</v>
      </c>
      <c r="AM59" s="145">
        <f t="shared" ref="AM59:AS59" si="38">SUM(AM60:AM67)</f>
        <v>23.599999999999998</v>
      </c>
      <c r="AN59" s="93">
        <f t="shared" si="38"/>
        <v>31.895</v>
      </c>
      <c r="AO59" s="146">
        <f t="shared" si="38"/>
        <v>26.329000000000001</v>
      </c>
      <c r="AP59" s="145">
        <f t="shared" si="38"/>
        <v>27.874999999999996</v>
      </c>
      <c r="AQ59" s="146">
        <f t="shared" si="38"/>
        <v>20.600999999999996</v>
      </c>
      <c r="AR59" s="146">
        <f t="shared" si="38"/>
        <v>30.6</v>
      </c>
      <c r="AS59" s="146">
        <f t="shared" si="38"/>
        <v>58.400000000000006</v>
      </c>
      <c r="AT59" s="146">
        <f t="shared" ref="AT59:AY59" si="39">SUM(AT60:AT67)</f>
        <v>82.3</v>
      </c>
      <c r="AU59" s="146">
        <f t="shared" si="39"/>
        <v>30.609000000000002</v>
      </c>
      <c r="AV59" s="146">
        <f t="shared" si="39"/>
        <v>39.809999999999995</v>
      </c>
      <c r="AW59" s="146">
        <f t="shared" si="39"/>
        <v>30.975999999999996</v>
      </c>
      <c r="AX59" s="146">
        <f t="shared" si="39"/>
        <v>23.942</v>
      </c>
      <c r="AY59" s="146">
        <f t="shared" si="39"/>
        <v>32.53</v>
      </c>
      <c r="AZ59" s="146">
        <f t="shared" ref="AZ59:BF59" si="40">SUM(AZ60:AZ67)</f>
        <v>72.202999999999989</v>
      </c>
      <c r="BA59" s="146">
        <f t="shared" si="40"/>
        <v>64.753</v>
      </c>
      <c r="BB59" s="146">
        <f t="shared" si="40"/>
        <v>81.323999999999998</v>
      </c>
      <c r="BC59" s="146">
        <f t="shared" si="40"/>
        <v>59.832000000000008</v>
      </c>
      <c r="BD59" s="146">
        <f t="shared" si="40"/>
        <v>39.353000000000002</v>
      </c>
      <c r="BE59" s="146">
        <f t="shared" si="40"/>
        <v>47.158000000000001</v>
      </c>
      <c r="BF59" s="146">
        <f t="shared" si="40"/>
        <v>62.697000000000003</v>
      </c>
      <c r="BG59" s="146">
        <f>SUM(BG60:BG67)</f>
        <v>75.12700000000001</v>
      </c>
      <c r="BH59" s="146">
        <f>SUM(BH60:BH67)</f>
        <v>68.586999999999989</v>
      </c>
      <c r="BI59" s="146"/>
      <c r="BJ59" s="145">
        <f>SUM(BJ60:BJ67)</f>
        <v>18.533000000000001</v>
      </c>
      <c r="BK59" s="145">
        <f>SUM(BK60:BK67)</f>
        <v>22.598999999999997</v>
      </c>
      <c r="BL59" s="145">
        <f>SUM(BL60:BL67)</f>
        <v>29.274000000000001</v>
      </c>
      <c r="BM59" s="145">
        <f t="shared" ref="BM59:BS59" si="41">SUM(BM60:BM67)</f>
        <v>0</v>
      </c>
      <c r="BN59" s="145">
        <f t="shared" si="41"/>
        <v>0</v>
      </c>
      <c r="BO59" s="145">
        <f t="shared" si="41"/>
        <v>0</v>
      </c>
      <c r="BP59" s="145">
        <f t="shared" si="41"/>
        <v>65.861999999999995</v>
      </c>
      <c r="BQ59" s="145">
        <f t="shared" si="41"/>
        <v>75.798000000000002</v>
      </c>
      <c r="BR59" s="145">
        <f t="shared" si="41"/>
        <v>71.959999999999994</v>
      </c>
      <c r="BS59" s="145">
        <f t="shared" si="41"/>
        <v>66.800000000000011</v>
      </c>
      <c r="BT59" s="145">
        <f>SUM(BT60:BT67)</f>
        <v>106.69999999999999</v>
      </c>
      <c r="BU59" s="145">
        <f>SUM(BU60:BU67)</f>
        <v>201.90899999999999</v>
      </c>
      <c r="BV59" s="145">
        <f>SUM(BV60:BV67)</f>
        <v>127.25800000000001</v>
      </c>
      <c r="BW59" s="145">
        <f>SUM(BW60:BW67)</f>
        <v>278.20599999999996</v>
      </c>
      <c r="BX59" s="145">
        <f>SUM(BX60:BX67)</f>
        <v>218.31899999999999</v>
      </c>
    </row>
    <row r="60" spans="1:77" x14ac:dyDescent="0.35">
      <c r="B60" s="126" t="str">
        <f>IF(Control!$D$5=1,"Interest","Juros")</f>
        <v>Interest</v>
      </c>
      <c r="C60" s="146">
        <v>0</v>
      </c>
      <c r="D60" s="94">
        <v>1.4590000000000001</v>
      </c>
      <c r="E60" s="279" t="s">
        <v>3</v>
      </c>
      <c r="F60" s="279" t="s">
        <v>3</v>
      </c>
      <c r="G60" s="279" t="s">
        <v>3</v>
      </c>
      <c r="H60" s="94">
        <v>2.323</v>
      </c>
      <c r="I60" s="279" t="s">
        <v>3</v>
      </c>
      <c r="J60" s="279" t="s">
        <v>3</v>
      </c>
      <c r="K60" s="279" t="s">
        <v>3</v>
      </c>
      <c r="L60" s="94">
        <v>2.62</v>
      </c>
      <c r="M60" s="279" t="s">
        <v>3</v>
      </c>
      <c r="N60" s="279" t="s">
        <v>3</v>
      </c>
      <c r="O60" s="279" t="s">
        <v>3</v>
      </c>
      <c r="P60" s="94">
        <v>0.505</v>
      </c>
      <c r="Q60" s="159">
        <v>5.1059999999999999</v>
      </c>
      <c r="R60" s="64">
        <v>5.1070000000000002</v>
      </c>
      <c r="S60" s="279" t="s">
        <v>3</v>
      </c>
      <c r="T60" s="94">
        <v>1.1639999999999999</v>
      </c>
      <c r="U60" s="279" t="s">
        <v>3</v>
      </c>
      <c r="V60" s="279" t="s">
        <v>3</v>
      </c>
      <c r="W60" s="279" t="s">
        <v>3</v>
      </c>
      <c r="X60" s="94">
        <v>1.0129999999999999</v>
      </c>
      <c r="Y60" s="55">
        <v>5.13</v>
      </c>
      <c r="Z60" s="64">
        <v>1.8490000000000002</v>
      </c>
      <c r="AA60" s="64">
        <f t="shared" ref="AA60:AA67" si="42">BP60-Z60-Y60-X60</f>
        <v>3.0959999999999992</v>
      </c>
      <c r="AB60" s="94">
        <v>2.194</v>
      </c>
      <c r="AC60" s="55">
        <v>5.1059999999999999</v>
      </c>
      <c r="AD60" s="64">
        <v>0</v>
      </c>
      <c r="AE60" s="64">
        <v>0</v>
      </c>
      <c r="AF60" s="94">
        <v>2.0619999999999998</v>
      </c>
      <c r="AG60" s="55">
        <v>2.2479999999999998</v>
      </c>
      <c r="AH60" s="64">
        <v>2.6660000000000004</v>
      </c>
      <c r="AI60" s="64">
        <v>1.8470000000000004</v>
      </c>
      <c r="AJ60" s="94">
        <v>2.7509999999999999</v>
      </c>
      <c r="AK60" s="55">
        <v>3.6880000000000002</v>
      </c>
      <c r="AL60" s="64">
        <v>1.5270000000000001</v>
      </c>
      <c r="AM60" s="64">
        <v>1.9</v>
      </c>
      <c r="AN60" s="94">
        <v>2.0299999999999998</v>
      </c>
      <c r="AO60" s="55">
        <v>1.3800000000000003</v>
      </c>
      <c r="AP60" s="64">
        <v>1.0739999999999998</v>
      </c>
      <c r="AQ60" s="94">
        <v>1.4160000000000004</v>
      </c>
      <c r="AR60" s="94">
        <v>3.9</v>
      </c>
      <c r="AS60" s="94">
        <v>-1.6</v>
      </c>
      <c r="AT60" s="94">
        <v>1.4</v>
      </c>
      <c r="AU60" s="94">
        <v>2.1700000000000004</v>
      </c>
      <c r="AV60" s="94">
        <v>5.2</v>
      </c>
      <c r="AW60" s="94">
        <v>-1.6120000000000001</v>
      </c>
      <c r="AX60" s="94">
        <v>0.69000000000000039</v>
      </c>
      <c r="AY60" s="94">
        <v>0.77</v>
      </c>
      <c r="AZ60" s="94">
        <v>7.89</v>
      </c>
      <c r="BA60" s="94">
        <v>3.9810000000000008</v>
      </c>
      <c r="BB60" s="94">
        <v>3.6120000000000001</v>
      </c>
      <c r="BC60" s="94">
        <v>4.3650000000000002</v>
      </c>
      <c r="BD60" s="94">
        <v>6.5140000000000002</v>
      </c>
      <c r="BE60" s="94">
        <v>2.5979999999999999</v>
      </c>
      <c r="BF60" s="94">
        <v>3.76</v>
      </c>
      <c r="BG60" s="94">
        <v>7.903999999999999</v>
      </c>
      <c r="BH60" s="94">
        <v>10.129</v>
      </c>
      <c r="BI60" s="94"/>
      <c r="BJ60" s="64">
        <v>1.0189999999999999</v>
      </c>
      <c r="BK60" s="64">
        <v>3.1669999999999998</v>
      </c>
      <c r="BL60" s="64">
        <v>2.181</v>
      </c>
      <c r="BM60" s="92" t="s">
        <v>3</v>
      </c>
      <c r="BN60" s="92" t="s">
        <v>3</v>
      </c>
      <c r="BO60" s="92" t="s">
        <v>3</v>
      </c>
      <c r="BP60" s="64">
        <v>11.087999999999999</v>
      </c>
      <c r="BQ60" s="64">
        <v>4.9400000000000004</v>
      </c>
      <c r="BR60" s="64">
        <v>8.8230000000000004</v>
      </c>
      <c r="BS60" s="64">
        <v>9.8000000000000007</v>
      </c>
      <c r="BT60" s="94">
        <v>5.9</v>
      </c>
      <c r="BU60" s="94">
        <v>5.87</v>
      </c>
      <c r="BV60" s="94">
        <v>5.048</v>
      </c>
      <c r="BW60" s="94">
        <v>19.846</v>
      </c>
      <c r="BX60" s="94">
        <v>20.776</v>
      </c>
      <c r="BY60" s="315"/>
    </row>
    <row r="61" spans="1:77" x14ac:dyDescent="0.35">
      <c r="B61" s="126" t="str">
        <f>IF(Control!$D$5=1,"Discounts","Descontos")</f>
        <v>Discounts</v>
      </c>
      <c r="C61" s="146">
        <v>0</v>
      </c>
      <c r="D61" s="94">
        <v>0.24399999999999999</v>
      </c>
      <c r="E61" s="279" t="s">
        <v>3</v>
      </c>
      <c r="F61" s="279" t="s">
        <v>3</v>
      </c>
      <c r="G61" s="279" t="s">
        <v>3</v>
      </c>
      <c r="H61" s="94">
        <v>0.29899999999999999</v>
      </c>
      <c r="I61" s="279" t="s">
        <v>3</v>
      </c>
      <c r="J61" s="279" t="s">
        <v>3</v>
      </c>
      <c r="K61" s="279" t="s">
        <v>3</v>
      </c>
      <c r="L61" s="94">
        <v>0.29799999999999999</v>
      </c>
      <c r="M61" s="279" t="s">
        <v>3</v>
      </c>
      <c r="N61" s="279" t="s">
        <v>3</v>
      </c>
      <c r="O61" s="279" t="s">
        <v>3</v>
      </c>
      <c r="P61" s="94">
        <v>3.9129999999999998</v>
      </c>
      <c r="Q61" s="159">
        <v>1.0529999999999999</v>
      </c>
      <c r="R61" s="64">
        <v>1.786</v>
      </c>
      <c r="S61" s="279" t="s">
        <v>3</v>
      </c>
      <c r="T61" s="94">
        <v>8.0540000000000003</v>
      </c>
      <c r="U61" s="279" t="s">
        <v>3</v>
      </c>
      <c r="V61" s="279" t="s">
        <v>3</v>
      </c>
      <c r="W61" s="279" t="s">
        <v>3</v>
      </c>
      <c r="X61" s="94">
        <v>0.38900000000000001</v>
      </c>
      <c r="Y61" s="55">
        <v>0.31499999999999995</v>
      </c>
      <c r="Z61" s="64">
        <v>0.84899999999999998</v>
      </c>
      <c r="AA61" s="64">
        <f t="shared" si="42"/>
        <v>1.2520000000000002</v>
      </c>
      <c r="AB61" s="94">
        <v>0.57199999999999995</v>
      </c>
      <c r="AC61" s="55">
        <v>1.0529999999999999</v>
      </c>
      <c r="AD61" s="64">
        <v>0.52300000000000024</v>
      </c>
      <c r="AE61" s="64">
        <v>1.83</v>
      </c>
      <c r="AF61" s="94">
        <v>1.0109999999999999</v>
      </c>
      <c r="AG61" s="55">
        <v>0.74500000000000011</v>
      </c>
      <c r="AH61" s="64">
        <v>0.95600000000000018</v>
      </c>
      <c r="AI61" s="64">
        <v>0.85599999999999987</v>
      </c>
      <c r="AJ61" s="94">
        <v>0.99399999999999999</v>
      </c>
      <c r="AK61" s="55">
        <v>1.0290000000000001</v>
      </c>
      <c r="AL61" s="64">
        <v>1.2359999999999998</v>
      </c>
      <c r="AM61" s="64">
        <v>0.6</v>
      </c>
      <c r="AN61" s="94">
        <v>1.8580000000000001</v>
      </c>
      <c r="AO61" s="55">
        <v>0.41799999999999971</v>
      </c>
      <c r="AP61" s="64">
        <v>0.77900000000000036</v>
      </c>
      <c r="AQ61" s="94">
        <v>0.84499999999999975</v>
      </c>
      <c r="AR61" s="94">
        <v>1</v>
      </c>
      <c r="AS61" s="94">
        <v>1.1000000000000001</v>
      </c>
      <c r="AT61" s="94">
        <v>1.5</v>
      </c>
      <c r="AU61" s="94">
        <v>0.71099999999999985</v>
      </c>
      <c r="AV61" s="94">
        <v>2</v>
      </c>
      <c r="AW61" s="94">
        <v>1.58</v>
      </c>
      <c r="AX61" s="94">
        <v>1.48</v>
      </c>
      <c r="AY61" s="94">
        <v>1.6619999999999999</v>
      </c>
      <c r="AZ61" s="94">
        <v>0.64800000000000002</v>
      </c>
      <c r="BA61" s="94">
        <v>0.49299999999999999</v>
      </c>
      <c r="BB61" s="94">
        <v>0.501</v>
      </c>
      <c r="BC61" s="94">
        <v>0.36699999999999999</v>
      </c>
      <c r="BD61" s="94">
        <v>0.67800000000000005</v>
      </c>
      <c r="BE61" s="94">
        <v>0.59799999999999998</v>
      </c>
      <c r="BF61" s="94">
        <v>0.56599999999999995</v>
      </c>
      <c r="BG61" s="94">
        <v>0.61700000000000033</v>
      </c>
      <c r="BH61" s="94">
        <v>0.58699999999999997</v>
      </c>
      <c r="BI61" s="94"/>
      <c r="BJ61" s="64">
        <v>1.129</v>
      </c>
      <c r="BK61" s="64">
        <v>1.224</v>
      </c>
      <c r="BL61" s="64">
        <v>1.127</v>
      </c>
      <c r="BM61" s="92" t="s">
        <v>3</v>
      </c>
      <c r="BN61" s="92" t="s">
        <v>3</v>
      </c>
      <c r="BO61" s="92" t="s">
        <v>3</v>
      </c>
      <c r="BP61" s="64">
        <v>2.8050000000000002</v>
      </c>
      <c r="BQ61" s="64">
        <v>3.9780000000000002</v>
      </c>
      <c r="BR61" s="64">
        <v>3.5680000000000001</v>
      </c>
      <c r="BS61" s="64">
        <v>3.8</v>
      </c>
      <c r="BT61" s="94">
        <v>3.9</v>
      </c>
      <c r="BU61" s="94">
        <v>4.3109999999999999</v>
      </c>
      <c r="BV61" s="94">
        <v>6.7220000000000004</v>
      </c>
      <c r="BW61" s="94">
        <v>2.0089999999999999</v>
      </c>
      <c r="BX61" s="94">
        <v>2.4590000000000001</v>
      </c>
      <c r="BY61" s="315"/>
    </row>
    <row r="62" spans="1:77" x14ac:dyDescent="0.35">
      <c r="B62" s="126" t="str">
        <f>IF(Control!$D$5=1,"Short-term Investments","Aplicações Financeiras")</f>
        <v>Short-term Investments</v>
      </c>
      <c r="C62" s="146">
        <v>0</v>
      </c>
      <c r="D62" s="94">
        <v>0</v>
      </c>
      <c r="E62" s="279" t="s">
        <v>3</v>
      </c>
      <c r="F62" s="279" t="s">
        <v>3</v>
      </c>
      <c r="G62" s="279" t="s">
        <v>3</v>
      </c>
      <c r="H62" s="94">
        <v>0.46400000000000002</v>
      </c>
      <c r="I62" s="279" t="s">
        <v>3</v>
      </c>
      <c r="J62" s="279" t="s">
        <v>3</v>
      </c>
      <c r="K62" s="279" t="s">
        <v>3</v>
      </c>
      <c r="L62" s="94">
        <v>3.048</v>
      </c>
      <c r="M62" s="279" t="s">
        <v>3</v>
      </c>
      <c r="N62" s="279" t="s">
        <v>3</v>
      </c>
      <c r="O62" s="279" t="s">
        <v>3</v>
      </c>
      <c r="P62" s="94">
        <v>1.429</v>
      </c>
      <c r="Q62" s="159">
        <v>14.353999999999999</v>
      </c>
      <c r="R62" s="64">
        <v>10.36</v>
      </c>
      <c r="S62" s="279" t="s">
        <v>3</v>
      </c>
      <c r="T62" s="94">
        <v>2.5169999999999999</v>
      </c>
      <c r="U62" s="279" t="s">
        <v>3</v>
      </c>
      <c r="V62" s="279" t="s">
        <v>3</v>
      </c>
      <c r="W62" s="279" t="s">
        <v>3</v>
      </c>
      <c r="X62" s="94">
        <v>7.2880000000000003</v>
      </c>
      <c r="Y62" s="55">
        <v>3.2959999999999994</v>
      </c>
      <c r="Z62" s="64">
        <v>4.6820000000000004</v>
      </c>
      <c r="AA62" s="64">
        <f t="shared" si="42"/>
        <v>3.3770000000000007</v>
      </c>
      <c r="AB62" s="94">
        <v>6.3230000000000004</v>
      </c>
      <c r="AC62" s="55">
        <v>14.353999999999999</v>
      </c>
      <c r="AD62" s="64">
        <v>9.4720000000000013</v>
      </c>
      <c r="AE62" s="64">
        <v>8.7590000000000003</v>
      </c>
      <c r="AF62" s="94">
        <v>8.1479999999999997</v>
      </c>
      <c r="AG62" s="55">
        <v>10.535</v>
      </c>
      <c r="AH62" s="64">
        <v>9.1660000000000004</v>
      </c>
      <c r="AI62" s="64">
        <v>7.8949999999999996</v>
      </c>
      <c r="AJ62" s="94">
        <v>10.217000000000001</v>
      </c>
      <c r="AK62" s="55">
        <v>9.197000000000001</v>
      </c>
      <c r="AL62" s="64">
        <v>6.9059999999999988</v>
      </c>
      <c r="AM62" s="64">
        <v>16.899999999999999</v>
      </c>
      <c r="AN62" s="94">
        <v>11.667999999999999</v>
      </c>
      <c r="AO62" s="55">
        <v>8.2089999999999996</v>
      </c>
      <c r="AP62" s="64">
        <v>8.0779999999999994</v>
      </c>
      <c r="AQ62" s="94">
        <v>9.8449999999999989</v>
      </c>
      <c r="AR62" s="94">
        <v>9.9</v>
      </c>
      <c r="AS62" s="94">
        <v>15.1</v>
      </c>
      <c r="AT62" s="94">
        <v>8.6999999999999993</v>
      </c>
      <c r="AU62" s="94">
        <v>5.8299999999999983</v>
      </c>
      <c r="AV62" s="94">
        <v>8.8000000000000007</v>
      </c>
      <c r="AW62" s="94">
        <v>17.960999999999999</v>
      </c>
      <c r="AX62" s="94">
        <v>10.925000000000004</v>
      </c>
      <c r="AY62" s="94">
        <v>5.65</v>
      </c>
      <c r="AZ62" s="94">
        <v>5.4290000000000003</v>
      </c>
      <c r="BA62" s="94">
        <v>4.9580000000000002</v>
      </c>
      <c r="BB62" s="94">
        <v>3.3570000000000002</v>
      </c>
      <c r="BC62" s="94">
        <v>2.1269999999999998</v>
      </c>
      <c r="BD62" s="94">
        <v>5.032</v>
      </c>
      <c r="BE62" s="94">
        <v>11.683</v>
      </c>
      <c r="BF62" s="94">
        <v>16.010000000000002</v>
      </c>
      <c r="BG62" s="94">
        <v>26.402000000000005</v>
      </c>
      <c r="BH62" s="94">
        <v>23.266999999999999</v>
      </c>
      <c r="BI62" s="94"/>
      <c r="BJ62" s="64">
        <v>1.341</v>
      </c>
      <c r="BK62" s="64">
        <v>4.8579999999999997</v>
      </c>
      <c r="BL62" s="64">
        <v>8.3849999999999998</v>
      </c>
      <c r="BM62" s="92" t="s">
        <v>3</v>
      </c>
      <c r="BN62" s="92" t="s">
        <v>3</v>
      </c>
      <c r="BO62" s="92" t="s">
        <v>3</v>
      </c>
      <c r="BP62" s="64">
        <v>18.643000000000001</v>
      </c>
      <c r="BQ62" s="64">
        <v>38.908000000000001</v>
      </c>
      <c r="BR62" s="64">
        <v>35.744</v>
      </c>
      <c r="BS62" s="64">
        <v>43.2</v>
      </c>
      <c r="BT62" s="94">
        <v>37.799999999999997</v>
      </c>
      <c r="BU62" s="94">
        <v>39.53</v>
      </c>
      <c r="BV62" s="94">
        <v>43.336000000000006</v>
      </c>
      <c r="BW62" s="94">
        <v>15.871</v>
      </c>
      <c r="BX62" s="94">
        <v>59.127000000000002</v>
      </c>
      <c r="BY62" s="315"/>
    </row>
    <row r="63" spans="1:77" x14ac:dyDescent="0.35">
      <c r="B63" s="126" t="str">
        <f>IF(Control!$D$5=1,"Derivatives","Derivativos")</f>
        <v>Derivatives</v>
      </c>
      <c r="C63" s="146">
        <v>0</v>
      </c>
      <c r="D63" s="94">
        <v>0</v>
      </c>
      <c r="E63" s="279" t="s">
        <v>3</v>
      </c>
      <c r="F63" s="279" t="s">
        <v>3</v>
      </c>
      <c r="G63" s="279" t="s">
        <v>3</v>
      </c>
      <c r="H63" s="94">
        <v>0</v>
      </c>
      <c r="I63" s="279" t="s">
        <v>3</v>
      </c>
      <c r="J63" s="279" t="s">
        <v>3</v>
      </c>
      <c r="K63" s="279" t="s">
        <v>3</v>
      </c>
      <c r="L63" s="94">
        <v>0</v>
      </c>
      <c r="M63" s="279" t="s">
        <v>3</v>
      </c>
      <c r="N63" s="279" t="s">
        <v>3</v>
      </c>
      <c r="O63" s="279" t="s">
        <v>3</v>
      </c>
      <c r="P63" s="94">
        <v>0</v>
      </c>
      <c r="Q63" s="159">
        <v>4.9109999999999996</v>
      </c>
      <c r="R63" s="64">
        <v>0</v>
      </c>
      <c r="S63" s="279" t="s">
        <v>3</v>
      </c>
      <c r="T63" s="94">
        <v>0</v>
      </c>
      <c r="U63" s="279" t="s">
        <v>3</v>
      </c>
      <c r="V63" s="279" t="s">
        <v>3</v>
      </c>
      <c r="W63" s="279" t="s">
        <v>3</v>
      </c>
      <c r="X63" s="94">
        <v>2.9830000000000001</v>
      </c>
      <c r="Y63" s="55">
        <v>3.2929999999999997</v>
      </c>
      <c r="Z63" s="64">
        <v>-6.2759999999999998</v>
      </c>
      <c r="AA63" s="64">
        <f t="shared" si="42"/>
        <v>0</v>
      </c>
      <c r="AB63" s="94">
        <v>0</v>
      </c>
      <c r="AC63" s="55">
        <v>4.9109999999999996</v>
      </c>
      <c r="AD63" s="64">
        <v>0</v>
      </c>
      <c r="AE63" s="64">
        <v>0</v>
      </c>
      <c r="AF63" s="94">
        <v>0</v>
      </c>
      <c r="AG63" s="55">
        <v>0</v>
      </c>
      <c r="AH63" s="64">
        <v>0</v>
      </c>
      <c r="AI63" s="64">
        <v>0</v>
      </c>
      <c r="AJ63" s="94">
        <v>0</v>
      </c>
      <c r="AK63" s="55">
        <v>0</v>
      </c>
      <c r="AL63" s="64">
        <v>0</v>
      </c>
      <c r="AM63" s="64">
        <v>0</v>
      </c>
      <c r="AN63" s="94">
        <v>13.856999999999999</v>
      </c>
      <c r="AO63" s="55">
        <v>9.2680000000000007</v>
      </c>
      <c r="AP63" s="64">
        <v>11.055</v>
      </c>
      <c r="AQ63" s="94">
        <v>6.1199999999999974</v>
      </c>
      <c r="AR63" s="94">
        <v>12</v>
      </c>
      <c r="AS63" s="94">
        <v>34.700000000000003</v>
      </c>
      <c r="AT63" s="94">
        <v>26.5</v>
      </c>
      <c r="AU63" s="94">
        <v>15.826999999999998</v>
      </c>
      <c r="AV63" s="94">
        <v>18.100000000000001</v>
      </c>
      <c r="AW63" s="94">
        <v>8.3569999999999993</v>
      </c>
      <c r="AX63" s="94">
        <v>6.9539999999999971</v>
      </c>
      <c r="AY63" s="94">
        <v>14.403</v>
      </c>
      <c r="AZ63" s="94">
        <v>46.69</v>
      </c>
      <c r="BA63" s="94">
        <v>40.863</v>
      </c>
      <c r="BB63" s="94">
        <v>66.340999999999994</v>
      </c>
      <c r="BC63" s="94">
        <v>43.459000000000003</v>
      </c>
      <c r="BD63" s="94">
        <v>23.09</v>
      </c>
      <c r="BE63" s="94">
        <v>26.213999999999999</v>
      </c>
      <c r="BF63" s="94">
        <v>32.802999999999997</v>
      </c>
      <c r="BG63" s="94">
        <v>17.817000000000011</v>
      </c>
      <c r="BH63" s="94">
        <v>20.943999999999999</v>
      </c>
      <c r="BI63" s="94"/>
      <c r="BJ63" s="64">
        <v>0</v>
      </c>
      <c r="BK63" s="64">
        <v>0</v>
      </c>
      <c r="BL63" s="64">
        <v>0</v>
      </c>
      <c r="BM63" s="92" t="s">
        <v>3</v>
      </c>
      <c r="BN63" s="92" t="s">
        <v>3</v>
      </c>
      <c r="BO63" s="92" t="s">
        <v>3</v>
      </c>
      <c r="BP63" s="64">
        <v>0</v>
      </c>
      <c r="BQ63" s="64">
        <v>0</v>
      </c>
      <c r="BR63" s="64">
        <v>0</v>
      </c>
      <c r="BS63" s="64">
        <v>0</v>
      </c>
      <c r="BT63" s="94">
        <v>40.299999999999997</v>
      </c>
      <c r="BU63" s="94">
        <v>89.027000000000001</v>
      </c>
      <c r="BV63" s="94">
        <v>47.814</v>
      </c>
      <c r="BW63" s="94">
        <v>197.35300000000001</v>
      </c>
      <c r="BX63" s="94">
        <v>99.924000000000007</v>
      </c>
      <c r="BY63" s="315"/>
    </row>
    <row r="64" spans="1:77" x14ac:dyDescent="0.35">
      <c r="B64" s="126" t="str">
        <f>IF(Control!$D$5=1,"Foreign Exchange Variation","Variação Cambial")</f>
        <v>Foreign Exchange Variation</v>
      </c>
      <c r="C64" s="146">
        <v>0</v>
      </c>
      <c r="D64" s="94">
        <v>0</v>
      </c>
      <c r="E64" s="279" t="s">
        <v>3</v>
      </c>
      <c r="F64" s="279" t="s">
        <v>3</v>
      </c>
      <c r="G64" s="279" t="s">
        <v>3</v>
      </c>
      <c r="H64" s="94">
        <v>5.0110000000000001</v>
      </c>
      <c r="I64" s="279" t="s">
        <v>3</v>
      </c>
      <c r="J64" s="279" t="s">
        <v>3</v>
      </c>
      <c r="K64" s="279" t="s">
        <v>3</v>
      </c>
      <c r="L64" s="94">
        <v>0.64200000000000002</v>
      </c>
      <c r="M64" s="279" t="s">
        <v>3</v>
      </c>
      <c r="N64" s="279" t="s">
        <v>3</v>
      </c>
      <c r="O64" s="279" t="s">
        <v>3</v>
      </c>
      <c r="P64" s="94">
        <v>0</v>
      </c>
      <c r="Q64" s="159">
        <v>34.773000000000003</v>
      </c>
      <c r="R64" s="64">
        <v>5.7549999999999999</v>
      </c>
      <c r="S64" s="279" t="s">
        <v>3</v>
      </c>
      <c r="T64" s="94">
        <v>29.646000000000001</v>
      </c>
      <c r="U64" s="279" t="s">
        <v>3</v>
      </c>
      <c r="V64" s="279" t="s">
        <v>3</v>
      </c>
      <c r="W64" s="279" t="s">
        <v>3</v>
      </c>
      <c r="X64" s="94">
        <v>0.66500000000000004</v>
      </c>
      <c r="Y64" s="55">
        <v>0.51899999999999991</v>
      </c>
      <c r="Z64" s="64">
        <v>8.8009999999999984</v>
      </c>
      <c r="AA64" s="64">
        <f t="shared" si="42"/>
        <v>4.0010000000000021</v>
      </c>
      <c r="AB64" s="94">
        <v>0.50900000000000001</v>
      </c>
      <c r="AC64" s="55">
        <v>34.773000000000003</v>
      </c>
      <c r="AD64" s="55">
        <v>1.6</v>
      </c>
      <c r="AE64" s="64">
        <v>14.757000000000001</v>
      </c>
      <c r="AF64" s="94">
        <v>1.4930000000000001</v>
      </c>
      <c r="AG64" s="55">
        <v>2.0720000000000001</v>
      </c>
      <c r="AH64" s="64">
        <v>1.8770000000000002</v>
      </c>
      <c r="AI64" s="64">
        <v>5.0120000000000005</v>
      </c>
      <c r="AJ64" s="94">
        <v>2.419</v>
      </c>
      <c r="AK64" s="55">
        <v>1.2869999999999999</v>
      </c>
      <c r="AL64" s="64">
        <v>1.5400000000000005</v>
      </c>
      <c r="AM64" s="64">
        <v>3.2</v>
      </c>
      <c r="AN64" s="94">
        <v>1.4490000000000001</v>
      </c>
      <c r="AO64" s="55">
        <v>0.46299999999999986</v>
      </c>
      <c r="AP64" s="64">
        <v>1.5569999999999997</v>
      </c>
      <c r="AQ64" s="94">
        <v>2.0310000000000001</v>
      </c>
      <c r="AR64" s="94">
        <v>3.7</v>
      </c>
      <c r="AS64" s="94">
        <v>7.3999999999999995</v>
      </c>
      <c r="AT64" s="94">
        <v>0.4</v>
      </c>
      <c r="AU64" s="94">
        <v>1.5280000000000005</v>
      </c>
      <c r="AV64" s="94">
        <v>0.91</v>
      </c>
      <c r="AW64" s="94">
        <v>2.1850000000000001</v>
      </c>
      <c r="AX64" s="94">
        <v>1.4860000000000002</v>
      </c>
      <c r="AY64" s="94">
        <v>8.0350000000000001</v>
      </c>
      <c r="AZ64" s="94">
        <v>10.746</v>
      </c>
      <c r="BA64" s="94">
        <v>9.4659999999999993</v>
      </c>
      <c r="BB64" s="94">
        <v>4.226</v>
      </c>
      <c r="BC64" s="94">
        <v>7.5030000000000001</v>
      </c>
      <c r="BD64" s="94">
        <v>3.456</v>
      </c>
      <c r="BE64" s="94">
        <v>4.6239999999999997</v>
      </c>
      <c r="BF64" s="94">
        <v>4.0170000000000003</v>
      </c>
      <c r="BG64" s="94">
        <v>11.579000000000001</v>
      </c>
      <c r="BH64" s="94">
        <v>11.29</v>
      </c>
      <c r="BI64" s="94"/>
      <c r="BJ64" s="64">
        <v>0</v>
      </c>
      <c r="BK64" s="64">
        <v>1.5740000000000001</v>
      </c>
      <c r="BL64" s="64">
        <v>6.4770000000000003</v>
      </c>
      <c r="BM64" s="92" t="s">
        <v>3</v>
      </c>
      <c r="BN64" s="92" t="s">
        <v>3</v>
      </c>
      <c r="BO64" s="92" t="s">
        <v>3</v>
      </c>
      <c r="BP64" s="64">
        <v>13.986000000000001</v>
      </c>
      <c r="BQ64" s="64">
        <v>16.963000000000001</v>
      </c>
      <c r="BR64" s="64">
        <v>10.454000000000001</v>
      </c>
      <c r="BS64" s="64">
        <v>8.5</v>
      </c>
      <c r="BT64" s="94">
        <v>5.5</v>
      </c>
      <c r="BU64" s="94">
        <v>13.028</v>
      </c>
      <c r="BV64" s="94">
        <v>12.616</v>
      </c>
      <c r="BW64" s="94">
        <v>31.940999999999999</v>
      </c>
      <c r="BX64" s="94">
        <v>23.675999999999998</v>
      </c>
      <c r="BY64" s="315"/>
    </row>
    <row r="65" spans="2:77" x14ac:dyDescent="0.35">
      <c r="B65" s="126" t="str">
        <f>IF(Control!$D$5=1,"Monetary Variation","Variação Monetária")</f>
        <v>Monetary Variation</v>
      </c>
      <c r="C65" s="146">
        <v>0</v>
      </c>
      <c r="D65" s="94">
        <v>0</v>
      </c>
      <c r="E65" s="279" t="s">
        <v>3</v>
      </c>
      <c r="F65" s="279" t="s">
        <v>3</v>
      </c>
      <c r="G65" s="279" t="s">
        <v>3</v>
      </c>
      <c r="H65" s="94">
        <v>0</v>
      </c>
      <c r="I65" s="279" t="s">
        <v>3</v>
      </c>
      <c r="J65" s="279" t="s">
        <v>3</v>
      </c>
      <c r="K65" s="279" t="s">
        <v>3</v>
      </c>
      <c r="L65" s="94">
        <v>0</v>
      </c>
      <c r="M65" s="279" t="s">
        <v>3</v>
      </c>
      <c r="N65" s="279" t="s">
        <v>3</v>
      </c>
      <c r="O65" s="279" t="s">
        <v>3</v>
      </c>
      <c r="P65" s="94">
        <v>0</v>
      </c>
      <c r="Q65" s="159">
        <v>0</v>
      </c>
      <c r="R65" s="64">
        <v>0</v>
      </c>
      <c r="S65" s="279" t="s">
        <v>3</v>
      </c>
      <c r="T65" s="94">
        <v>0</v>
      </c>
      <c r="U65" s="279" t="s">
        <v>3</v>
      </c>
      <c r="V65" s="279" t="s">
        <v>3</v>
      </c>
      <c r="W65" s="279" t="s">
        <v>3</v>
      </c>
      <c r="X65" s="94">
        <v>0</v>
      </c>
      <c r="Y65" s="55">
        <v>0</v>
      </c>
      <c r="Z65" s="64">
        <v>2.2629999999999999</v>
      </c>
      <c r="AA65" s="64">
        <f t="shared" si="42"/>
        <v>0.86000000000000032</v>
      </c>
      <c r="AB65" s="94">
        <v>4.0000000000000001E-3</v>
      </c>
      <c r="AC65" s="55">
        <v>0</v>
      </c>
      <c r="AD65" s="64">
        <v>0</v>
      </c>
      <c r="AE65" s="64">
        <v>5.3680000000000003</v>
      </c>
      <c r="AF65" s="94">
        <v>10.804</v>
      </c>
      <c r="AG65" s="55">
        <v>0.25699999999999967</v>
      </c>
      <c r="AH65" s="64">
        <v>0.28299999999999947</v>
      </c>
      <c r="AI65" s="64">
        <v>0.26800000000000068</v>
      </c>
      <c r="AJ65" s="94">
        <v>0.28399999999999997</v>
      </c>
      <c r="AK65" s="55">
        <v>-0.28399999999999997</v>
      </c>
      <c r="AL65" s="64">
        <v>0.44</v>
      </c>
      <c r="AM65" s="64">
        <v>1</v>
      </c>
      <c r="AN65" s="94">
        <v>1.0329999999999999</v>
      </c>
      <c r="AO65" s="55">
        <v>6.5909999999999993</v>
      </c>
      <c r="AP65" s="64">
        <v>5.3320000000000007</v>
      </c>
      <c r="AQ65" s="94">
        <v>0.34400000000000119</v>
      </c>
      <c r="AR65" s="94">
        <v>0.1</v>
      </c>
      <c r="AS65" s="94">
        <v>1.7</v>
      </c>
      <c r="AT65" s="94">
        <v>43.8</v>
      </c>
      <c r="AU65" s="94">
        <v>-34.224999999999994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10.808</v>
      </c>
      <c r="BH65" s="94">
        <v>0</v>
      </c>
      <c r="BI65" s="94"/>
      <c r="BJ65" s="64">
        <v>0</v>
      </c>
      <c r="BK65" s="64">
        <v>0</v>
      </c>
      <c r="BL65" s="64">
        <v>0</v>
      </c>
      <c r="BM65" s="92" t="s">
        <v>3</v>
      </c>
      <c r="BN65" s="92" t="s">
        <v>3</v>
      </c>
      <c r="BO65" s="92" t="s">
        <v>3</v>
      </c>
      <c r="BP65" s="64">
        <v>3.1230000000000002</v>
      </c>
      <c r="BQ65" s="64">
        <v>5.3680000000000003</v>
      </c>
      <c r="BR65" s="64">
        <v>11.612</v>
      </c>
      <c r="BS65" s="64">
        <v>1.5</v>
      </c>
      <c r="BT65" s="94">
        <v>13.3</v>
      </c>
      <c r="BU65" s="94">
        <v>11.375</v>
      </c>
      <c r="BV65" s="94">
        <v>0</v>
      </c>
      <c r="BW65" s="94">
        <v>0</v>
      </c>
      <c r="BX65" s="94">
        <v>10.808</v>
      </c>
      <c r="BY65" s="315"/>
    </row>
    <row r="66" spans="2:77" x14ac:dyDescent="0.35">
      <c r="B66" s="126" t="str">
        <f>IF(Control!$D$5=1,"Swap Revenues","Receitas de Swap")</f>
        <v>Swap Revenues</v>
      </c>
      <c r="C66" s="146">
        <v>0</v>
      </c>
      <c r="D66" s="94">
        <v>0</v>
      </c>
      <c r="E66" s="279" t="s">
        <v>3</v>
      </c>
      <c r="F66" s="279" t="s">
        <v>3</v>
      </c>
      <c r="G66" s="279" t="s">
        <v>3</v>
      </c>
      <c r="H66" s="94">
        <f>3.144+0.312</f>
        <v>3.456</v>
      </c>
      <c r="I66" s="279" t="s">
        <v>3</v>
      </c>
      <c r="J66" s="279" t="s">
        <v>3</v>
      </c>
      <c r="K66" s="279" t="s">
        <v>3</v>
      </c>
      <c r="L66" s="94">
        <v>1.196</v>
      </c>
      <c r="M66" s="279" t="s">
        <v>3</v>
      </c>
      <c r="N66" s="279" t="s">
        <v>3</v>
      </c>
      <c r="O66" s="279" t="s">
        <v>3</v>
      </c>
      <c r="P66" s="94">
        <v>0</v>
      </c>
      <c r="Q66" s="159">
        <v>0</v>
      </c>
      <c r="R66" s="64">
        <v>0</v>
      </c>
      <c r="S66" s="279" t="s">
        <v>3</v>
      </c>
      <c r="T66" s="94">
        <v>0</v>
      </c>
      <c r="U66" s="279" t="s">
        <v>3</v>
      </c>
      <c r="V66" s="279" t="s">
        <v>3</v>
      </c>
      <c r="W66" s="279" t="s">
        <v>3</v>
      </c>
      <c r="X66" s="94">
        <v>9.7780000000000005</v>
      </c>
      <c r="Y66" s="55">
        <v>6.1069999999999993</v>
      </c>
      <c r="Z66" s="64">
        <v>-9.9999999999944578E-4</v>
      </c>
      <c r="AA66" s="64">
        <f t="shared" si="42"/>
        <v>0</v>
      </c>
      <c r="AB66" s="94">
        <v>0</v>
      </c>
      <c r="AC66" s="55">
        <v>0</v>
      </c>
      <c r="AD66" s="64">
        <v>0</v>
      </c>
      <c r="AE66" s="64">
        <v>0</v>
      </c>
      <c r="AF66" s="94">
        <v>0</v>
      </c>
      <c r="AG66" s="55">
        <v>0</v>
      </c>
      <c r="AH66" s="64">
        <v>0</v>
      </c>
      <c r="AI66" s="64">
        <v>0</v>
      </c>
      <c r="AJ66" s="94">
        <v>0</v>
      </c>
      <c r="AK66" s="55">
        <v>0</v>
      </c>
      <c r="AL66" s="64">
        <v>0</v>
      </c>
      <c r="AM66" s="64">
        <v>0</v>
      </c>
      <c r="AN66" s="94">
        <v>0</v>
      </c>
      <c r="AO66" s="55">
        <v>0</v>
      </c>
      <c r="AP66" s="6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v>0</v>
      </c>
      <c r="BI66" s="94"/>
      <c r="BJ66" s="64">
        <v>0</v>
      </c>
      <c r="BK66" s="64">
        <v>0</v>
      </c>
      <c r="BL66" s="64">
        <v>0</v>
      </c>
      <c r="BM66" s="92" t="s">
        <v>3</v>
      </c>
      <c r="BN66" s="92" t="s">
        <v>3</v>
      </c>
      <c r="BO66" s="92" t="s">
        <v>3</v>
      </c>
      <c r="BP66" s="64">
        <v>15.884</v>
      </c>
      <c r="BQ66" s="64">
        <v>0</v>
      </c>
      <c r="BR66" s="64">
        <v>0</v>
      </c>
      <c r="BS66" s="64">
        <v>0</v>
      </c>
      <c r="BT66" s="94">
        <v>0</v>
      </c>
      <c r="BU66" s="94">
        <v>0</v>
      </c>
      <c r="BV66" s="94">
        <v>0</v>
      </c>
      <c r="BW66" s="94">
        <v>0</v>
      </c>
      <c r="BX66" s="94">
        <v>0</v>
      </c>
      <c r="BY66" s="315"/>
    </row>
    <row r="67" spans="2:77" x14ac:dyDescent="0.35">
      <c r="B67" s="126" t="str">
        <f>IF(Control!$D$5=1,"Others","Outras")</f>
        <v>Others</v>
      </c>
      <c r="C67" s="146">
        <v>0</v>
      </c>
      <c r="D67" s="94">
        <f>1.396+0.151</f>
        <v>1.5469999999999999</v>
      </c>
      <c r="E67" s="279" t="s">
        <v>3</v>
      </c>
      <c r="F67" s="279" t="s">
        <v>3</v>
      </c>
      <c r="G67" s="279" t="s">
        <v>3</v>
      </c>
      <c r="H67" s="94">
        <v>0</v>
      </c>
      <c r="I67" s="279" t="s">
        <v>3</v>
      </c>
      <c r="J67" s="279" t="s">
        <v>3</v>
      </c>
      <c r="K67" s="279" t="s">
        <v>3</v>
      </c>
      <c r="L67" s="94">
        <v>0</v>
      </c>
      <c r="M67" s="279" t="s">
        <v>3</v>
      </c>
      <c r="N67" s="279" t="s">
        <v>3</v>
      </c>
      <c r="O67" s="279" t="s">
        <v>3</v>
      </c>
      <c r="P67" s="94">
        <f>0.142+1.935+1.656</f>
        <v>3.7329999999999997</v>
      </c>
      <c r="Q67" s="159">
        <v>0.40899999999999997</v>
      </c>
      <c r="R67" s="64">
        <f>5.374+0.202</f>
        <v>5.5759999999999996</v>
      </c>
      <c r="S67" s="279" t="s">
        <v>3</v>
      </c>
      <c r="T67" s="94">
        <f>0.907+2.757+0.47</f>
        <v>4.1340000000000003</v>
      </c>
      <c r="U67" s="279" t="s">
        <v>3</v>
      </c>
      <c r="V67" s="279" t="s">
        <v>3</v>
      </c>
      <c r="W67" s="279" t="s">
        <v>3</v>
      </c>
      <c r="X67" s="94">
        <v>0.14499999999999999</v>
      </c>
      <c r="Y67" s="55">
        <v>0.33999999999999997</v>
      </c>
      <c r="Z67" s="64">
        <v>-4.6999999999999958E-2</v>
      </c>
      <c r="AA67" s="64">
        <f t="shared" si="42"/>
        <v>-0.10499999999999995</v>
      </c>
      <c r="AB67" s="94">
        <v>4.4980000000000002</v>
      </c>
      <c r="AC67" s="55">
        <v>2.5089999999999999</v>
      </c>
      <c r="AD67" s="64">
        <v>14.439</v>
      </c>
      <c r="AE67" s="64">
        <v>0</v>
      </c>
      <c r="AF67" s="94">
        <f>0.06+3.558</f>
        <v>3.6179999999999999</v>
      </c>
      <c r="AG67" s="55">
        <v>-4.7000000000000153E-2</v>
      </c>
      <c r="AH67" s="64">
        <v>-1.8119999999999998</v>
      </c>
      <c r="AI67" s="64">
        <v>0</v>
      </c>
      <c r="AJ67" s="94">
        <v>0.108</v>
      </c>
      <c r="AK67" s="55">
        <v>-0.108</v>
      </c>
      <c r="AL67" s="64">
        <v>0</v>
      </c>
      <c r="AM67" s="64">
        <v>0</v>
      </c>
      <c r="AN67" s="94">
        <v>0</v>
      </c>
      <c r="AO67" s="55">
        <v>0</v>
      </c>
      <c r="AP67" s="64">
        <v>0</v>
      </c>
      <c r="AQ67" s="94">
        <v>0</v>
      </c>
      <c r="AR67" s="94">
        <v>0</v>
      </c>
      <c r="AS67" s="94">
        <v>0</v>
      </c>
      <c r="AT67" s="94">
        <v>0</v>
      </c>
      <c r="AU67" s="94">
        <v>38.768000000000001</v>
      </c>
      <c r="AV67" s="94">
        <v>4.8</v>
      </c>
      <c r="AW67" s="94">
        <v>2.5049999999999999</v>
      </c>
      <c r="AX67" s="94">
        <v>2.4070000000000005</v>
      </c>
      <c r="AY67" s="94">
        <v>2.0099999999999998</v>
      </c>
      <c r="AZ67" s="94">
        <v>0.8</v>
      </c>
      <c r="BA67" s="94">
        <v>4.992</v>
      </c>
      <c r="BB67" s="94">
        <v>3.2870000000000004</v>
      </c>
      <c r="BC67" s="94">
        <v>2.0110000000000001</v>
      </c>
      <c r="BD67" s="94">
        <v>0.58299999999999996</v>
      </c>
      <c r="BE67" s="94">
        <v>1.4410000000000001</v>
      </c>
      <c r="BF67" s="94">
        <v>5.5410000000000004</v>
      </c>
      <c r="BG67" s="94">
        <v>0</v>
      </c>
      <c r="BH67" s="94">
        <v>2.37</v>
      </c>
      <c r="BI67" s="94"/>
      <c r="BJ67" s="64">
        <f>11.719+3.325</f>
        <v>15.044</v>
      </c>
      <c r="BK67" s="64">
        <v>11.776</v>
      </c>
      <c r="BL67" s="64">
        <f>9.81+1.294</f>
        <v>11.104000000000001</v>
      </c>
      <c r="BM67" s="92" t="s">
        <v>3</v>
      </c>
      <c r="BN67" s="92" t="s">
        <v>3</v>
      </c>
      <c r="BO67" s="92" t="s">
        <v>3</v>
      </c>
      <c r="BP67" s="64">
        <v>0.33300000000000002</v>
      </c>
      <c r="BQ67" s="64">
        <v>5.641</v>
      </c>
      <c r="BR67" s="64">
        <v>1.7589999999999999</v>
      </c>
      <c r="BS67" s="64">
        <v>0</v>
      </c>
      <c r="BT67" s="94">
        <v>0</v>
      </c>
      <c r="BU67" s="94">
        <f>38.719+0.049</f>
        <v>38.768000000000001</v>
      </c>
      <c r="BV67" s="94">
        <v>11.722</v>
      </c>
      <c r="BW67" s="94">
        <v>11.186</v>
      </c>
      <c r="BX67" s="94">
        <v>1.5489999999999999</v>
      </c>
      <c r="BY67" s="315"/>
    </row>
    <row r="68" spans="2:77" hidden="1" outlineLevel="1" x14ac:dyDescent="0.35">
      <c r="F68" s="56"/>
      <c r="G68" s="56"/>
      <c r="I68" s="56"/>
      <c r="J68" s="56"/>
      <c r="K68" s="56"/>
      <c r="M68" s="56"/>
      <c r="N68" s="56"/>
      <c r="O68" s="56"/>
      <c r="R68" s="56"/>
      <c r="S68" s="56"/>
      <c r="U68" s="56"/>
      <c r="V68" s="56"/>
      <c r="W68" s="56"/>
      <c r="AO68" s="56"/>
      <c r="BJ68" s="7"/>
      <c r="BK68" s="7"/>
      <c r="BL68" s="7"/>
      <c r="BT68" s="138"/>
      <c r="BU68" s="138"/>
      <c r="BV68" s="138"/>
      <c r="BW68" s="138"/>
      <c r="BX68" s="138"/>
    </row>
    <row r="69" spans="2:77" hidden="1" outlineLevel="1" x14ac:dyDescent="0.35">
      <c r="B69" s="96" t="str">
        <f>IF(Control!$D$5=1,"Special Tax Installment Program","Programa de Parcelamento Especial")</f>
        <v>Special Tax Installment Program</v>
      </c>
      <c r="C69" s="289">
        <v>0</v>
      </c>
      <c r="D69" s="289">
        <f t="shared" ref="D69:AI69" si="43">SUM(D70:D75)</f>
        <v>0</v>
      </c>
      <c r="E69" s="289">
        <f t="shared" si="43"/>
        <v>0</v>
      </c>
      <c r="F69" s="146">
        <f t="shared" si="43"/>
        <v>0</v>
      </c>
      <c r="G69" s="146">
        <f t="shared" si="43"/>
        <v>0</v>
      </c>
      <c r="H69" s="146">
        <f t="shared" si="43"/>
        <v>0</v>
      </c>
      <c r="I69" s="146">
        <f t="shared" si="43"/>
        <v>0</v>
      </c>
      <c r="J69" s="146">
        <f t="shared" si="43"/>
        <v>0</v>
      </c>
      <c r="K69" s="146">
        <f t="shared" si="43"/>
        <v>0</v>
      </c>
      <c r="L69" s="146">
        <f t="shared" si="43"/>
        <v>0</v>
      </c>
      <c r="M69" s="146">
        <f t="shared" si="43"/>
        <v>0</v>
      </c>
      <c r="N69" s="146">
        <f t="shared" si="43"/>
        <v>0</v>
      </c>
      <c r="O69" s="146">
        <f t="shared" si="43"/>
        <v>0</v>
      </c>
      <c r="P69" s="146">
        <f t="shared" si="43"/>
        <v>0</v>
      </c>
      <c r="Q69" s="146">
        <f t="shared" si="43"/>
        <v>0</v>
      </c>
      <c r="R69" s="146">
        <f t="shared" si="43"/>
        <v>0</v>
      </c>
      <c r="S69" s="146">
        <f t="shared" si="43"/>
        <v>0</v>
      </c>
      <c r="T69" s="146">
        <f t="shared" si="43"/>
        <v>0</v>
      </c>
      <c r="U69" s="146">
        <f t="shared" si="43"/>
        <v>0</v>
      </c>
      <c r="V69" s="146">
        <f t="shared" si="43"/>
        <v>0</v>
      </c>
      <c r="W69" s="146">
        <f t="shared" si="43"/>
        <v>0</v>
      </c>
      <c r="X69" s="146">
        <f t="shared" si="43"/>
        <v>0</v>
      </c>
      <c r="Y69" s="146">
        <f t="shared" si="43"/>
        <v>0</v>
      </c>
      <c r="Z69" s="146">
        <f t="shared" si="43"/>
        <v>0</v>
      </c>
      <c r="AA69" s="146">
        <f t="shared" si="43"/>
        <v>0</v>
      </c>
      <c r="AB69" s="146">
        <f t="shared" si="43"/>
        <v>0</v>
      </c>
      <c r="AC69" s="146">
        <f t="shared" si="43"/>
        <v>0</v>
      </c>
      <c r="AD69" s="146">
        <f t="shared" si="43"/>
        <v>0</v>
      </c>
      <c r="AE69" s="146">
        <f t="shared" si="43"/>
        <v>0</v>
      </c>
      <c r="AF69" s="146">
        <f t="shared" si="43"/>
        <v>0</v>
      </c>
      <c r="AG69" s="146">
        <f t="shared" si="43"/>
        <v>0</v>
      </c>
      <c r="AH69" s="146">
        <f t="shared" si="43"/>
        <v>0</v>
      </c>
      <c r="AI69" s="146">
        <f t="shared" si="43"/>
        <v>0</v>
      </c>
      <c r="AJ69" s="146">
        <f t="shared" ref="AJ69:AP69" si="44">SUM(AJ70:AJ75)</f>
        <v>0</v>
      </c>
      <c r="AK69" s="146">
        <f t="shared" si="44"/>
        <v>0</v>
      </c>
      <c r="AL69" s="146">
        <f t="shared" si="44"/>
        <v>0</v>
      </c>
      <c r="AM69" s="146">
        <f t="shared" si="44"/>
        <v>0</v>
      </c>
      <c r="AN69" s="146">
        <f t="shared" si="44"/>
        <v>0</v>
      </c>
      <c r="AO69" s="146">
        <f t="shared" si="44"/>
        <v>0</v>
      </c>
      <c r="AP69" s="146">
        <f t="shared" si="44"/>
        <v>0</v>
      </c>
      <c r="AQ69" s="146">
        <f t="shared" ref="AQ69:AZ69" si="45">SUM(AQ70:AQ75)</f>
        <v>0</v>
      </c>
      <c r="AR69" s="146">
        <f t="shared" si="45"/>
        <v>0</v>
      </c>
      <c r="AS69" s="146">
        <f t="shared" si="45"/>
        <v>0</v>
      </c>
      <c r="AT69" s="146">
        <f t="shared" si="45"/>
        <v>0</v>
      </c>
      <c r="AU69" s="146">
        <f t="shared" si="45"/>
        <v>0</v>
      </c>
      <c r="AV69" s="146">
        <f t="shared" si="45"/>
        <v>0</v>
      </c>
      <c r="AW69" s="146">
        <f t="shared" si="45"/>
        <v>0</v>
      </c>
      <c r="AX69" s="146">
        <f t="shared" si="45"/>
        <v>0</v>
      </c>
      <c r="AY69" s="146">
        <f t="shared" si="45"/>
        <v>0</v>
      </c>
      <c r="AZ69" s="146">
        <f t="shared" si="45"/>
        <v>0</v>
      </c>
      <c r="BA69" s="146">
        <f t="shared" ref="BA69:BH69" si="46">SUM(BA70:BA75)</f>
        <v>0</v>
      </c>
      <c r="BB69" s="146">
        <f t="shared" si="46"/>
        <v>0</v>
      </c>
      <c r="BC69" s="146">
        <f t="shared" si="46"/>
        <v>0</v>
      </c>
      <c r="BD69" s="146">
        <f t="shared" si="46"/>
        <v>0</v>
      </c>
      <c r="BE69" s="146">
        <f t="shared" si="46"/>
        <v>0</v>
      </c>
      <c r="BF69" s="146">
        <f t="shared" si="46"/>
        <v>0</v>
      </c>
      <c r="BG69" s="146">
        <f t="shared" si="46"/>
        <v>0</v>
      </c>
      <c r="BH69" s="146">
        <f t="shared" si="46"/>
        <v>0</v>
      </c>
      <c r="BI69" s="146"/>
      <c r="BJ69" s="145">
        <f t="shared" ref="BJ69:BQ69" si="47">SUM(BJ70:BJ75)</f>
        <v>0</v>
      </c>
      <c r="BK69" s="145">
        <f t="shared" si="47"/>
        <v>0</v>
      </c>
      <c r="BL69" s="145">
        <f t="shared" si="47"/>
        <v>0</v>
      </c>
      <c r="BM69" s="146">
        <f t="shared" si="47"/>
        <v>0</v>
      </c>
      <c r="BN69" s="146">
        <f t="shared" si="47"/>
        <v>0</v>
      </c>
      <c r="BO69" s="145">
        <f t="shared" si="47"/>
        <v>0</v>
      </c>
      <c r="BP69" s="145">
        <f t="shared" si="47"/>
        <v>0</v>
      </c>
      <c r="BQ69" s="145">
        <f t="shared" si="47"/>
        <v>0</v>
      </c>
      <c r="BR69" s="145">
        <f>SUM(BR70:BR75)</f>
        <v>71.959999999999994</v>
      </c>
      <c r="BS69" s="145">
        <f>SUM(BS70:BS75)</f>
        <v>66.872</v>
      </c>
      <c r="BT69" s="145">
        <f>SUM(BT70:BT75)</f>
        <v>0</v>
      </c>
      <c r="BU69" s="145">
        <f>SUM(BU70:BU75)</f>
        <v>0</v>
      </c>
      <c r="BV69" s="145">
        <f>SUM(BV70:BV75)</f>
        <v>0</v>
      </c>
      <c r="BW69" s="145"/>
      <c r="BX69" s="145"/>
    </row>
    <row r="70" spans="2:77" hidden="1" outlineLevel="1" x14ac:dyDescent="0.35">
      <c r="B70" s="126" t="str">
        <f>IF(Control!$D$5=1,"Interest","Juros")</f>
        <v>Interest</v>
      </c>
      <c r="C70" s="95">
        <v>0</v>
      </c>
      <c r="D70" s="95" t="s">
        <v>3</v>
      </c>
      <c r="E70" s="95" t="s">
        <v>3</v>
      </c>
      <c r="F70" s="279" t="s">
        <v>3</v>
      </c>
      <c r="G70" s="279" t="s">
        <v>3</v>
      </c>
      <c r="H70" s="95" t="s">
        <v>3</v>
      </c>
      <c r="I70" s="279" t="s">
        <v>3</v>
      </c>
      <c r="J70" s="279" t="s">
        <v>3</v>
      </c>
      <c r="K70" s="279" t="s">
        <v>3</v>
      </c>
      <c r="L70" s="95" t="s">
        <v>3</v>
      </c>
      <c r="M70" s="279" t="s">
        <v>3</v>
      </c>
      <c r="N70" s="279" t="s">
        <v>3</v>
      </c>
      <c r="O70" s="279" t="s">
        <v>3</v>
      </c>
      <c r="P70" s="95" t="s">
        <v>3</v>
      </c>
      <c r="Q70" s="95" t="s">
        <v>3</v>
      </c>
      <c r="R70" s="279" t="s">
        <v>3</v>
      </c>
      <c r="S70" s="279" t="s">
        <v>3</v>
      </c>
      <c r="T70" s="95" t="s">
        <v>3</v>
      </c>
      <c r="U70" s="279" t="s">
        <v>3</v>
      </c>
      <c r="V70" s="279" t="s">
        <v>3</v>
      </c>
      <c r="W70" s="279" t="s">
        <v>3</v>
      </c>
      <c r="X70" s="95" t="s">
        <v>3</v>
      </c>
      <c r="Y70" s="95" t="s">
        <v>3</v>
      </c>
      <c r="Z70" s="279" t="s">
        <v>3</v>
      </c>
      <c r="AA70" s="279" t="s">
        <v>3</v>
      </c>
      <c r="AB70" s="95" t="s">
        <v>3</v>
      </c>
      <c r="AC70" s="95" t="s">
        <v>3</v>
      </c>
      <c r="AD70" s="279" t="s">
        <v>3</v>
      </c>
      <c r="AE70" s="279" t="s">
        <v>3</v>
      </c>
      <c r="AF70" s="95" t="s">
        <v>3</v>
      </c>
      <c r="AG70" s="95" t="s">
        <v>3</v>
      </c>
      <c r="AH70" s="279" t="s">
        <v>3</v>
      </c>
      <c r="AI70" s="279" t="s">
        <v>3</v>
      </c>
      <c r="AJ70" s="95" t="s">
        <v>3</v>
      </c>
      <c r="AK70" s="95" t="s">
        <v>3</v>
      </c>
      <c r="AL70" s="279" t="s">
        <v>3</v>
      </c>
      <c r="AM70" s="279" t="s">
        <v>3</v>
      </c>
      <c r="AN70" s="95" t="s">
        <v>3</v>
      </c>
      <c r="AO70" s="95" t="s">
        <v>3</v>
      </c>
      <c r="AP70" s="279" t="s">
        <v>3</v>
      </c>
      <c r="AQ70" s="95" t="s">
        <v>3</v>
      </c>
      <c r="AR70" s="95" t="s">
        <v>3</v>
      </c>
      <c r="AS70" s="95" t="s">
        <v>3</v>
      </c>
      <c r="AT70" s="95" t="s">
        <v>3</v>
      </c>
      <c r="AU70" s="95" t="s">
        <v>3</v>
      </c>
      <c r="AV70" s="95" t="s">
        <v>3</v>
      </c>
      <c r="AW70" s="95" t="s">
        <v>3</v>
      </c>
      <c r="AX70" s="95" t="s">
        <v>3</v>
      </c>
      <c r="AY70" s="95" t="s">
        <v>3</v>
      </c>
      <c r="AZ70" s="95" t="s">
        <v>3</v>
      </c>
      <c r="BA70" s="95" t="s">
        <v>3</v>
      </c>
      <c r="BB70" s="95" t="s">
        <v>3</v>
      </c>
      <c r="BC70" s="95" t="s">
        <v>3</v>
      </c>
      <c r="BD70" s="95" t="s">
        <v>3</v>
      </c>
      <c r="BE70" s="95" t="s">
        <v>3</v>
      </c>
      <c r="BF70" s="95" t="s">
        <v>3</v>
      </c>
      <c r="BG70" s="95" t="s">
        <v>3</v>
      </c>
      <c r="BH70" s="95" t="s">
        <v>3</v>
      </c>
      <c r="BI70" s="95"/>
      <c r="BJ70" s="92" t="s">
        <v>3</v>
      </c>
      <c r="BK70" s="92" t="s">
        <v>3</v>
      </c>
      <c r="BL70" s="92" t="s">
        <v>3</v>
      </c>
      <c r="BM70" s="92" t="s">
        <v>3</v>
      </c>
      <c r="BN70" s="92" t="s">
        <v>3</v>
      </c>
      <c r="BO70" s="92" t="s">
        <v>3</v>
      </c>
      <c r="BP70" s="92" t="s">
        <v>3</v>
      </c>
      <c r="BQ70" s="92" t="s">
        <v>3</v>
      </c>
      <c r="BR70" s="64">
        <v>8.8230000000000004</v>
      </c>
      <c r="BS70" s="64">
        <v>9.8480000000000008</v>
      </c>
      <c r="BT70" s="92" t="s">
        <v>3</v>
      </c>
      <c r="BU70" s="92" t="s">
        <v>3</v>
      </c>
      <c r="BV70" s="92" t="s">
        <v>3</v>
      </c>
      <c r="BW70" s="92"/>
      <c r="BX70" s="92"/>
    </row>
    <row r="71" spans="2:77" hidden="1" outlineLevel="1" x14ac:dyDescent="0.35">
      <c r="B71" s="126" t="str">
        <f>IF(Control!$D$5=1,"Discounts","Descontos")</f>
        <v>Discounts</v>
      </c>
      <c r="C71" s="95">
        <v>0</v>
      </c>
      <c r="D71" s="95" t="s">
        <v>3</v>
      </c>
      <c r="E71" s="95" t="s">
        <v>3</v>
      </c>
      <c r="F71" s="279" t="s">
        <v>3</v>
      </c>
      <c r="G71" s="279" t="s">
        <v>3</v>
      </c>
      <c r="H71" s="95" t="s">
        <v>3</v>
      </c>
      <c r="I71" s="279" t="s">
        <v>3</v>
      </c>
      <c r="J71" s="279" t="s">
        <v>3</v>
      </c>
      <c r="K71" s="279" t="s">
        <v>3</v>
      </c>
      <c r="L71" s="95" t="s">
        <v>3</v>
      </c>
      <c r="M71" s="279" t="s">
        <v>3</v>
      </c>
      <c r="N71" s="279" t="s">
        <v>3</v>
      </c>
      <c r="O71" s="279" t="s">
        <v>3</v>
      </c>
      <c r="P71" s="95" t="s">
        <v>3</v>
      </c>
      <c r="Q71" s="95" t="s">
        <v>3</v>
      </c>
      <c r="R71" s="279" t="s">
        <v>3</v>
      </c>
      <c r="S71" s="279" t="s">
        <v>3</v>
      </c>
      <c r="T71" s="95" t="s">
        <v>3</v>
      </c>
      <c r="U71" s="279" t="s">
        <v>3</v>
      </c>
      <c r="V71" s="279" t="s">
        <v>3</v>
      </c>
      <c r="W71" s="279" t="s">
        <v>3</v>
      </c>
      <c r="X71" s="95" t="s">
        <v>3</v>
      </c>
      <c r="Y71" s="95" t="s">
        <v>3</v>
      </c>
      <c r="Z71" s="279" t="s">
        <v>3</v>
      </c>
      <c r="AA71" s="279" t="s">
        <v>3</v>
      </c>
      <c r="AB71" s="95" t="s">
        <v>3</v>
      </c>
      <c r="AC71" s="95" t="s">
        <v>3</v>
      </c>
      <c r="AD71" s="279" t="s">
        <v>3</v>
      </c>
      <c r="AE71" s="279" t="s">
        <v>3</v>
      </c>
      <c r="AF71" s="95" t="s">
        <v>3</v>
      </c>
      <c r="AG71" s="95" t="s">
        <v>3</v>
      </c>
      <c r="AH71" s="279" t="s">
        <v>3</v>
      </c>
      <c r="AI71" s="279" t="s">
        <v>3</v>
      </c>
      <c r="AJ71" s="95" t="s">
        <v>3</v>
      </c>
      <c r="AK71" s="95" t="s">
        <v>3</v>
      </c>
      <c r="AL71" s="279" t="s">
        <v>3</v>
      </c>
      <c r="AM71" s="279" t="s">
        <v>3</v>
      </c>
      <c r="AN71" s="95" t="s">
        <v>3</v>
      </c>
      <c r="AO71" s="95" t="s">
        <v>3</v>
      </c>
      <c r="AP71" s="279" t="s">
        <v>3</v>
      </c>
      <c r="AQ71" s="95" t="s">
        <v>3</v>
      </c>
      <c r="AR71" s="95" t="s">
        <v>3</v>
      </c>
      <c r="AS71" s="95" t="s">
        <v>3</v>
      </c>
      <c r="AT71" s="95" t="s">
        <v>3</v>
      </c>
      <c r="AU71" s="95" t="s">
        <v>3</v>
      </c>
      <c r="AV71" s="95" t="s">
        <v>3</v>
      </c>
      <c r="AW71" s="95" t="s">
        <v>3</v>
      </c>
      <c r="AX71" s="95" t="s">
        <v>3</v>
      </c>
      <c r="AY71" s="95" t="s">
        <v>3</v>
      </c>
      <c r="AZ71" s="95" t="s">
        <v>3</v>
      </c>
      <c r="BA71" s="95" t="s">
        <v>3</v>
      </c>
      <c r="BB71" s="95" t="s">
        <v>3</v>
      </c>
      <c r="BC71" s="95" t="s">
        <v>3</v>
      </c>
      <c r="BD71" s="95" t="s">
        <v>3</v>
      </c>
      <c r="BE71" s="95" t="s">
        <v>3</v>
      </c>
      <c r="BF71" s="95" t="s">
        <v>3</v>
      </c>
      <c r="BG71" s="95" t="s">
        <v>3</v>
      </c>
      <c r="BH71" s="95" t="s">
        <v>3</v>
      </c>
      <c r="BI71" s="95"/>
      <c r="BJ71" s="92" t="s">
        <v>3</v>
      </c>
      <c r="BK71" s="92" t="s">
        <v>3</v>
      </c>
      <c r="BL71" s="92" t="s">
        <v>3</v>
      </c>
      <c r="BM71" s="92" t="s">
        <v>3</v>
      </c>
      <c r="BN71" s="92" t="s">
        <v>3</v>
      </c>
      <c r="BO71" s="92" t="s">
        <v>3</v>
      </c>
      <c r="BP71" s="92" t="s">
        <v>3</v>
      </c>
      <c r="BQ71" s="92" t="s">
        <v>3</v>
      </c>
      <c r="BR71" s="64">
        <v>3.5680000000000001</v>
      </c>
      <c r="BS71" s="64">
        <v>3.8439999999999999</v>
      </c>
      <c r="BT71" s="92" t="s">
        <v>3</v>
      </c>
      <c r="BU71" s="92" t="s">
        <v>3</v>
      </c>
      <c r="BV71" s="92" t="s">
        <v>3</v>
      </c>
      <c r="BW71" s="92"/>
      <c r="BX71" s="92"/>
    </row>
    <row r="72" spans="2:77" hidden="1" outlineLevel="1" x14ac:dyDescent="0.35">
      <c r="B72" s="126" t="str">
        <f>IF(Control!$D$5=1,"Investments","Aplicações Financeiras")</f>
        <v>Investments</v>
      </c>
      <c r="C72" s="95">
        <v>0</v>
      </c>
      <c r="D72" s="95" t="s">
        <v>3</v>
      </c>
      <c r="E72" s="95" t="s">
        <v>3</v>
      </c>
      <c r="F72" s="279" t="s">
        <v>3</v>
      </c>
      <c r="G72" s="279" t="s">
        <v>3</v>
      </c>
      <c r="H72" s="95" t="s">
        <v>3</v>
      </c>
      <c r="I72" s="279" t="s">
        <v>3</v>
      </c>
      <c r="J72" s="279" t="s">
        <v>3</v>
      </c>
      <c r="K72" s="279" t="s">
        <v>3</v>
      </c>
      <c r="L72" s="95" t="s">
        <v>3</v>
      </c>
      <c r="M72" s="279" t="s">
        <v>3</v>
      </c>
      <c r="N72" s="279" t="s">
        <v>3</v>
      </c>
      <c r="O72" s="279" t="s">
        <v>3</v>
      </c>
      <c r="P72" s="95" t="s">
        <v>3</v>
      </c>
      <c r="Q72" s="95" t="s">
        <v>3</v>
      </c>
      <c r="R72" s="279" t="s">
        <v>3</v>
      </c>
      <c r="S72" s="279" t="s">
        <v>3</v>
      </c>
      <c r="T72" s="95" t="s">
        <v>3</v>
      </c>
      <c r="U72" s="279" t="s">
        <v>3</v>
      </c>
      <c r="V72" s="279" t="s">
        <v>3</v>
      </c>
      <c r="W72" s="279" t="s">
        <v>3</v>
      </c>
      <c r="X72" s="95" t="s">
        <v>3</v>
      </c>
      <c r="Y72" s="95" t="s">
        <v>3</v>
      </c>
      <c r="Z72" s="279" t="s">
        <v>3</v>
      </c>
      <c r="AA72" s="279" t="s">
        <v>3</v>
      </c>
      <c r="AB72" s="95" t="s">
        <v>3</v>
      </c>
      <c r="AC72" s="95" t="s">
        <v>3</v>
      </c>
      <c r="AD72" s="279" t="s">
        <v>3</v>
      </c>
      <c r="AE72" s="279" t="s">
        <v>3</v>
      </c>
      <c r="AF72" s="95" t="s">
        <v>3</v>
      </c>
      <c r="AG72" s="95" t="s">
        <v>3</v>
      </c>
      <c r="AH72" s="279" t="s">
        <v>3</v>
      </c>
      <c r="AI72" s="279" t="s">
        <v>3</v>
      </c>
      <c r="AJ72" s="95" t="s">
        <v>3</v>
      </c>
      <c r="AK72" s="95" t="s">
        <v>3</v>
      </c>
      <c r="AL72" s="279" t="s">
        <v>3</v>
      </c>
      <c r="AM72" s="279" t="s">
        <v>3</v>
      </c>
      <c r="AN72" s="95" t="s">
        <v>3</v>
      </c>
      <c r="AO72" s="95" t="s">
        <v>3</v>
      </c>
      <c r="AP72" s="279" t="s">
        <v>3</v>
      </c>
      <c r="AQ72" s="95" t="s">
        <v>3</v>
      </c>
      <c r="AR72" s="95" t="s">
        <v>3</v>
      </c>
      <c r="AS72" s="95" t="s">
        <v>3</v>
      </c>
      <c r="AT72" s="95" t="s">
        <v>3</v>
      </c>
      <c r="AU72" s="95" t="s">
        <v>3</v>
      </c>
      <c r="AV72" s="95" t="s">
        <v>3</v>
      </c>
      <c r="AW72" s="95" t="s">
        <v>3</v>
      </c>
      <c r="AX72" s="95" t="s">
        <v>3</v>
      </c>
      <c r="AY72" s="95" t="s">
        <v>3</v>
      </c>
      <c r="AZ72" s="95" t="s">
        <v>3</v>
      </c>
      <c r="BA72" s="95" t="s">
        <v>3</v>
      </c>
      <c r="BB72" s="95" t="s">
        <v>3</v>
      </c>
      <c r="BC72" s="95" t="s">
        <v>3</v>
      </c>
      <c r="BD72" s="95" t="s">
        <v>3</v>
      </c>
      <c r="BE72" s="95" t="s">
        <v>3</v>
      </c>
      <c r="BF72" s="95" t="s">
        <v>3</v>
      </c>
      <c r="BG72" s="95" t="s">
        <v>3</v>
      </c>
      <c r="BH72" s="95" t="s">
        <v>3</v>
      </c>
      <c r="BI72" s="95"/>
      <c r="BJ72" s="92" t="s">
        <v>3</v>
      </c>
      <c r="BK72" s="92" t="s">
        <v>3</v>
      </c>
      <c r="BL72" s="92" t="s">
        <v>3</v>
      </c>
      <c r="BM72" s="92" t="s">
        <v>3</v>
      </c>
      <c r="BN72" s="92" t="s">
        <v>3</v>
      </c>
      <c r="BO72" s="92" t="s">
        <v>3</v>
      </c>
      <c r="BP72" s="92" t="s">
        <v>3</v>
      </c>
      <c r="BQ72" s="92" t="s">
        <v>3</v>
      </c>
      <c r="BR72" s="64">
        <v>35.744</v>
      </c>
      <c r="BS72" s="64">
        <v>43.192</v>
      </c>
      <c r="BT72" s="92" t="s">
        <v>3</v>
      </c>
      <c r="BU72" s="92" t="s">
        <v>3</v>
      </c>
      <c r="BV72" s="92" t="s">
        <v>3</v>
      </c>
      <c r="BW72" s="92"/>
      <c r="BX72" s="92"/>
    </row>
    <row r="73" spans="2:77" hidden="1" outlineLevel="1" x14ac:dyDescent="0.35">
      <c r="B73" s="126" t="str">
        <f>IF(Control!$D$5=1,"Exchange gains (losses)","Variação Cambial")</f>
        <v>Exchange gains (losses)</v>
      </c>
      <c r="C73" s="95">
        <v>0</v>
      </c>
      <c r="D73" s="95" t="s">
        <v>3</v>
      </c>
      <c r="E73" s="95" t="s">
        <v>3</v>
      </c>
      <c r="F73" s="279" t="s">
        <v>3</v>
      </c>
      <c r="G73" s="279" t="s">
        <v>3</v>
      </c>
      <c r="H73" s="95" t="s">
        <v>3</v>
      </c>
      <c r="I73" s="279" t="s">
        <v>3</v>
      </c>
      <c r="J73" s="279" t="s">
        <v>3</v>
      </c>
      <c r="K73" s="279" t="s">
        <v>3</v>
      </c>
      <c r="L73" s="95" t="s">
        <v>3</v>
      </c>
      <c r="M73" s="279" t="s">
        <v>3</v>
      </c>
      <c r="N73" s="279" t="s">
        <v>3</v>
      </c>
      <c r="O73" s="279" t="s">
        <v>3</v>
      </c>
      <c r="P73" s="95" t="s">
        <v>3</v>
      </c>
      <c r="Q73" s="95" t="s">
        <v>3</v>
      </c>
      <c r="R73" s="279" t="s">
        <v>3</v>
      </c>
      <c r="S73" s="279" t="s">
        <v>3</v>
      </c>
      <c r="T73" s="95" t="s">
        <v>3</v>
      </c>
      <c r="U73" s="279" t="s">
        <v>3</v>
      </c>
      <c r="V73" s="279" t="s">
        <v>3</v>
      </c>
      <c r="W73" s="279" t="s">
        <v>3</v>
      </c>
      <c r="X73" s="95" t="s">
        <v>3</v>
      </c>
      <c r="Y73" s="95" t="s">
        <v>3</v>
      </c>
      <c r="Z73" s="279" t="s">
        <v>3</v>
      </c>
      <c r="AA73" s="279" t="s">
        <v>3</v>
      </c>
      <c r="AB73" s="95" t="s">
        <v>3</v>
      </c>
      <c r="AC73" s="95" t="s">
        <v>3</v>
      </c>
      <c r="AD73" s="279" t="s">
        <v>3</v>
      </c>
      <c r="AE73" s="279" t="s">
        <v>3</v>
      </c>
      <c r="AF73" s="95" t="s">
        <v>3</v>
      </c>
      <c r="AG73" s="95" t="s">
        <v>3</v>
      </c>
      <c r="AH73" s="279" t="s">
        <v>3</v>
      </c>
      <c r="AI73" s="279" t="s">
        <v>3</v>
      </c>
      <c r="AJ73" s="95" t="s">
        <v>3</v>
      </c>
      <c r="AK73" s="95" t="s">
        <v>3</v>
      </c>
      <c r="AL73" s="279" t="s">
        <v>3</v>
      </c>
      <c r="AM73" s="279" t="s">
        <v>3</v>
      </c>
      <c r="AN73" s="95" t="s">
        <v>3</v>
      </c>
      <c r="AO73" s="95" t="s">
        <v>3</v>
      </c>
      <c r="AP73" s="279" t="s">
        <v>3</v>
      </c>
      <c r="AQ73" s="95" t="s">
        <v>3</v>
      </c>
      <c r="AR73" s="95" t="s">
        <v>3</v>
      </c>
      <c r="AS73" s="95" t="s">
        <v>3</v>
      </c>
      <c r="AT73" s="95" t="s">
        <v>3</v>
      </c>
      <c r="AU73" s="95" t="s">
        <v>3</v>
      </c>
      <c r="AV73" s="95" t="s">
        <v>3</v>
      </c>
      <c r="AW73" s="95" t="s">
        <v>3</v>
      </c>
      <c r="AX73" s="95" t="s">
        <v>3</v>
      </c>
      <c r="AY73" s="95" t="s">
        <v>3</v>
      </c>
      <c r="AZ73" s="95" t="s">
        <v>3</v>
      </c>
      <c r="BA73" s="95" t="s">
        <v>3</v>
      </c>
      <c r="BB73" s="95" t="s">
        <v>3</v>
      </c>
      <c r="BC73" s="95" t="s">
        <v>3</v>
      </c>
      <c r="BD73" s="95" t="s">
        <v>3</v>
      </c>
      <c r="BE73" s="95" t="s">
        <v>3</v>
      </c>
      <c r="BF73" s="95" t="s">
        <v>3</v>
      </c>
      <c r="BG73" s="95" t="s">
        <v>3</v>
      </c>
      <c r="BH73" s="95" t="s">
        <v>3</v>
      </c>
      <c r="BI73" s="95"/>
      <c r="BJ73" s="92" t="s">
        <v>3</v>
      </c>
      <c r="BK73" s="92" t="s">
        <v>3</v>
      </c>
      <c r="BL73" s="92" t="s">
        <v>3</v>
      </c>
      <c r="BM73" s="92" t="s">
        <v>3</v>
      </c>
      <c r="BN73" s="92" t="s">
        <v>3</v>
      </c>
      <c r="BO73" s="92" t="s">
        <v>3</v>
      </c>
      <c r="BP73" s="92" t="s">
        <v>3</v>
      </c>
      <c r="BQ73" s="92" t="s">
        <v>3</v>
      </c>
      <c r="BR73" s="64">
        <v>10.454000000000001</v>
      </c>
      <c r="BS73" s="64">
        <v>8.4909999999999997</v>
      </c>
      <c r="BT73" s="92" t="s">
        <v>3</v>
      </c>
      <c r="BU73" s="92" t="s">
        <v>3</v>
      </c>
      <c r="BV73" s="92" t="s">
        <v>3</v>
      </c>
      <c r="BW73" s="92"/>
      <c r="BX73" s="92"/>
    </row>
    <row r="74" spans="2:77" hidden="1" outlineLevel="1" x14ac:dyDescent="0.35">
      <c r="B74" s="126" t="str">
        <f>IF(Control!$D$5=1,"Monetary Variation","Variação Monetária")</f>
        <v>Monetary Variation</v>
      </c>
      <c r="C74" s="95">
        <v>0</v>
      </c>
      <c r="D74" s="95" t="s">
        <v>3</v>
      </c>
      <c r="E74" s="95" t="s">
        <v>3</v>
      </c>
      <c r="F74" s="279" t="s">
        <v>3</v>
      </c>
      <c r="G74" s="279" t="s">
        <v>3</v>
      </c>
      <c r="H74" s="95" t="s">
        <v>3</v>
      </c>
      <c r="I74" s="279" t="s">
        <v>3</v>
      </c>
      <c r="J74" s="279" t="s">
        <v>3</v>
      </c>
      <c r="K74" s="279" t="s">
        <v>3</v>
      </c>
      <c r="L74" s="95" t="s">
        <v>3</v>
      </c>
      <c r="M74" s="279" t="s">
        <v>3</v>
      </c>
      <c r="N74" s="279" t="s">
        <v>3</v>
      </c>
      <c r="O74" s="279" t="s">
        <v>3</v>
      </c>
      <c r="P74" s="95" t="s">
        <v>3</v>
      </c>
      <c r="Q74" s="95" t="s">
        <v>3</v>
      </c>
      <c r="R74" s="279" t="s">
        <v>3</v>
      </c>
      <c r="S74" s="279" t="s">
        <v>3</v>
      </c>
      <c r="T74" s="95" t="s">
        <v>3</v>
      </c>
      <c r="U74" s="279" t="s">
        <v>3</v>
      </c>
      <c r="V74" s="279" t="s">
        <v>3</v>
      </c>
      <c r="W74" s="279" t="s">
        <v>3</v>
      </c>
      <c r="X74" s="95" t="s">
        <v>3</v>
      </c>
      <c r="Y74" s="95" t="s">
        <v>3</v>
      </c>
      <c r="Z74" s="279" t="s">
        <v>3</v>
      </c>
      <c r="AA74" s="279" t="s">
        <v>3</v>
      </c>
      <c r="AB74" s="95" t="s">
        <v>3</v>
      </c>
      <c r="AC74" s="95" t="s">
        <v>3</v>
      </c>
      <c r="AD74" s="279" t="s">
        <v>3</v>
      </c>
      <c r="AE74" s="279" t="s">
        <v>3</v>
      </c>
      <c r="AF74" s="95" t="s">
        <v>3</v>
      </c>
      <c r="AG74" s="95" t="s">
        <v>3</v>
      </c>
      <c r="AH74" s="279" t="s">
        <v>3</v>
      </c>
      <c r="AI74" s="279" t="s">
        <v>3</v>
      </c>
      <c r="AJ74" s="95" t="s">
        <v>3</v>
      </c>
      <c r="AK74" s="95" t="s">
        <v>3</v>
      </c>
      <c r="AL74" s="279" t="s">
        <v>3</v>
      </c>
      <c r="AM74" s="279" t="s">
        <v>3</v>
      </c>
      <c r="AN74" s="95" t="s">
        <v>3</v>
      </c>
      <c r="AO74" s="95" t="s">
        <v>3</v>
      </c>
      <c r="AP74" s="279" t="s">
        <v>3</v>
      </c>
      <c r="AQ74" s="95" t="s">
        <v>3</v>
      </c>
      <c r="AR74" s="95" t="s">
        <v>3</v>
      </c>
      <c r="AS74" s="95" t="s">
        <v>3</v>
      </c>
      <c r="AT74" s="95" t="s">
        <v>3</v>
      </c>
      <c r="AU74" s="95" t="s">
        <v>3</v>
      </c>
      <c r="AV74" s="95" t="s">
        <v>3</v>
      </c>
      <c r="AW74" s="95" t="s">
        <v>3</v>
      </c>
      <c r="AX74" s="95" t="s">
        <v>3</v>
      </c>
      <c r="AY74" s="95" t="s">
        <v>3</v>
      </c>
      <c r="AZ74" s="95" t="s">
        <v>3</v>
      </c>
      <c r="BA74" s="95" t="s">
        <v>3</v>
      </c>
      <c r="BB74" s="95" t="s">
        <v>3</v>
      </c>
      <c r="BC74" s="95" t="s">
        <v>3</v>
      </c>
      <c r="BD74" s="95" t="s">
        <v>3</v>
      </c>
      <c r="BE74" s="95" t="s">
        <v>3</v>
      </c>
      <c r="BF74" s="95" t="s">
        <v>3</v>
      </c>
      <c r="BG74" s="95" t="s">
        <v>3</v>
      </c>
      <c r="BH74" s="95" t="s">
        <v>3</v>
      </c>
      <c r="BI74" s="95"/>
      <c r="BJ74" s="92" t="s">
        <v>3</v>
      </c>
      <c r="BK74" s="92" t="s">
        <v>3</v>
      </c>
      <c r="BL74" s="92" t="s">
        <v>3</v>
      </c>
      <c r="BM74" s="92" t="s">
        <v>3</v>
      </c>
      <c r="BN74" s="92" t="s">
        <v>3</v>
      </c>
      <c r="BO74" s="92" t="s">
        <v>3</v>
      </c>
      <c r="BP74" s="92" t="s">
        <v>3</v>
      </c>
      <c r="BQ74" s="92" t="s">
        <v>3</v>
      </c>
      <c r="BR74" s="64">
        <v>11.612</v>
      </c>
      <c r="BS74" s="64">
        <v>0.47899999999999998</v>
      </c>
      <c r="BT74" s="92" t="s">
        <v>3</v>
      </c>
      <c r="BU74" s="92" t="s">
        <v>3</v>
      </c>
      <c r="BV74" s="92" t="s">
        <v>3</v>
      </c>
      <c r="BW74" s="92"/>
      <c r="BX74" s="92"/>
    </row>
    <row r="75" spans="2:77" hidden="1" outlineLevel="1" x14ac:dyDescent="0.35">
      <c r="B75" s="290" t="str">
        <f>IF(Control!$D$5=1,"Others","Outras")</f>
        <v>Others</v>
      </c>
      <c r="C75" s="291">
        <v>0</v>
      </c>
      <c r="D75" s="291" t="s">
        <v>3</v>
      </c>
      <c r="E75" s="291" t="s">
        <v>3</v>
      </c>
      <c r="F75" s="307" t="s">
        <v>3</v>
      </c>
      <c r="G75" s="307" t="s">
        <v>3</v>
      </c>
      <c r="H75" s="291" t="s">
        <v>3</v>
      </c>
      <c r="I75" s="307" t="s">
        <v>3</v>
      </c>
      <c r="J75" s="307" t="s">
        <v>3</v>
      </c>
      <c r="K75" s="307" t="s">
        <v>3</v>
      </c>
      <c r="L75" s="291" t="s">
        <v>3</v>
      </c>
      <c r="M75" s="307" t="s">
        <v>3</v>
      </c>
      <c r="N75" s="307" t="s">
        <v>3</v>
      </c>
      <c r="O75" s="307" t="s">
        <v>3</v>
      </c>
      <c r="P75" s="291" t="s">
        <v>3</v>
      </c>
      <c r="Q75" s="291" t="s">
        <v>3</v>
      </c>
      <c r="R75" s="307" t="s">
        <v>3</v>
      </c>
      <c r="S75" s="307" t="s">
        <v>3</v>
      </c>
      <c r="T75" s="291" t="s">
        <v>3</v>
      </c>
      <c r="U75" s="307" t="s">
        <v>3</v>
      </c>
      <c r="V75" s="307" t="s">
        <v>3</v>
      </c>
      <c r="W75" s="307" t="s">
        <v>3</v>
      </c>
      <c r="X75" s="291" t="s">
        <v>3</v>
      </c>
      <c r="Y75" s="291" t="s">
        <v>3</v>
      </c>
      <c r="Z75" s="307" t="s">
        <v>3</v>
      </c>
      <c r="AA75" s="307" t="s">
        <v>3</v>
      </c>
      <c r="AB75" s="291" t="s">
        <v>3</v>
      </c>
      <c r="AC75" s="291" t="s">
        <v>3</v>
      </c>
      <c r="AD75" s="307" t="s">
        <v>3</v>
      </c>
      <c r="AE75" s="307" t="s">
        <v>3</v>
      </c>
      <c r="AF75" s="291" t="s">
        <v>3</v>
      </c>
      <c r="AG75" s="291" t="s">
        <v>3</v>
      </c>
      <c r="AH75" s="307" t="s">
        <v>3</v>
      </c>
      <c r="AI75" s="307" t="s">
        <v>3</v>
      </c>
      <c r="AJ75" s="291" t="s">
        <v>3</v>
      </c>
      <c r="AK75" s="291" t="s">
        <v>3</v>
      </c>
      <c r="AL75" s="307" t="s">
        <v>3</v>
      </c>
      <c r="AM75" s="307" t="s">
        <v>3</v>
      </c>
      <c r="AN75" s="291" t="s">
        <v>3</v>
      </c>
      <c r="AO75" s="291" t="s">
        <v>3</v>
      </c>
      <c r="AP75" s="307" t="s">
        <v>3</v>
      </c>
      <c r="AQ75" s="291" t="s">
        <v>3</v>
      </c>
      <c r="AR75" s="291" t="s">
        <v>3</v>
      </c>
      <c r="AS75" s="291" t="s">
        <v>3</v>
      </c>
      <c r="AT75" s="291" t="s">
        <v>3</v>
      </c>
      <c r="AU75" s="291" t="s">
        <v>3</v>
      </c>
      <c r="AV75" s="291" t="s">
        <v>3</v>
      </c>
      <c r="AW75" s="291" t="s">
        <v>3</v>
      </c>
      <c r="AX75" s="291" t="s">
        <v>3</v>
      </c>
      <c r="AY75" s="291" t="s">
        <v>3</v>
      </c>
      <c r="AZ75" s="291" t="s">
        <v>3</v>
      </c>
      <c r="BA75" s="291" t="s">
        <v>3</v>
      </c>
      <c r="BB75" s="291" t="s">
        <v>3</v>
      </c>
      <c r="BC75" s="291" t="s">
        <v>3</v>
      </c>
      <c r="BD75" s="291" t="s">
        <v>3</v>
      </c>
      <c r="BE75" s="291" t="s">
        <v>3</v>
      </c>
      <c r="BF75" s="291" t="s">
        <v>3</v>
      </c>
      <c r="BG75" s="291" t="s">
        <v>3</v>
      </c>
      <c r="BH75" s="291" t="s">
        <v>3</v>
      </c>
      <c r="BI75" s="291"/>
      <c r="BJ75" s="292" t="s">
        <v>3</v>
      </c>
      <c r="BK75" s="292" t="s">
        <v>3</v>
      </c>
      <c r="BL75" s="292" t="s">
        <v>3</v>
      </c>
      <c r="BM75" s="292" t="s">
        <v>3</v>
      </c>
      <c r="BN75" s="292" t="s">
        <v>3</v>
      </c>
      <c r="BO75" s="292" t="s">
        <v>3</v>
      </c>
      <c r="BP75" s="292" t="s">
        <v>3</v>
      </c>
      <c r="BQ75" s="292" t="s">
        <v>3</v>
      </c>
      <c r="BR75" s="293">
        <v>1.7589999999999999</v>
      </c>
      <c r="BS75" s="293">
        <v>1.018</v>
      </c>
      <c r="BT75" s="292" t="s">
        <v>3</v>
      </c>
      <c r="BU75" s="292" t="s">
        <v>3</v>
      </c>
      <c r="BV75" s="292" t="s">
        <v>3</v>
      </c>
      <c r="BW75" s="292"/>
      <c r="BX75" s="292"/>
    </row>
    <row r="76" spans="2:77" collapsed="1" x14ac:dyDescent="0.35">
      <c r="F76" s="56"/>
      <c r="G76" s="56"/>
      <c r="I76" s="56"/>
      <c r="J76" s="56"/>
      <c r="K76" s="56"/>
      <c r="M76" s="56"/>
      <c r="N76" s="56"/>
      <c r="O76" s="56"/>
      <c r="S76" s="56"/>
      <c r="U76" s="56"/>
      <c r="V76" s="56"/>
      <c r="W76" s="56"/>
      <c r="BK76" s="7"/>
      <c r="BL76" s="7"/>
      <c r="BT76" s="138"/>
      <c r="BU76" s="138"/>
      <c r="BV76" s="138"/>
      <c r="BW76" s="138"/>
      <c r="BX76" s="138"/>
    </row>
    <row r="77" spans="2:77" x14ac:dyDescent="0.35">
      <c r="BG77" s="286"/>
      <c r="BH77" s="286"/>
      <c r="BT77" s="138"/>
      <c r="BU77" s="138"/>
      <c r="BV77" s="138"/>
      <c r="BW77" s="138"/>
      <c r="BX77" s="138"/>
    </row>
    <row r="78" spans="2:77" x14ac:dyDescent="0.35">
      <c r="BT78" s="138"/>
      <c r="BU78" s="138"/>
      <c r="BV78" s="138"/>
      <c r="BW78" s="138"/>
      <c r="BX78" s="138"/>
    </row>
    <row r="79" spans="2:77" x14ac:dyDescent="0.35">
      <c r="BT79" s="138"/>
      <c r="BU79" s="138"/>
      <c r="BV79" s="138"/>
      <c r="BW79" s="138"/>
      <c r="BX79" s="138"/>
    </row>
    <row r="80" spans="2:77" x14ac:dyDescent="0.35">
      <c r="BT80" s="138"/>
      <c r="BU80" s="138"/>
      <c r="BV80" s="138"/>
      <c r="BW80" s="138"/>
      <c r="BX80" s="138"/>
    </row>
    <row r="81" spans="2:76" x14ac:dyDescent="0.35">
      <c r="BT81" s="138"/>
      <c r="BU81" s="138"/>
      <c r="BV81" s="138"/>
      <c r="BW81" s="138"/>
      <c r="BX81" s="138"/>
    </row>
    <row r="82" spans="2:76" x14ac:dyDescent="0.35">
      <c r="BT82" s="138"/>
      <c r="BU82" s="138"/>
      <c r="BV82" s="138"/>
      <c r="BW82" s="138"/>
      <c r="BX82" s="138"/>
    </row>
    <row r="83" spans="2:76" x14ac:dyDescent="0.35">
      <c r="BT83" s="138"/>
      <c r="BU83" s="138"/>
      <c r="BV83" s="138"/>
      <c r="BW83" s="138"/>
      <c r="BX83" s="138"/>
    </row>
    <row r="84" spans="2:76" x14ac:dyDescent="0.35">
      <c r="BT84" s="138"/>
      <c r="BU84" s="138"/>
      <c r="BV84" s="138"/>
      <c r="BW84" s="138"/>
      <c r="BX84" s="138"/>
    </row>
    <row r="85" spans="2:76" x14ac:dyDescent="0.35">
      <c r="BT85" s="138"/>
      <c r="BU85" s="138"/>
      <c r="BV85" s="138"/>
      <c r="BW85" s="138"/>
      <c r="BX85" s="138"/>
    </row>
    <row r="86" spans="2:76" x14ac:dyDescent="0.35">
      <c r="B86" s="126"/>
      <c r="C86" s="94"/>
      <c r="D86" s="94"/>
      <c r="E86" s="279"/>
      <c r="F86" s="279"/>
      <c r="G86" s="279"/>
      <c r="H86" s="94"/>
      <c r="I86" s="279"/>
      <c r="J86" s="279"/>
      <c r="K86" s="279"/>
      <c r="L86" s="94"/>
      <c r="M86" s="279"/>
      <c r="N86" s="279"/>
      <c r="O86" s="279"/>
      <c r="P86" s="94"/>
      <c r="Q86" s="159"/>
      <c r="R86" s="64"/>
      <c r="S86" s="279"/>
      <c r="T86" s="94"/>
      <c r="U86" s="279"/>
      <c r="V86" s="279"/>
      <c r="W86" s="279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64"/>
      <c r="BK86" s="64"/>
      <c r="BL86" s="64"/>
      <c r="BM86" s="92"/>
      <c r="BN86" s="92"/>
      <c r="BO86" s="92"/>
      <c r="BP86" s="94"/>
      <c r="BQ86" s="94"/>
      <c r="BR86" s="94"/>
      <c r="BS86" s="94"/>
      <c r="BT86" s="94"/>
      <c r="BU86" s="94"/>
      <c r="BV86" s="94"/>
      <c r="BW86" s="94"/>
      <c r="BX86" s="94"/>
    </row>
    <row r="87" spans="2:76" x14ac:dyDescent="0.35">
      <c r="F87" s="56"/>
      <c r="G87" s="56"/>
      <c r="I87" s="56"/>
      <c r="J87" s="56"/>
      <c r="K87" s="56"/>
      <c r="M87" s="56"/>
      <c r="N87" s="56"/>
      <c r="O87" s="56"/>
      <c r="R87" s="56"/>
      <c r="S87" s="56"/>
      <c r="U87" s="56"/>
      <c r="V87" s="56"/>
      <c r="W87" s="56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7"/>
      <c r="BK87" s="7"/>
      <c r="BL87" s="7"/>
      <c r="BP87" s="94"/>
      <c r="BQ87" s="94"/>
      <c r="BR87" s="94"/>
      <c r="BS87" s="94"/>
      <c r="BT87" s="94"/>
      <c r="BU87" s="94"/>
      <c r="BV87" s="94"/>
      <c r="BW87" s="94"/>
      <c r="BX87" s="94"/>
    </row>
    <row r="88" spans="2:76" x14ac:dyDescent="0.35">
      <c r="BT88" s="138"/>
      <c r="BU88" s="138"/>
      <c r="BV88" s="138"/>
      <c r="BW88" s="138"/>
      <c r="BX88" s="138"/>
    </row>
    <row r="89" spans="2:76" x14ac:dyDescent="0.35">
      <c r="BT89" s="138"/>
      <c r="BU89" s="138"/>
      <c r="BV89" s="138"/>
      <c r="BW89" s="138"/>
      <c r="BX89" s="138"/>
    </row>
    <row r="90" spans="2:76" x14ac:dyDescent="0.35">
      <c r="BT90" s="138"/>
      <c r="BU90" s="138"/>
      <c r="BV90" s="138"/>
      <c r="BW90" s="138"/>
      <c r="BX90" s="138"/>
    </row>
    <row r="91" spans="2:76" x14ac:dyDescent="0.35">
      <c r="BT91" s="138"/>
      <c r="BU91" s="138"/>
      <c r="BV91" s="138"/>
      <c r="BW91" s="138"/>
      <c r="BX91" s="138"/>
    </row>
    <row r="92" spans="2:76" x14ac:dyDescent="0.35">
      <c r="BT92" s="138"/>
      <c r="BU92" s="138"/>
      <c r="BV92" s="138"/>
      <c r="BW92" s="138"/>
      <c r="BX92" s="138"/>
    </row>
    <row r="93" spans="2:76" x14ac:dyDescent="0.35">
      <c r="BT93" s="138"/>
      <c r="BU93" s="138"/>
      <c r="BV93" s="138"/>
      <c r="BW93" s="138"/>
      <c r="BX93" s="138"/>
    </row>
    <row r="94" spans="2:76" x14ac:dyDescent="0.35">
      <c r="BT94" s="138"/>
      <c r="BU94" s="138"/>
      <c r="BV94" s="138"/>
      <c r="BW94" s="138"/>
      <c r="BX94" s="138"/>
    </row>
    <row r="95" spans="2:76" x14ac:dyDescent="0.35">
      <c r="BT95" s="138"/>
      <c r="BU95" s="138"/>
      <c r="BV95" s="138"/>
      <c r="BW95" s="138"/>
      <c r="BX95" s="138"/>
    </row>
    <row r="96" spans="2:76" x14ac:dyDescent="0.35">
      <c r="BT96" s="138"/>
      <c r="BU96" s="138"/>
      <c r="BV96" s="138"/>
      <c r="BW96" s="138"/>
      <c r="BX96" s="138"/>
    </row>
    <row r="97" spans="72:76" x14ac:dyDescent="0.35">
      <c r="BT97" s="138"/>
      <c r="BU97" s="138"/>
      <c r="BV97" s="138"/>
      <c r="BW97" s="138"/>
      <c r="BX97" s="138"/>
    </row>
    <row r="98" spans="72:76" x14ac:dyDescent="0.35">
      <c r="BT98" s="138"/>
      <c r="BU98" s="138"/>
      <c r="BV98" s="138"/>
      <c r="BW98" s="138"/>
      <c r="BX98" s="138"/>
    </row>
    <row r="99" spans="72:76" x14ac:dyDescent="0.35">
      <c r="BT99" s="138"/>
      <c r="BU99" s="138"/>
      <c r="BV99" s="138"/>
      <c r="BW99" s="138"/>
      <c r="BX99" s="138"/>
    </row>
    <row r="100" spans="72:76" x14ac:dyDescent="0.35">
      <c r="BT100" s="138"/>
      <c r="BU100" s="138"/>
      <c r="BV100" s="138"/>
      <c r="BW100" s="138"/>
      <c r="BX100" s="138"/>
    </row>
    <row r="101" spans="72:76" x14ac:dyDescent="0.35">
      <c r="BT101" s="138"/>
      <c r="BU101" s="138"/>
      <c r="BV101" s="138"/>
      <c r="BW101" s="138"/>
      <c r="BX101" s="138"/>
    </row>
    <row r="102" spans="72:76" x14ac:dyDescent="0.35">
      <c r="BT102" s="138"/>
      <c r="BU102" s="138"/>
      <c r="BV102" s="138"/>
      <c r="BW102" s="138"/>
      <c r="BX102" s="138"/>
    </row>
    <row r="103" spans="72:76" x14ac:dyDescent="0.35">
      <c r="BT103" s="138"/>
      <c r="BU103" s="138"/>
      <c r="BV103" s="138"/>
      <c r="BW103" s="138"/>
      <c r="BX103" s="138"/>
    </row>
    <row r="104" spans="72:76" x14ac:dyDescent="0.35">
      <c r="BT104" s="138"/>
      <c r="BU104" s="138"/>
      <c r="BV104" s="138"/>
      <c r="BW104" s="138"/>
      <c r="BX104" s="138"/>
    </row>
  </sheetData>
  <phoneticPr fontId="10" type="noConversion"/>
  <printOptions horizontalCentered="1" verticalCentered="1"/>
  <pageMargins left="0.24" right="0.24" top="0.75" bottom="0.75" header="0.31" footer="0.31"/>
  <pageSetup paperSize="9" scale="68" orientation="portrait" verticalDpi="0" r:id="rId1"/>
  <ignoredErrors>
    <ignoredError sqref="G9 AG9:AH9 AN9 AJ9:AL9 AB9:AE9 X9:AA9 T9:W9 P9:S9 L9:O9 H9:K9 E9" formula="1"/>
    <ignoredError sqref="AU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Control</vt:lpstr>
      <vt:lpstr>P&amp;L</vt:lpstr>
      <vt:lpstr>BS</vt:lpstr>
      <vt:lpstr>P&amp;L Segments</vt:lpstr>
      <vt:lpstr>CF</vt:lpstr>
      <vt:lpstr>Support</vt:lpstr>
      <vt:lpstr>BS!Area_de_impressao</vt:lpstr>
      <vt:lpstr>CF!Area_de_impressao</vt:lpstr>
      <vt:lpstr>'P&amp;L'!Area_de_impressao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Salem</dc:creator>
  <cp:lastModifiedBy>Flavio Da Silveira Seabra Rios</cp:lastModifiedBy>
  <cp:lastPrinted>2017-09-21T17:34:45Z</cp:lastPrinted>
  <dcterms:created xsi:type="dcterms:W3CDTF">2017-06-29T13:26:27Z</dcterms:created>
  <dcterms:modified xsi:type="dcterms:W3CDTF">2022-07-18T12:38:59Z</dcterms:modified>
</cp:coreProperties>
</file>